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R:\5_2025_május 29\Anyagok\Zárszámadás\"/>
    </mc:Choice>
  </mc:AlternateContent>
  <bookViews>
    <workbookView xWindow="0" yWindow="0" windowWidth="19200" windowHeight="7180" tabRatio="500" firstSheet="10" activeTab="15"/>
  </bookViews>
  <sheets>
    <sheet name="1.Onbe" sheetId="2" r:id="rId1"/>
    <sheet name="2.Onki" sheetId="3" r:id="rId2"/>
    <sheet name="3.Inbe " sheetId="4" r:id="rId3"/>
    <sheet name="4.Inki" sheetId="5" r:id="rId4"/>
    <sheet name="5.Infelhki" sheetId="6" r:id="rId5"/>
    <sheet name="6.Önk.műk." sheetId="7" r:id="rId6"/>
    <sheet name="7.Beruh." sheetId="15" r:id="rId7"/>
    <sheet name="8.Felúj." sheetId="16" r:id="rId8"/>
    <sheet name="9.Projekt" sheetId="10" r:id="rId9"/>
    <sheet name="10.MVP és hazai" sheetId="11" r:id="rId10"/>
    <sheet name="11.EKF" sheetId="12" r:id="rId11"/>
    <sheet name="12.Mérleg" sheetId="13" r:id="rId12"/>
    <sheet name="13.AKU" sheetId="21" r:id="rId13"/>
    <sheet name="14.EU" sheetId="18" r:id="rId14"/>
    <sheet name="15.kv.maradvány" sheetId="19" r:id="rId15"/>
    <sheet name="16.Mérl.össz." sheetId="20" r:id="rId16"/>
  </sheets>
  <definedNames>
    <definedName name="_4._sz._sor_részletezése" localSheetId="0">#REF!</definedName>
    <definedName name="_4._sz._sor_részletezése" localSheetId="9">#REF!</definedName>
    <definedName name="_4._sz._sor_részletezése" localSheetId="10">#REF!</definedName>
    <definedName name="_4._sz._sor_részletezése" localSheetId="13">#REF!</definedName>
    <definedName name="_4._sz._sor_részletezése" localSheetId="14">#REF!</definedName>
    <definedName name="_4._sz._sor_részletezése" localSheetId="15">#REF!</definedName>
    <definedName name="_4._sz._sor_részletezése" localSheetId="4">#REF!</definedName>
    <definedName name="_4._sz._sor_részletezése" localSheetId="6">#REF!</definedName>
    <definedName name="_4._sz._sor_részletezése" localSheetId="7">#REF!</definedName>
    <definedName name="_4._sz._sor_részletezése" localSheetId="8">#REF!</definedName>
    <definedName name="_4._sz._sor_részletezése">#REF!</definedName>
    <definedName name="_xlnm.Print_Titles" localSheetId="0">'1.Onbe'!$4:$6</definedName>
    <definedName name="_xlnm.Print_Titles" localSheetId="9">'10.MVP és hazai'!$4:$8</definedName>
    <definedName name="_xlnm.Print_Titles" localSheetId="10">'11.EKF'!$4:$8</definedName>
    <definedName name="_xlnm.Print_Titles" localSheetId="13">'14.EU'!$5:$9</definedName>
    <definedName name="_xlnm.Print_Titles" localSheetId="15">'16.Mérl.össz.'!$4:$6</definedName>
    <definedName name="_xlnm.Print_Titles" localSheetId="1">'2.Onki'!$4:$6</definedName>
    <definedName name="_xlnm.Print_Titles" localSheetId="2">'3.Inbe '!$4:$7</definedName>
    <definedName name="_xlnm.Print_Titles" localSheetId="3">'4.Inki'!$4:$7</definedName>
    <definedName name="_xlnm.Print_Titles" localSheetId="4">'5.Infelhki'!$4:$7</definedName>
    <definedName name="_xlnm.Print_Titles" localSheetId="5">'6.Önk.műk.'!$4:$7</definedName>
    <definedName name="_xlnm.Print_Titles" localSheetId="6">'7.Beruh.'!$4:$8</definedName>
    <definedName name="_xlnm.Print_Titles" localSheetId="7">'8.Felúj.'!$4:$8</definedName>
    <definedName name="_xlnm.Print_Titles" localSheetId="8">'9.Projekt'!$4:$8</definedName>
    <definedName name="_xlnm.Print_Area" localSheetId="0">'1.Onbe'!$A$1:$L$73</definedName>
    <definedName name="_xlnm.Print_Area" localSheetId="9">'10.MVP és hazai'!$A$1:$P$43</definedName>
    <definedName name="_xlnm.Print_Area" localSheetId="10">'11.EKF'!$A$1:$Q$178</definedName>
    <definedName name="_xlnm.Print_Area" localSheetId="11">'12.Mérleg'!$A$1:$Q$38</definedName>
    <definedName name="_xlnm.Print_Area" localSheetId="12">'13.AKU'!$A$1:$U$16</definedName>
    <definedName name="_xlnm.Print_Area" localSheetId="13">'14.EU'!$A$1:$AB$25</definedName>
    <definedName name="_xlnm.Print_Area" localSheetId="14">'15.kv.maradvány'!$A$1:$H$26</definedName>
    <definedName name="_xlnm.Print_Area" localSheetId="15">'16.Mérl.össz.'!$A$1:$E$135</definedName>
    <definedName name="_xlnm.Print_Area" localSheetId="1">'2.Onki'!$A$1:$L$46</definedName>
    <definedName name="_xlnm.Print_Area" localSheetId="2">'3.Inbe '!$A$1:$R$112</definedName>
    <definedName name="_xlnm.Print_Area" localSheetId="3">'4.Inki'!$A$1:$R$251</definedName>
    <definedName name="_xlnm.Print_Area" localSheetId="4">'5.Infelhki'!$A$1:$K$232</definedName>
    <definedName name="_xlnm.Print_Area" localSheetId="5">'6.Önk.műk.'!$A$1:$N$869</definedName>
    <definedName name="_xlnm.Print_Area" localSheetId="6">'7.Beruh.'!$A$1:$M$563</definedName>
    <definedName name="_xlnm.Print_Area" localSheetId="7">'8.Felúj.'!$A$1:$L$232</definedName>
    <definedName name="_xlnm.Print_Area" localSheetId="8">'9.Projekt'!$A$1:$P$87</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E172" i="15" l="1"/>
  <c r="L243" i="5"/>
  <c r="M243" i="5"/>
  <c r="N243" i="5"/>
  <c r="O243" i="5"/>
  <c r="P243" i="5"/>
  <c r="Q243" i="5"/>
  <c r="R243" i="5"/>
  <c r="K243" i="5"/>
  <c r="Q37" i="13"/>
  <c r="L8" i="2" l="1"/>
  <c r="U16" i="21"/>
  <c r="T16" i="21"/>
  <c r="S16" i="21"/>
  <c r="R16" i="21"/>
  <c r="Q16" i="21"/>
  <c r="P16" i="21"/>
  <c r="O16" i="21"/>
  <c r="N16" i="21"/>
  <c r="M16" i="21"/>
  <c r="L16" i="21"/>
  <c r="J16" i="21"/>
  <c r="I16" i="21"/>
  <c r="H16" i="21"/>
  <c r="K14" i="21"/>
  <c r="K12" i="21"/>
  <c r="K10" i="21"/>
  <c r="K8" i="21"/>
  <c r="K16" i="21" l="1"/>
  <c r="C133" i="20" l="1"/>
  <c r="C127" i="20"/>
  <c r="C116" i="20"/>
  <c r="C105" i="20"/>
  <c r="C128" i="20" s="1"/>
  <c r="C100" i="20"/>
  <c r="C94" i="20"/>
  <c r="C85" i="20"/>
  <c r="C81" i="20"/>
  <c r="C67" i="20"/>
  <c r="C61" i="20" s="1"/>
  <c r="C76" i="20" s="1"/>
  <c r="C60" i="20"/>
  <c r="C77" i="20" s="1"/>
  <c r="C50" i="20"/>
  <c r="C40" i="20"/>
  <c r="C34" i="20"/>
  <c r="C31" i="20"/>
  <c r="C35" i="20" s="1"/>
  <c r="C24" i="20"/>
  <c r="C21" i="20"/>
  <c r="C25" i="20" s="1"/>
  <c r="C86" i="20" s="1"/>
  <c r="C17" i="20"/>
  <c r="C11" i="20"/>
  <c r="C8" i="20"/>
  <c r="E133" i="20"/>
  <c r="D133" i="20"/>
  <c r="D128" i="20"/>
  <c r="E127" i="20"/>
  <c r="D127" i="20"/>
  <c r="E116" i="20"/>
  <c r="D116" i="20"/>
  <c r="E105" i="20"/>
  <c r="E94" i="20"/>
  <c r="D94" i="20"/>
  <c r="D134" i="20" s="1"/>
  <c r="E85" i="20"/>
  <c r="E81" i="20"/>
  <c r="D81" i="20"/>
  <c r="D77" i="20"/>
  <c r="D76" i="20"/>
  <c r="E61" i="20"/>
  <c r="E76" i="20" s="1"/>
  <c r="E60" i="20"/>
  <c r="E50" i="20"/>
  <c r="D50" i="20"/>
  <c r="E40" i="20"/>
  <c r="D40" i="20"/>
  <c r="D35" i="20"/>
  <c r="E34" i="20"/>
  <c r="E31" i="20"/>
  <c r="E35" i="20" s="1"/>
  <c r="E24" i="20"/>
  <c r="E21" i="20"/>
  <c r="D21" i="20"/>
  <c r="E17" i="20"/>
  <c r="D17" i="20"/>
  <c r="D25" i="20" s="1"/>
  <c r="D86" i="20" s="1"/>
  <c r="E11" i="20"/>
  <c r="E128" i="20" l="1"/>
  <c r="E77" i="20"/>
  <c r="E25" i="20"/>
  <c r="C134" i="20"/>
  <c r="E134" i="20"/>
  <c r="E86" i="20" l="1"/>
  <c r="R53" i="4"/>
  <c r="R49" i="4"/>
  <c r="AB23" i="18" l="1"/>
  <c r="AB22" i="18"/>
  <c r="AB21" i="18"/>
  <c r="AB20" i="18"/>
  <c r="O83" i="10"/>
  <c r="R24" i="18"/>
  <c r="AB11" i="18"/>
  <c r="X15" i="18"/>
  <c r="E46" i="10"/>
  <c r="E42" i="10"/>
  <c r="E38" i="10"/>
  <c r="E34" i="10"/>
  <c r="E30" i="10"/>
  <c r="E26" i="10"/>
  <c r="E22" i="10"/>
  <c r="E18" i="10"/>
  <c r="E14" i="10"/>
  <c r="E77" i="10"/>
  <c r="E70" i="10"/>
  <c r="E66" i="10"/>
  <c r="E62" i="10"/>
  <c r="E58" i="10"/>
  <c r="E54" i="10"/>
  <c r="E50" i="10"/>
  <c r="K208" i="6"/>
  <c r="K19" i="6"/>
  <c r="K16" i="6"/>
  <c r="K112" i="6"/>
  <c r="M17" i="5"/>
  <c r="P17" i="5"/>
  <c r="L53" i="5"/>
  <c r="M53" i="5"/>
  <c r="AB24" i="18" l="1"/>
  <c r="E25" i="19"/>
  <c r="H25" i="19" s="1"/>
  <c r="G24" i="19"/>
  <c r="G26" i="19" s="1"/>
  <c r="F24" i="19"/>
  <c r="F26" i="19" s="1"/>
  <c r="D24" i="19"/>
  <c r="D26" i="19" s="1"/>
  <c r="C24" i="19"/>
  <c r="C26" i="19" s="1"/>
  <c r="E23" i="19"/>
  <c r="H23" i="19" s="1"/>
  <c r="E22" i="19"/>
  <c r="H22" i="19" s="1"/>
  <c r="E21" i="19"/>
  <c r="H21" i="19" s="1"/>
  <c r="E20" i="19"/>
  <c r="H20" i="19" s="1"/>
  <c r="E19" i="19"/>
  <c r="H19" i="19" s="1"/>
  <c r="E18" i="19"/>
  <c r="H18" i="19" s="1"/>
  <c r="E17" i="19"/>
  <c r="H17" i="19" s="1"/>
  <c r="E16" i="19"/>
  <c r="H16" i="19" s="1"/>
  <c r="E15" i="19"/>
  <c r="H15" i="19" s="1"/>
  <c r="E14" i="19"/>
  <c r="H14" i="19" s="1"/>
  <c r="E13" i="19"/>
  <c r="H13" i="19" s="1"/>
  <c r="E12" i="19"/>
  <c r="H12" i="19" s="1"/>
  <c r="E11" i="19"/>
  <c r="H11" i="19" s="1"/>
  <c r="E10" i="19"/>
  <c r="H10" i="19" s="1"/>
  <c r="E9" i="19"/>
  <c r="H9" i="19" s="1"/>
  <c r="E8" i="19"/>
  <c r="H8" i="19" s="1"/>
  <c r="E7" i="19"/>
  <c r="E24" i="19" l="1"/>
  <c r="E26" i="19" s="1"/>
  <c r="H7" i="19"/>
  <c r="H24" i="19" s="1"/>
  <c r="H26" i="19" s="1"/>
  <c r="J85" i="4" l="1"/>
  <c r="J22" i="4"/>
  <c r="L85" i="4"/>
  <c r="L41" i="3"/>
  <c r="I18" i="13"/>
  <c r="L52" i="2"/>
  <c r="L43" i="2"/>
  <c r="L50" i="2"/>
  <c r="L47" i="2"/>
  <c r="L21" i="2"/>
  <c r="L22" i="2"/>
  <c r="L20" i="2"/>
  <c r="M119" i="5"/>
  <c r="K229" i="5"/>
  <c r="J560" i="15" l="1"/>
  <c r="K560" i="15"/>
  <c r="I560" i="15"/>
  <c r="L464" i="15"/>
  <c r="N858" i="7"/>
  <c r="N653" i="7"/>
  <c r="L51" i="2"/>
  <c r="Q27" i="13"/>
  <c r="Q24" i="13"/>
  <c r="Q23" i="13"/>
  <c r="Q19" i="13"/>
  <c r="Q13" i="13"/>
  <c r="P27" i="13"/>
  <c r="P24" i="13"/>
  <c r="P23" i="13"/>
  <c r="P19" i="13"/>
  <c r="P18" i="13"/>
  <c r="P17" i="13"/>
  <c r="P16" i="13"/>
  <c r="P13" i="13"/>
  <c r="P11" i="13"/>
  <c r="I36" i="13"/>
  <c r="I27" i="13"/>
  <c r="I24" i="13"/>
  <c r="H28" i="13"/>
  <c r="H27" i="13"/>
  <c r="H24" i="13"/>
  <c r="H23" i="13"/>
  <c r="H18" i="13"/>
  <c r="H17" i="13"/>
  <c r="H16" i="13"/>
  <c r="H11" i="13"/>
  <c r="H10" i="13"/>
  <c r="H9" i="13"/>
  <c r="H8" i="13"/>
  <c r="E33" i="11"/>
  <c r="E30" i="11"/>
  <c r="E18" i="11"/>
  <c r="E14" i="11"/>
  <c r="E10" i="11"/>
  <c r="E74" i="10"/>
  <c r="E10" i="10"/>
  <c r="E215" i="16"/>
  <c r="E212" i="16"/>
  <c r="E209" i="16"/>
  <c r="E206" i="16"/>
  <c r="E203" i="16"/>
  <c r="E200" i="16"/>
  <c r="E196" i="16"/>
  <c r="E192" i="16"/>
  <c r="E188" i="16"/>
  <c r="E183" i="16"/>
  <c r="E179" i="16"/>
  <c r="E174" i="16"/>
  <c r="E170" i="16"/>
  <c r="E164" i="16"/>
  <c r="E160" i="16"/>
  <c r="E155" i="16"/>
  <c r="E151" i="16"/>
  <c r="E146" i="16"/>
  <c r="E141" i="16"/>
  <c r="E136" i="16"/>
  <c r="E132" i="16"/>
  <c r="E128" i="16"/>
  <c r="E124" i="16"/>
  <c r="E119" i="16"/>
  <c r="E114" i="16"/>
  <c r="E110" i="16"/>
  <c r="E106" i="16"/>
  <c r="E101" i="16"/>
  <c r="E97" i="16"/>
  <c r="E93" i="16"/>
  <c r="E86" i="16"/>
  <c r="E81" i="16"/>
  <c r="E76" i="16"/>
  <c r="E70" i="16"/>
  <c r="E66" i="16"/>
  <c r="E62" i="16"/>
  <c r="E58" i="16"/>
  <c r="E54" i="16"/>
  <c r="E50" i="16"/>
  <c r="E46" i="16"/>
  <c r="E42" i="16"/>
  <c r="E38" i="16"/>
  <c r="E34" i="16"/>
  <c r="E30" i="16"/>
  <c r="E26" i="16"/>
  <c r="E22" i="16"/>
  <c r="E18" i="16"/>
  <c r="E14" i="16"/>
  <c r="E10" i="16"/>
  <c r="E546" i="15"/>
  <c r="E543" i="15"/>
  <c r="E540" i="15"/>
  <c r="E537" i="15"/>
  <c r="E534" i="15"/>
  <c r="E531" i="15"/>
  <c r="E528" i="15"/>
  <c r="E525" i="15"/>
  <c r="E522" i="15"/>
  <c r="E519" i="15"/>
  <c r="E516" i="15"/>
  <c r="E513" i="15"/>
  <c r="E510" i="15"/>
  <c r="E507" i="15"/>
  <c r="E504" i="15"/>
  <c r="E501" i="15"/>
  <c r="E498" i="15"/>
  <c r="E495" i="15"/>
  <c r="E492" i="15"/>
  <c r="E489" i="15"/>
  <c r="E486" i="15"/>
  <c r="E483" i="15"/>
  <c r="E480" i="15"/>
  <c r="E477" i="15"/>
  <c r="E474" i="15"/>
  <c r="E471" i="15"/>
  <c r="E468" i="15"/>
  <c r="E465" i="15"/>
  <c r="E462" i="15"/>
  <c r="E459" i="15"/>
  <c r="E456" i="15"/>
  <c r="E453" i="15"/>
  <c r="E450" i="15"/>
  <c r="E447" i="15"/>
  <c r="E444" i="15"/>
  <c r="E441" i="15"/>
  <c r="E438" i="15"/>
  <c r="E435" i="15"/>
  <c r="E432" i="15"/>
  <c r="E429" i="15"/>
  <c r="E426" i="15"/>
  <c r="E423" i="15"/>
  <c r="E417" i="15"/>
  <c r="E420" i="15"/>
  <c r="E413" i="15"/>
  <c r="E408" i="15"/>
  <c r="E404" i="15"/>
  <c r="E400" i="15"/>
  <c r="E396" i="15"/>
  <c r="E392" i="15"/>
  <c r="E388" i="15"/>
  <c r="E384" i="15"/>
  <c r="E380" i="15"/>
  <c r="E376" i="15"/>
  <c r="E372" i="15"/>
  <c r="E368" i="15"/>
  <c r="E364" i="15"/>
  <c r="E360" i="15"/>
  <c r="E356" i="15"/>
  <c r="E352" i="15"/>
  <c r="E348" i="15"/>
  <c r="E344" i="15"/>
  <c r="E340" i="15"/>
  <c r="E336" i="15"/>
  <c r="E332" i="15"/>
  <c r="E328" i="15"/>
  <c r="E324" i="15"/>
  <c r="E320" i="15"/>
  <c r="E316" i="15"/>
  <c r="E312" i="15"/>
  <c r="E308" i="15"/>
  <c r="E304" i="15"/>
  <c r="E300" i="15"/>
  <c r="E296" i="15"/>
  <c r="E292" i="15"/>
  <c r="E288" i="15"/>
  <c r="E285" i="15"/>
  <c r="E281" i="15"/>
  <c r="E277" i="15"/>
  <c r="E273" i="15"/>
  <c r="E269" i="15"/>
  <c r="E265" i="15"/>
  <c r="E261" i="15"/>
  <c r="E257" i="15"/>
  <c r="E253" i="15"/>
  <c r="E249" i="15"/>
  <c r="E245" i="15"/>
  <c r="E241" i="15"/>
  <c r="E237" i="15"/>
  <c r="E233" i="15"/>
  <c r="E229" i="15"/>
  <c r="E225" i="15"/>
  <c r="E221" i="15"/>
  <c r="E217" i="15"/>
  <c r="E213" i="15"/>
  <c r="E209" i="15"/>
  <c r="E205" i="15"/>
  <c r="E201" i="15"/>
  <c r="E197" i="15"/>
  <c r="E193" i="15"/>
  <c r="E189" i="15"/>
  <c r="E185" i="15"/>
  <c r="E181" i="15"/>
  <c r="E177" i="15"/>
  <c r="E168" i="15"/>
  <c r="E164" i="15"/>
  <c r="E152" i="15"/>
  <c r="E146" i="15"/>
  <c r="E143" i="15"/>
  <c r="E140" i="15"/>
  <c r="E137" i="15"/>
  <c r="E134" i="15"/>
  <c r="E131" i="15"/>
  <c r="E128" i="15"/>
  <c r="E125" i="15"/>
  <c r="E119" i="15"/>
  <c r="E116" i="15"/>
  <c r="E113" i="15"/>
  <c r="E110" i="15"/>
  <c r="E106" i="15"/>
  <c r="E102" i="15"/>
  <c r="E98" i="15"/>
  <c r="E94" i="15"/>
  <c r="E90" i="15"/>
  <c r="E86" i="15"/>
  <c r="E82" i="15"/>
  <c r="E78" i="15"/>
  <c r="E74" i="15"/>
  <c r="E70" i="15"/>
  <c r="E66" i="15"/>
  <c r="E62" i="15"/>
  <c r="E58" i="15"/>
  <c r="E54" i="15"/>
  <c r="E50" i="15"/>
  <c r="E46" i="15"/>
  <c r="E42" i="15"/>
  <c r="E38" i="15"/>
  <c r="E34" i="15"/>
  <c r="E30" i="15"/>
  <c r="E26" i="15"/>
  <c r="E18" i="15"/>
  <c r="E14" i="15"/>
  <c r="E10" i="15"/>
  <c r="J559" i="15"/>
  <c r="K559" i="15"/>
  <c r="I559" i="15"/>
  <c r="J555" i="15"/>
  <c r="K555" i="15"/>
  <c r="I555" i="15"/>
  <c r="I551" i="15"/>
  <c r="L547" i="15"/>
  <c r="L544" i="15"/>
  <c r="L541" i="15"/>
  <c r="L538" i="15"/>
  <c r="L535" i="15"/>
  <c r="L532" i="15"/>
  <c r="L529" i="15"/>
  <c r="L526" i="15"/>
  <c r="L523" i="15"/>
  <c r="L520" i="15"/>
  <c r="L517" i="15"/>
  <c r="L514" i="15"/>
  <c r="K862" i="7"/>
  <c r="L862" i="7"/>
  <c r="M862" i="7"/>
  <c r="N862" i="7"/>
  <c r="J862" i="7"/>
  <c r="L100" i="5"/>
  <c r="M100" i="5"/>
  <c r="N100" i="5"/>
  <c r="O100" i="5"/>
  <c r="P100" i="5"/>
  <c r="Q100" i="5"/>
  <c r="R100" i="5"/>
  <c r="K100" i="5"/>
  <c r="L62" i="5"/>
  <c r="M62" i="5"/>
  <c r="N62" i="5"/>
  <c r="O62" i="5"/>
  <c r="P62" i="5"/>
  <c r="Q62" i="5"/>
  <c r="R62" i="5"/>
  <c r="K62" i="5"/>
  <c r="K96" i="4"/>
  <c r="L96" i="4"/>
  <c r="M96" i="4"/>
  <c r="N96" i="4"/>
  <c r="O96" i="4"/>
  <c r="P96" i="4"/>
  <c r="Q96" i="4"/>
  <c r="R96" i="4"/>
  <c r="J96" i="4"/>
  <c r="R58" i="4"/>
  <c r="K58" i="4"/>
  <c r="L58" i="4"/>
  <c r="M58" i="4"/>
  <c r="N58" i="4"/>
  <c r="O58" i="4"/>
  <c r="P58" i="4"/>
  <c r="Q58" i="4"/>
  <c r="J58" i="4"/>
  <c r="V24" i="18"/>
  <c r="T24" i="18"/>
  <c r="S24" i="18"/>
  <c r="O24" i="18"/>
  <c r="L24" i="18"/>
  <c r="K24" i="18"/>
  <c r="J24" i="18"/>
  <c r="I24" i="18"/>
  <c r="Z23" i="18"/>
  <c r="AA23" i="18" s="1"/>
  <c r="P23" i="18"/>
  <c r="Q23" i="18" s="1"/>
  <c r="Z22" i="18"/>
  <c r="AA22" i="18" s="1"/>
  <c r="P22" i="18"/>
  <c r="Q22" i="18" s="1"/>
  <c r="Z21" i="18"/>
  <c r="Y21" i="18"/>
  <c r="P21" i="18"/>
  <c r="Z20" i="18"/>
  <c r="Y20" i="18"/>
  <c r="P20" i="18"/>
  <c r="Q20" i="18" s="1"/>
  <c r="AA19" i="18"/>
  <c r="Q19" i="18"/>
  <c r="AA18" i="18"/>
  <c r="Q18" i="18"/>
  <c r="Y17" i="18"/>
  <c r="W17" i="18"/>
  <c r="W24" i="18" s="1"/>
  <c r="Q17" i="18"/>
  <c r="U16" i="18"/>
  <c r="AA16" i="18" s="1"/>
  <c r="Q16" i="18"/>
  <c r="Y15" i="18"/>
  <c r="N15" i="18"/>
  <c r="Q15" i="18" s="1"/>
  <c r="H15" i="18"/>
  <c r="H24" i="18" s="1"/>
  <c r="AA14" i="18"/>
  <c r="N14" i="18"/>
  <c r="M14" i="18"/>
  <c r="M24" i="18" s="1"/>
  <c r="U13" i="18"/>
  <c r="Q13" i="18"/>
  <c r="AA12" i="18"/>
  <c r="G12" i="18" s="1"/>
  <c r="Q12" i="18"/>
  <c r="Y11" i="18"/>
  <c r="AA11" i="18" s="1"/>
  <c r="Q11" i="18"/>
  <c r="J229" i="16"/>
  <c r="I229" i="16"/>
  <c r="J228" i="16"/>
  <c r="I228" i="16"/>
  <c r="J227" i="16"/>
  <c r="I227" i="16"/>
  <c r="K227" i="16" s="1"/>
  <c r="J225" i="16"/>
  <c r="I225" i="16"/>
  <c r="J224" i="16"/>
  <c r="I224" i="16"/>
  <c r="I223" i="16"/>
  <c r="J221" i="16"/>
  <c r="L34" i="3" s="1"/>
  <c r="Q18" i="13" s="1"/>
  <c r="I221" i="16"/>
  <c r="J220" i="16"/>
  <c r="I220" i="16"/>
  <c r="I219" i="16"/>
  <c r="K217" i="16"/>
  <c r="K216" i="16"/>
  <c r="K214" i="16"/>
  <c r="K213" i="16"/>
  <c r="K211" i="16"/>
  <c r="K210" i="16"/>
  <c r="K208" i="16"/>
  <c r="K207" i="16"/>
  <c r="K205" i="16"/>
  <c r="K204" i="16"/>
  <c r="K202" i="16"/>
  <c r="K201" i="16"/>
  <c r="K199" i="16"/>
  <c r="K198" i="16"/>
  <c r="K197" i="16"/>
  <c r="K195" i="16"/>
  <c r="K194" i="16"/>
  <c r="K193" i="16"/>
  <c r="K191" i="16"/>
  <c r="K190" i="16"/>
  <c r="K189" i="16"/>
  <c r="K185" i="16"/>
  <c r="K184" i="16"/>
  <c r="K182" i="16"/>
  <c r="K181" i="16"/>
  <c r="K180" i="16"/>
  <c r="K177" i="16"/>
  <c r="K176" i="16"/>
  <c r="K175" i="16"/>
  <c r="K173" i="16"/>
  <c r="K172" i="16"/>
  <c r="K171" i="16"/>
  <c r="K167" i="16"/>
  <c r="K166" i="16"/>
  <c r="K165" i="16"/>
  <c r="K163" i="16"/>
  <c r="K162" i="16"/>
  <c r="K161" i="16"/>
  <c r="K158" i="16"/>
  <c r="K157" i="16"/>
  <c r="K156" i="16"/>
  <c r="K154" i="16"/>
  <c r="K153" i="16"/>
  <c r="K152" i="16"/>
  <c r="K149" i="16"/>
  <c r="K148" i="16"/>
  <c r="K147" i="16"/>
  <c r="K144" i="16"/>
  <c r="K143" i="16"/>
  <c r="K142" i="16"/>
  <c r="K139" i="16"/>
  <c r="K138" i="16"/>
  <c r="K137" i="16"/>
  <c r="K135" i="16"/>
  <c r="K134" i="16"/>
  <c r="J133" i="16"/>
  <c r="K133" i="16" s="1"/>
  <c r="K131" i="16"/>
  <c r="K130" i="16"/>
  <c r="K129" i="16"/>
  <c r="K127" i="16"/>
  <c r="K126" i="16"/>
  <c r="J125" i="16"/>
  <c r="K125" i="16" s="1"/>
  <c r="K122" i="16"/>
  <c r="K121" i="16"/>
  <c r="K120" i="16"/>
  <c r="K117" i="16"/>
  <c r="K116" i="16"/>
  <c r="K115" i="16"/>
  <c r="K113" i="16"/>
  <c r="K112" i="16"/>
  <c r="K111" i="16"/>
  <c r="K109" i="16"/>
  <c r="K108" i="16"/>
  <c r="K107" i="16"/>
  <c r="K104" i="16"/>
  <c r="K103" i="16"/>
  <c r="K102" i="16"/>
  <c r="K100" i="16"/>
  <c r="K99" i="16"/>
  <c r="K98" i="16"/>
  <c r="K96" i="16"/>
  <c r="K95" i="16"/>
  <c r="K94" i="16"/>
  <c r="K89" i="16"/>
  <c r="K88" i="16"/>
  <c r="J87" i="16"/>
  <c r="K87" i="16" s="1"/>
  <c r="K84" i="16"/>
  <c r="K83" i="16"/>
  <c r="K82" i="16"/>
  <c r="K79" i="16"/>
  <c r="K78" i="16"/>
  <c r="K77" i="16"/>
  <c r="K73" i="16"/>
  <c r="K72" i="16"/>
  <c r="K71" i="16"/>
  <c r="K69" i="16"/>
  <c r="K68" i="16"/>
  <c r="K67" i="16"/>
  <c r="K65" i="16"/>
  <c r="K64" i="16"/>
  <c r="K63" i="16"/>
  <c r="K61" i="16"/>
  <c r="K60" i="16"/>
  <c r="K59" i="16"/>
  <c r="K57" i="16"/>
  <c r="K56" i="16"/>
  <c r="K55" i="16"/>
  <c r="K53" i="16"/>
  <c r="K52" i="16"/>
  <c r="K51" i="16"/>
  <c r="K49" i="16"/>
  <c r="K48" i="16"/>
  <c r="K47" i="16"/>
  <c r="K45" i="16"/>
  <c r="K44" i="16"/>
  <c r="K43" i="16"/>
  <c r="K41" i="16"/>
  <c r="K40" i="16"/>
  <c r="K39" i="16"/>
  <c r="K37" i="16"/>
  <c r="K36" i="16"/>
  <c r="K35" i="16"/>
  <c r="K33" i="16"/>
  <c r="K32" i="16"/>
  <c r="K31" i="16"/>
  <c r="K29" i="16"/>
  <c r="K28" i="16"/>
  <c r="J27" i="16"/>
  <c r="K27" i="16" s="1"/>
  <c r="K25" i="16"/>
  <c r="K24" i="16"/>
  <c r="K23" i="16"/>
  <c r="K21" i="16"/>
  <c r="K20" i="16"/>
  <c r="K19" i="16"/>
  <c r="K17" i="16"/>
  <c r="K16" i="16"/>
  <c r="K15" i="16"/>
  <c r="K13" i="16"/>
  <c r="K12" i="16"/>
  <c r="K11" i="16"/>
  <c r="I558" i="15"/>
  <c r="K556" i="15"/>
  <c r="J556" i="15"/>
  <c r="I556" i="15"/>
  <c r="K554" i="15"/>
  <c r="I554" i="15"/>
  <c r="I552" i="15"/>
  <c r="I550" i="15"/>
  <c r="L548" i="15"/>
  <c r="L545" i="15"/>
  <c r="L542" i="15"/>
  <c r="L539" i="15"/>
  <c r="L536" i="15"/>
  <c r="L533" i="15"/>
  <c r="L530" i="15"/>
  <c r="L527" i="15"/>
  <c r="L524" i="15"/>
  <c r="L521" i="15"/>
  <c r="L518" i="15"/>
  <c r="L515" i="15"/>
  <c r="L512" i="15"/>
  <c r="L511" i="15"/>
  <c r="L509" i="15"/>
  <c r="L508" i="15"/>
  <c r="L506" i="15"/>
  <c r="L505" i="15"/>
  <c r="L503" i="15"/>
  <c r="L502" i="15"/>
  <c r="L500" i="15"/>
  <c r="L499" i="15"/>
  <c r="L497" i="15"/>
  <c r="L496" i="15"/>
  <c r="L494" i="15"/>
  <c r="L493" i="15"/>
  <c r="L491" i="15"/>
  <c r="L490" i="15"/>
  <c r="L488" i="15"/>
  <c r="L487" i="15"/>
  <c r="L485" i="15"/>
  <c r="L484" i="15"/>
  <c r="L482" i="15"/>
  <c r="L481" i="15"/>
  <c r="L479" i="15"/>
  <c r="L478" i="15"/>
  <c r="L476" i="15"/>
  <c r="L475" i="15"/>
  <c r="L473" i="15"/>
  <c r="L472" i="15"/>
  <c r="L470" i="15"/>
  <c r="L469" i="15"/>
  <c r="L467" i="15"/>
  <c r="L466" i="15"/>
  <c r="L463" i="15"/>
  <c r="L461" i="15"/>
  <c r="L460" i="15"/>
  <c r="L458" i="15"/>
  <c r="L457" i="15"/>
  <c r="L455" i="15"/>
  <c r="L454" i="15"/>
  <c r="L452" i="15"/>
  <c r="L451" i="15"/>
  <c r="L449" i="15"/>
  <c r="L448" i="15"/>
  <c r="L446" i="15"/>
  <c r="L445" i="15"/>
  <c r="L443" i="15"/>
  <c r="L442" i="15"/>
  <c r="L440" i="15"/>
  <c r="L439" i="15"/>
  <c r="L437" i="15"/>
  <c r="L436" i="15"/>
  <c r="L434" i="15"/>
  <c r="L433" i="15"/>
  <c r="L431" i="15"/>
  <c r="L430" i="15"/>
  <c r="L428" i="15"/>
  <c r="L427" i="15"/>
  <c r="L425" i="15"/>
  <c r="L424" i="15"/>
  <c r="L422" i="15"/>
  <c r="L421" i="15"/>
  <c r="L419" i="15"/>
  <c r="L418" i="15"/>
  <c r="L416" i="15"/>
  <c r="L415" i="15"/>
  <c r="L414" i="15"/>
  <c r="L411" i="15"/>
  <c r="L410" i="15"/>
  <c r="L409" i="15"/>
  <c r="L407" i="15"/>
  <c r="L406" i="15"/>
  <c r="L405" i="15"/>
  <c r="L403" i="15"/>
  <c r="L402" i="15"/>
  <c r="L401" i="15"/>
  <c r="L399" i="15"/>
  <c r="L398" i="15"/>
  <c r="L397" i="15"/>
  <c r="L395" i="15"/>
  <c r="L394" i="15"/>
  <c r="L393" i="15"/>
  <c r="L391" i="15"/>
  <c r="L390" i="15"/>
  <c r="L389" i="15"/>
  <c r="L387" i="15"/>
  <c r="L386" i="15"/>
  <c r="L385" i="15"/>
  <c r="L383" i="15"/>
  <c r="L382" i="15"/>
  <c r="L381" i="15"/>
  <c r="L379" i="15"/>
  <c r="L378" i="15"/>
  <c r="L377" i="15"/>
  <c r="L375" i="15"/>
  <c r="L374" i="15"/>
  <c r="L373" i="15"/>
  <c r="L371" i="15"/>
  <c r="L370" i="15"/>
  <c r="L369" i="15"/>
  <c r="L367" i="15"/>
  <c r="L366" i="15"/>
  <c r="L365" i="15"/>
  <c r="L363" i="15"/>
  <c r="L362" i="15"/>
  <c r="L361" i="15"/>
  <c r="L359" i="15"/>
  <c r="L358" i="15"/>
  <c r="L357" i="15"/>
  <c r="L355" i="15"/>
  <c r="L354" i="15"/>
  <c r="L353" i="15"/>
  <c r="L351" i="15"/>
  <c r="L350" i="15"/>
  <c r="L349" i="15"/>
  <c r="L347" i="15"/>
  <c r="L346" i="15"/>
  <c r="L345" i="15"/>
  <c r="L343" i="15"/>
  <c r="L342" i="15"/>
  <c r="L341" i="15"/>
  <c r="L339" i="15"/>
  <c r="L338" i="15"/>
  <c r="L337" i="15"/>
  <c r="L335" i="15"/>
  <c r="L334" i="15"/>
  <c r="L333" i="15"/>
  <c r="L331" i="15"/>
  <c r="L330" i="15"/>
  <c r="L329" i="15"/>
  <c r="L327" i="15"/>
  <c r="L326" i="15"/>
  <c r="M325" i="15"/>
  <c r="M550" i="15" s="1"/>
  <c r="L325" i="15"/>
  <c r="L323" i="15"/>
  <c r="L322" i="15"/>
  <c r="L321" i="15"/>
  <c r="L319" i="15"/>
  <c r="L318" i="15"/>
  <c r="L317" i="15"/>
  <c r="L315" i="15"/>
  <c r="L314" i="15"/>
  <c r="L313" i="15"/>
  <c r="L311" i="15"/>
  <c r="L310" i="15"/>
  <c r="L309" i="15"/>
  <c r="L307" i="15"/>
  <c r="L306" i="15"/>
  <c r="L305" i="15"/>
  <c r="L303" i="15"/>
  <c r="L302" i="15"/>
  <c r="J301" i="15"/>
  <c r="L301" i="15" s="1"/>
  <c r="L299" i="15"/>
  <c r="L298" i="15"/>
  <c r="L297" i="15"/>
  <c r="L295" i="15"/>
  <c r="L294" i="15"/>
  <c r="L293" i="15"/>
  <c r="L291" i="15"/>
  <c r="L290" i="15"/>
  <c r="J289" i="15"/>
  <c r="L289" i="15" s="1"/>
  <c r="L287" i="15"/>
  <c r="L286" i="15"/>
  <c r="L284" i="15"/>
  <c r="L283" i="15"/>
  <c r="L282" i="15"/>
  <c r="L280" i="15"/>
  <c r="L279" i="15"/>
  <c r="L278" i="15"/>
  <c r="L276" i="15"/>
  <c r="L275" i="15"/>
  <c r="L274" i="15"/>
  <c r="L272" i="15"/>
  <c r="L271" i="15"/>
  <c r="L270" i="15"/>
  <c r="L268" i="15"/>
  <c r="L267" i="15"/>
  <c r="L266" i="15"/>
  <c r="L264" i="15"/>
  <c r="L263" i="15"/>
  <c r="L262" i="15"/>
  <c r="L260" i="15"/>
  <c r="L259" i="15"/>
  <c r="L258" i="15"/>
  <c r="L256" i="15"/>
  <c r="L255" i="15"/>
  <c r="L254" i="15"/>
  <c r="L252" i="15"/>
  <c r="L251" i="15"/>
  <c r="L250" i="15"/>
  <c r="L248" i="15"/>
  <c r="L247" i="15"/>
  <c r="L246" i="15"/>
  <c r="L244" i="15"/>
  <c r="L243" i="15"/>
  <c r="L242" i="15"/>
  <c r="L240" i="15"/>
  <c r="L239" i="15"/>
  <c r="L238" i="15"/>
  <c r="L236" i="15"/>
  <c r="L235" i="15"/>
  <c r="L234" i="15"/>
  <c r="L232" i="15"/>
  <c r="L231" i="15"/>
  <c r="L230" i="15"/>
  <c r="L228" i="15"/>
  <c r="L227" i="15"/>
  <c r="L226" i="15"/>
  <c r="L224" i="15"/>
  <c r="L223" i="15"/>
  <c r="L222" i="15"/>
  <c r="L220" i="15"/>
  <c r="L219" i="15"/>
  <c r="L218" i="15"/>
  <c r="L216" i="15"/>
  <c r="L215" i="15"/>
  <c r="L214" i="15"/>
  <c r="L212" i="15"/>
  <c r="L211" i="15"/>
  <c r="L210" i="15"/>
  <c r="L208" i="15"/>
  <c r="L207" i="15"/>
  <c r="L206" i="15"/>
  <c r="L204" i="15"/>
  <c r="L203" i="15"/>
  <c r="L202" i="15"/>
  <c r="L200" i="15"/>
  <c r="L199" i="15"/>
  <c r="L198" i="15"/>
  <c r="L196" i="15"/>
  <c r="L195" i="15"/>
  <c r="J194" i="15"/>
  <c r="L194" i="15" s="1"/>
  <c r="L192" i="15"/>
  <c r="L191" i="15"/>
  <c r="L190" i="15"/>
  <c r="L188" i="15"/>
  <c r="L187" i="15"/>
  <c r="J186" i="15"/>
  <c r="L186" i="15" s="1"/>
  <c r="L184" i="15"/>
  <c r="L183" i="15"/>
  <c r="L182" i="15"/>
  <c r="L180" i="15"/>
  <c r="L179" i="15"/>
  <c r="L178" i="15"/>
  <c r="F176" i="15"/>
  <c r="E176" i="15" s="1"/>
  <c r="L175" i="15"/>
  <c r="L174" i="15"/>
  <c r="L173" i="15"/>
  <c r="L171" i="15"/>
  <c r="L170" i="15"/>
  <c r="L169" i="15"/>
  <c r="L167" i="15"/>
  <c r="L166" i="15"/>
  <c r="L165" i="15"/>
  <c r="L163" i="15"/>
  <c r="E161" i="15" s="1"/>
  <c r="L162" i="15"/>
  <c r="L160" i="15"/>
  <c r="E158" i="15" s="1"/>
  <c r="L159" i="15"/>
  <c r="L157" i="15"/>
  <c r="E155" i="15" s="1"/>
  <c r="L156" i="15"/>
  <c r="L154" i="15"/>
  <c r="L153" i="15"/>
  <c r="L151" i="15"/>
  <c r="E149" i="15" s="1"/>
  <c r="L150" i="15"/>
  <c r="L148" i="15"/>
  <c r="L147" i="15"/>
  <c r="L145" i="15"/>
  <c r="L144" i="15"/>
  <c r="L142" i="15"/>
  <c r="L141" i="15"/>
  <c r="L139" i="15"/>
  <c r="L138" i="15"/>
  <c r="L136" i="15"/>
  <c r="L135" i="15"/>
  <c r="L133" i="15"/>
  <c r="L132" i="15"/>
  <c r="L130" i="15"/>
  <c r="L129" i="15"/>
  <c r="L127" i="15"/>
  <c r="L126" i="15"/>
  <c r="L124" i="15"/>
  <c r="E122" i="15" s="1"/>
  <c r="L123" i="15"/>
  <c r="L121" i="15"/>
  <c r="L120" i="15"/>
  <c r="L118" i="15"/>
  <c r="L117" i="15"/>
  <c r="L115" i="15"/>
  <c r="L114" i="15"/>
  <c r="L112" i="15"/>
  <c r="L111" i="15"/>
  <c r="L109" i="15"/>
  <c r="L108" i="15"/>
  <c r="L107" i="15"/>
  <c r="L105" i="15"/>
  <c r="L104" i="15"/>
  <c r="L103" i="15"/>
  <c r="L101" i="15"/>
  <c r="L100" i="15"/>
  <c r="L99" i="15"/>
  <c r="L97" i="15"/>
  <c r="L96" i="15"/>
  <c r="L95" i="15"/>
  <c r="L93" i="15"/>
  <c r="L92" i="15"/>
  <c r="L91" i="15"/>
  <c r="L89" i="15"/>
  <c r="L88" i="15"/>
  <c r="L87" i="15"/>
  <c r="L85" i="15"/>
  <c r="L84" i="15"/>
  <c r="L83" i="15"/>
  <c r="L81" i="15"/>
  <c r="L80" i="15"/>
  <c r="L79" i="15"/>
  <c r="L77" i="15"/>
  <c r="L76" i="15"/>
  <c r="L75" i="15"/>
  <c r="L73" i="15"/>
  <c r="L72" i="15"/>
  <c r="L71" i="15"/>
  <c r="K69" i="15"/>
  <c r="J69" i="15"/>
  <c r="K68" i="15"/>
  <c r="K551" i="15" s="1"/>
  <c r="J68" i="15"/>
  <c r="J551" i="15" s="1"/>
  <c r="K67" i="15"/>
  <c r="K558" i="15" s="1"/>
  <c r="J67" i="15"/>
  <c r="L65" i="15"/>
  <c r="L64" i="15"/>
  <c r="L63" i="15"/>
  <c r="L61" i="15"/>
  <c r="L60" i="15"/>
  <c r="J59" i="15"/>
  <c r="L59" i="15" s="1"/>
  <c r="F58" i="15"/>
  <c r="L57" i="15"/>
  <c r="L56" i="15"/>
  <c r="L55" i="15"/>
  <c r="L53" i="15"/>
  <c r="L52" i="15"/>
  <c r="L51" i="15"/>
  <c r="L49" i="15"/>
  <c r="L48" i="15"/>
  <c r="L47" i="15"/>
  <c r="L45" i="15"/>
  <c r="L44" i="15"/>
  <c r="L43" i="15"/>
  <c r="L41" i="15"/>
  <c r="L40" i="15"/>
  <c r="L39" i="15"/>
  <c r="L37" i="15"/>
  <c r="L36" i="15"/>
  <c r="L35" i="15"/>
  <c r="L33" i="15"/>
  <c r="L32" i="15"/>
  <c r="J31" i="15"/>
  <c r="L31" i="15" s="1"/>
  <c r="F30" i="15"/>
  <c r="L29" i="15"/>
  <c r="L28" i="15"/>
  <c r="J27" i="15"/>
  <c r="L27" i="15" s="1"/>
  <c r="F26" i="15"/>
  <c r="F25" i="15"/>
  <c r="E25" i="15" s="1"/>
  <c r="F24" i="15"/>
  <c r="E24" i="15" s="1"/>
  <c r="F23" i="15"/>
  <c r="E23" i="15" s="1"/>
  <c r="F22" i="15"/>
  <c r="E22" i="15" s="1"/>
  <c r="L21" i="15"/>
  <c r="L20" i="15"/>
  <c r="L19" i="15"/>
  <c r="L17" i="15"/>
  <c r="L16" i="15"/>
  <c r="L15" i="15"/>
  <c r="L13" i="15"/>
  <c r="L12" i="15"/>
  <c r="J11" i="15"/>
  <c r="L11" i="15" s="1"/>
  <c r="F10" i="15"/>
  <c r="Q29" i="13" l="1"/>
  <c r="K229" i="16"/>
  <c r="G11" i="18"/>
  <c r="U24" i="18"/>
  <c r="K225" i="16"/>
  <c r="L555" i="15"/>
  <c r="G18" i="18"/>
  <c r="Y24" i="18"/>
  <c r="AA20" i="18"/>
  <c r="G20" i="18" s="1"/>
  <c r="K221" i="16"/>
  <c r="J552" i="15"/>
  <c r="L69" i="15"/>
  <c r="K550" i="15"/>
  <c r="L67" i="15"/>
  <c r="G22" i="18"/>
  <c r="AA21" i="18"/>
  <c r="G23" i="18"/>
  <c r="N24" i="18"/>
  <c r="G16" i="18"/>
  <c r="G19" i="18"/>
  <c r="Z24" i="18"/>
  <c r="AA15" i="18"/>
  <c r="G15" i="18" s="1"/>
  <c r="P24" i="18"/>
  <c r="X24" i="18"/>
  <c r="AA13" i="18"/>
  <c r="G13" i="18" s="1"/>
  <c r="Q14" i="18"/>
  <c r="G14" i="18" s="1"/>
  <c r="Q21" i="18"/>
  <c r="AA17" i="18"/>
  <c r="G17" i="18" s="1"/>
  <c r="J219" i="16"/>
  <c r="K219" i="16" s="1"/>
  <c r="K220" i="16"/>
  <c r="J223" i="16"/>
  <c r="K223" i="16" s="1"/>
  <c r="K224" i="16"/>
  <c r="K228" i="16"/>
  <c r="J558" i="15"/>
  <c r="L558" i="15" s="1"/>
  <c r="L560" i="15"/>
  <c r="K552" i="15"/>
  <c r="J554" i="15"/>
  <c r="L554" i="15" s="1"/>
  <c r="J550" i="15"/>
  <c r="L68" i="15"/>
  <c r="L556" i="15"/>
  <c r="G21" i="18" l="1"/>
  <c r="G24" i="18" s="1"/>
  <c r="L550" i="15"/>
  <c r="L552" i="15"/>
  <c r="AA24" i="18"/>
  <c r="Q24" i="18"/>
  <c r="L551" i="15"/>
  <c r="L559" i="15"/>
  <c r="J34" i="3" l="1"/>
  <c r="G135" i="7"/>
  <c r="L41" i="5" l="1"/>
  <c r="M41" i="5"/>
  <c r="N41" i="5"/>
  <c r="O41" i="5"/>
  <c r="P41" i="5"/>
  <c r="Q41" i="5"/>
  <c r="R41" i="5"/>
  <c r="K41" i="5"/>
  <c r="J96" i="5"/>
  <c r="K238" i="5" l="1"/>
  <c r="O238" i="5"/>
  <c r="R238" i="5"/>
  <c r="N238" i="5"/>
  <c r="Q238" i="5"/>
  <c r="M238" i="5"/>
  <c r="P238" i="5"/>
  <c r="L238" i="5"/>
  <c r="K39" i="3" l="1"/>
  <c r="I853" i="7"/>
  <c r="I850" i="7"/>
  <c r="J38" i="11"/>
  <c r="K38" i="11"/>
  <c r="L38" i="11"/>
  <c r="M38" i="11"/>
  <c r="N38" i="11"/>
  <c r="I38" i="11"/>
  <c r="O34" i="11"/>
  <c r="J82" i="10"/>
  <c r="K82" i="10"/>
  <c r="L82" i="10"/>
  <c r="M82" i="10"/>
  <c r="N82" i="10"/>
  <c r="I82" i="10"/>
  <c r="O78" i="10"/>
  <c r="F36" i="13" l="1"/>
  <c r="E36" i="13"/>
  <c r="F35" i="13"/>
  <c r="E35" i="13"/>
  <c r="N29" i="13"/>
  <c r="M29" i="13"/>
  <c r="F29" i="13"/>
  <c r="E29" i="13"/>
  <c r="O27" i="13"/>
  <c r="H36" i="13"/>
  <c r="G27" i="13"/>
  <c r="G36" i="13" s="1"/>
  <c r="G24" i="13"/>
  <c r="O23" i="13"/>
  <c r="N20" i="13"/>
  <c r="M20" i="13"/>
  <c r="F20" i="13"/>
  <c r="E20" i="13"/>
  <c r="G18" i="13"/>
  <c r="N14" i="13"/>
  <c r="M14" i="13"/>
  <c r="F14" i="13"/>
  <c r="E14" i="13"/>
  <c r="P170" i="12"/>
  <c r="P169" i="12"/>
  <c r="E168" i="12" s="1"/>
  <c r="P166" i="12"/>
  <c r="P165" i="12"/>
  <c r="E163" i="12" s="1"/>
  <c r="P164" i="12"/>
  <c r="P161" i="12"/>
  <c r="P160" i="12"/>
  <c r="E158" i="12" s="1"/>
  <c r="P159" i="12"/>
  <c r="P156" i="12"/>
  <c r="P155" i="12"/>
  <c r="E153" i="12" s="1"/>
  <c r="P154" i="12"/>
  <c r="P151" i="12"/>
  <c r="P150" i="12"/>
  <c r="E148" i="12" s="1"/>
  <c r="P149" i="12"/>
  <c r="P146" i="12"/>
  <c r="P145" i="12"/>
  <c r="E143" i="12" s="1"/>
  <c r="P144" i="12"/>
  <c r="P141" i="12"/>
  <c r="P140" i="12"/>
  <c r="E138" i="12" s="1"/>
  <c r="P139" i="12"/>
  <c r="P136" i="12"/>
  <c r="P135" i="12"/>
  <c r="E133" i="12" s="1"/>
  <c r="P134" i="12"/>
  <c r="P131" i="12"/>
  <c r="P130" i="12"/>
  <c r="E128" i="12" s="1"/>
  <c r="P129" i="12"/>
  <c r="P126" i="12"/>
  <c r="P125" i="12"/>
  <c r="E123" i="12" s="1"/>
  <c r="P124" i="12"/>
  <c r="P121" i="12"/>
  <c r="P120" i="12"/>
  <c r="E118" i="12" s="1"/>
  <c r="P119" i="12"/>
  <c r="P116" i="12"/>
  <c r="P115" i="12"/>
  <c r="E113" i="12" s="1"/>
  <c r="P114" i="12"/>
  <c r="P111" i="12"/>
  <c r="P110" i="12"/>
  <c r="E108" i="12" s="1"/>
  <c r="P109" i="12"/>
  <c r="P106" i="12"/>
  <c r="P105" i="12"/>
  <c r="E103" i="12" s="1"/>
  <c r="P104" i="12"/>
  <c r="P101" i="12"/>
  <c r="P100" i="12"/>
  <c r="E98" i="12" s="1"/>
  <c r="P99" i="12"/>
  <c r="P96" i="12"/>
  <c r="P95" i="12"/>
  <c r="E93" i="12" s="1"/>
  <c r="P94" i="12"/>
  <c r="P91" i="12"/>
  <c r="P90" i="12"/>
  <c r="E88" i="12" s="1"/>
  <c r="P89" i="12"/>
  <c r="P86" i="12"/>
  <c r="P85" i="12"/>
  <c r="E83" i="12" s="1"/>
  <c r="P84" i="12"/>
  <c r="P81" i="12"/>
  <c r="P80" i="12"/>
  <c r="E78" i="12" s="1"/>
  <c r="P79" i="12"/>
  <c r="P76" i="12"/>
  <c r="P75" i="12"/>
  <c r="E73" i="12" s="1"/>
  <c r="P74" i="12"/>
  <c r="P71" i="12"/>
  <c r="P70" i="12"/>
  <c r="E68" i="12" s="1"/>
  <c r="P69" i="12"/>
  <c r="P66" i="12"/>
  <c r="P65" i="12"/>
  <c r="E63" i="12" s="1"/>
  <c r="P64" i="12"/>
  <c r="P61" i="12"/>
  <c r="P60" i="12"/>
  <c r="E58" i="12" s="1"/>
  <c r="P59" i="12"/>
  <c r="O56" i="12"/>
  <c r="N56" i="12"/>
  <c r="M56" i="12"/>
  <c r="L56" i="12"/>
  <c r="K56" i="12"/>
  <c r="J56" i="12"/>
  <c r="I56" i="12"/>
  <c r="O55" i="12"/>
  <c r="N55" i="12"/>
  <c r="M55" i="12"/>
  <c r="L55" i="12"/>
  <c r="K55" i="12"/>
  <c r="J55" i="12"/>
  <c r="I55" i="12"/>
  <c r="O54" i="12"/>
  <c r="N54" i="12"/>
  <c r="M54" i="12"/>
  <c r="L54" i="12"/>
  <c r="K54" i="12"/>
  <c r="J54" i="12"/>
  <c r="I54" i="12"/>
  <c r="G53" i="12"/>
  <c r="F53" i="12"/>
  <c r="P52" i="12"/>
  <c r="P51" i="12"/>
  <c r="E49" i="12" s="1"/>
  <c r="P50" i="12"/>
  <c r="E48" i="12"/>
  <c r="E47" i="12"/>
  <c r="E46" i="12"/>
  <c r="P45" i="12"/>
  <c r="P44" i="12"/>
  <c r="E42" i="12" s="1"/>
  <c r="P43" i="12"/>
  <c r="E41" i="12"/>
  <c r="P40" i="12"/>
  <c r="P39" i="12"/>
  <c r="E37" i="12" s="1"/>
  <c r="P38" i="12"/>
  <c r="P34" i="12"/>
  <c r="P33" i="12"/>
  <c r="E31" i="12" s="1"/>
  <c r="P32" i="12"/>
  <c r="P29" i="12"/>
  <c r="P28" i="12"/>
  <c r="E26" i="12" s="1"/>
  <c r="P27" i="12"/>
  <c r="O25" i="12"/>
  <c r="N25" i="12"/>
  <c r="M25" i="12"/>
  <c r="L25" i="12"/>
  <c r="K25" i="12"/>
  <c r="J25" i="12"/>
  <c r="I25" i="12"/>
  <c r="O24" i="12"/>
  <c r="N24" i="12"/>
  <c r="M24" i="12"/>
  <c r="L24" i="12"/>
  <c r="K24" i="12"/>
  <c r="J24" i="12"/>
  <c r="I24" i="12"/>
  <c r="O23" i="12"/>
  <c r="N23" i="12"/>
  <c r="M23" i="12"/>
  <c r="L23" i="12"/>
  <c r="K23" i="12"/>
  <c r="J23" i="12"/>
  <c r="I23" i="12"/>
  <c r="G22" i="12"/>
  <c r="P21" i="12"/>
  <c r="P20" i="12"/>
  <c r="E18" i="12" s="1"/>
  <c r="P19" i="12"/>
  <c r="E17" i="12"/>
  <c r="F16" i="12"/>
  <c r="F22" i="12" s="1"/>
  <c r="E15" i="12"/>
  <c r="P14" i="12"/>
  <c r="P13" i="12"/>
  <c r="E11" i="12" s="1"/>
  <c r="P12" i="12"/>
  <c r="N39" i="11"/>
  <c r="M39" i="11"/>
  <c r="L39" i="11"/>
  <c r="K39" i="11"/>
  <c r="J39" i="11"/>
  <c r="I39" i="11"/>
  <c r="P37" i="11"/>
  <c r="N37" i="11"/>
  <c r="M37" i="11"/>
  <c r="L37" i="11"/>
  <c r="K37" i="11"/>
  <c r="J37" i="11"/>
  <c r="I37" i="11"/>
  <c r="O35" i="11"/>
  <c r="O32" i="11"/>
  <c r="O31" i="11"/>
  <c r="O29" i="11"/>
  <c r="O28" i="11"/>
  <c r="O27" i="11"/>
  <c r="E26" i="11" s="1"/>
  <c r="O25" i="11"/>
  <c r="O24" i="11"/>
  <c r="O23" i="11"/>
  <c r="E22" i="11" s="1"/>
  <c r="O21" i="11"/>
  <c r="O20" i="11"/>
  <c r="O19" i="11"/>
  <c r="F18" i="11"/>
  <c r="O17" i="11"/>
  <c r="O16" i="11"/>
  <c r="O15" i="11"/>
  <c r="O13" i="11"/>
  <c r="O12" i="11"/>
  <c r="O11" i="11"/>
  <c r="F10" i="11"/>
  <c r="N83" i="10"/>
  <c r="M83" i="10"/>
  <c r="L83" i="10"/>
  <c r="K83" i="10"/>
  <c r="J83" i="10"/>
  <c r="I83" i="10"/>
  <c r="N81" i="10"/>
  <c r="M81" i="10"/>
  <c r="L81" i="10"/>
  <c r="K81" i="10"/>
  <c r="J81" i="10"/>
  <c r="I81" i="10"/>
  <c r="O79" i="10"/>
  <c r="O76" i="10"/>
  <c r="O75" i="10"/>
  <c r="O73" i="10"/>
  <c r="O72" i="10"/>
  <c r="O71" i="10"/>
  <c r="O69" i="10"/>
  <c r="O68" i="10"/>
  <c r="O67" i="10"/>
  <c r="O65" i="10"/>
  <c r="O64" i="10"/>
  <c r="P63" i="10"/>
  <c r="O63" i="10"/>
  <c r="O61" i="10"/>
  <c r="O60" i="10"/>
  <c r="P59" i="10"/>
  <c r="P81" i="10" s="1"/>
  <c r="O59" i="10"/>
  <c r="O57" i="10"/>
  <c r="O56" i="10"/>
  <c r="O55" i="10"/>
  <c r="O53" i="10"/>
  <c r="O52" i="10"/>
  <c r="O51" i="10"/>
  <c r="O49" i="10"/>
  <c r="O48" i="10"/>
  <c r="O47" i="10"/>
  <c r="O45" i="10"/>
  <c r="O44" i="10"/>
  <c r="O43" i="10"/>
  <c r="F42" i="10"/>
  <c r="O41" i="10"/>
  <c r="O40" i="10"/>
  <c r="O39" i="10"/>
  <c r="F38" i="10"/>
  <c r="O37" i="10"/>
  <c r="O36" i="10"/>
  <c r="O35" i="10"/>
  <c r="F34" i="10"/>
  <c r="O33" i="10"/>
  <c r="O32" i="10"/>
  <c r="O31" i="10"/>
  <c r="F30" i="10"/>
  <c r="O29" i="10"/>
  <c r="O28" i="10"/>
  <c r="O27" i="10"/>
  <c r="F26" i="10"/>
  <c r="O25" i="10"/>
  <c r="O24" i="10"/>
  <c r="O23" i="10"/>
  <c r="F22" i="10"/>
  <c r="O21" i="10"/>
  <c r="O20" i="10"/>
  <c r="O19" i="10"/>
  <c r="F18" i="10"/>
  <c r="O17" i="10"/>
  <c r="O16" i="10"/>
  <c r="O15" i="10"/>
  <c r="F14" i="10"/>
  <c r="O13" i="10"/>
  <c r="O12" i="10"/>
  <c r="O11" i="10"/>
  <c r="M861" i="7"/>
  <c r="L861" i="7"/>
  <c r="K861" i="7"/>
  <c r="J861" i="7"/>
  <c r="M860" i="7"/>
  <c r="I854" i="7"/>
  <c r="I851" i="7"/>
  <c r="I848" i="7"/>
  <c r="I847" i="7"/>
  <c r="I845" i="7"/>
  <c r="I844" i="7"/>
  <c r="I842" i="7"/>
  <c r="I841" i="7"/>
  <c r="I839" i="7"/>
  <c r="I838" i="7"/>
  <c r="I836" i="7"/>
  <c r="I835" i="7"/>
  <c r="I833" i="7"/>
  <c r="I832" i="7"/>
  <c r="I830" i="7"/>
  <c r="I829" i="7"/>
  <c r="I827" i="7"/>
  <c r="I826" i="7"/>
  <c r="I824" i="7"/>
  <c r="I823" i="7"/>
  <c r="I821" i="7"/>
  <c r="I820" i="7"/>
  <c r="I818" i="7"/>
  <c r="I817" i="7"/>
  <c r="I815" i="7"/>
  <c r="I814" i="7"/>
  <c r="I812" i="7"/>
  <c r="I811" i="7"/>
  <c r="I809" i="7"/>
  <c r="I808" i="7"/>
  <c r="I806" i="7"/>
  <c r="I805" i="7"/>
  <c r="I803" i="7"/>
  <c r="I802" i="7"/>
  <c r="I800" i="7"/>
  <c r="I799" i="7"/>
  <c r="I798" i="7"/>
  <c r="I796" i="7"/>
  <c r="I795" i="7"/>
  <c r="I794" i="7"/>
  <c r="I792" i="7"/>
  <c r="I791" i="7"/>
  <c r="I790" i="7"/>
  <c r="I788" i="7"/>
  <c r="I787" i="7"/>
  <c r="I786" i="7"/>
  <c r="I784" i="7"/>
  <c r="I783" i="7"/>
  <c r="I782" i="7"/>
  <c r="I780" i="7"/>
  <c r="I779" i="7"/>
  <c r="I778" i="7"/>
  <c r="I776" i="7"/>
  <c r="I775" i="7"/>
  <c r="I774" i="7"/>
  <c r="I772" i="7"/>
  <c r="I771" i="7"/>
  <c r="I770" i="7"/>
  <c r="I768" i="7"/>
  <c r="I767" i="7"/>
  <c r="I766" i="7"/>
  <c r="I764" i="7"/>
  <c r="I763" i="7"/>
  <c r="I762" i="7"/>
  <c r="I760" i="7"/>
  <c r="I759" i="7"/>
  <c r="I758" i="7"/>
  <c r="I756" i="7"/>
  <c r="I755" i="7"/>
  <c r="I754" i="7"/>
  <c r="I752" i="7"/>
  <c r="I751" i="7"/>
  <c r="I750" i="7"/>
  <c r="I748" i="7"/>
  <c r="I747" i="7"/>
  <c r="L746" i="7"/>
  <c r="I744" i="7"/>
  <c r="I743" i="7"/>
  <c r="L742" i="7"/>
  <c r="I742" i="7" s="1"/>
  <c r="I740" i="7"/>
  <c r="I739" i="7"/>
  <c r="I738" i="7"/>
  <c r="I736" i="7"/>
  <c r="I735" i="7"/>
  <c r="I734" i="7"/>
  <c r="I729" i="7"/>
  <c r="I728" i="7"/>
  <c r="I727" i="7"/>
  <c r="I723" i="7"/>
  <c r="I722" i="7"/>
  <c r="L721" i="7"/>
  <c r="I721" i="7" s="1"/>
  <c r="I717" i="7"/>
  <c r="I716" i="7"/>
  <c r="I715" i="7"/>
  <c r="I713" i="7"/>
  <c r="I712" i="7"/>
  <c r="I711" i="7"/>
  <c r="I707" i="7"/>
  <c r="I706" i="7"/>
  <c r="I705" i="7"/>
  <c r="I701" i="7"/>
  <c r="I700" i="7"/>
  <c r="L699" i="7"/>
  <c r="I699" i="7" s="1"/>
  <c r="I697" i="7"/>
  <c r="I696" i="7"/>
  <c r="I695" i="7"/>
  <c r="I692" i="7"/>
  <c r="I691" i="7"/>
  <c r="I690" i="7"/>
  <c r="I688" i="7"/>
  <c r="I687" i="7"/>
  <c r="L686" i="7"/>
  <c r="I686" i="7" s="1"/>
  <c r="I684" i="7"/>
  <c r="I683" i="7"/>
  <c r="L682" i="7"/>
  <c r="I682" i="7" s="1"/>
  <c r="I679" i="7"/>
  <c r="I678" i="7"/>
  <c r="L677" i="7"/>
  <c r="I673" i="7"/>
  <c r="I672" i="7"/>
  <c r="I671" i="7"/>
  <c r="I669" i="7"/>
  <c r="I668" i="7"/>
  <c r="I667" i="7"/>
  <c r="I665" i="7"/>
  <c r="I664" i="7"/>
  <c r="I663" i="7"/>
  <c r="I661" i="7"/>
  <c r="I660" i="7"/>
  <c r="I659" i="7"/>
  <c r="I657" i="7"/>
  <c r="I656" i="7"/>
  <c r="I655" i="7"/>
  <c r="I653" i="7"/>
  <c r="N652" i="7"/>
  <c r="I652" i="7" s="1"/>
  <c r="N651" i="7"/>
  <c r="I651" i="7" s="1"/>
  <c r="G650" i="7"/>
  <c r="F650" i="7"/>
  <c r="E650" i="7"/>
  <c r="I649" i="7"/>
  <c r="I648" i="7"/>
  <c r="I647" i="7"/>
  <c r="I645" i="7"/>
  <c r="I644" i="7"/>
  <c r="L643" i="7"/>
  <c r="I643" i="7" s="1"/>
  <c r="I641" i="7"/>
  <c r="I640" i="7"/>
  <c r="L639" i="7"/>
  <c r="I639" i="7" s="1"/>
  <c r="I637" i="7"/>
  <c r="I636" i="7"/>
  <c r="L635" i="7"/>
  <c r="I635" i="7" s="1"/>
  <c r="I633" i="7"/>
  <c r="I632" i="7"/>
  <c r="L631" i="7"/>
  <c r="I631" i="7" s="1"/>
  <c r="I629" i="7"/>
  <c r="I628" i="7"/>
  <c r="I627" i="7"/>
  <c r="I625" i="7"/>
  <c r="I624" i="7"/>
  <c r="L623" i="7"/>
  <c r="I623" i="7" s="1"/>
  <c r="I621" i="7"/>
  <c r="I620" i="7"/>
  <c r="I619" i="7"/>
  <c r="I617" i="7"/>
  <c r="I616" i="7"/>
  <c r="I615" i="7"/>
  <c r="I613" i="7"/>
  <c r="I612" i="7"/>
  <c r="L611" i="7"/>
  <c r="I611" i="7" s="1"/>
  <c r="I609" i="7"/>
  <c r="I608" i="7"/>
  <c r="L607" i="7"/>
  <c r="I607" i="7" s="1"/>
  <c r="I605" i="7"/>
  <c r="I604" i="7"/>
  <c r="L603" i="7"/>
  <c r="I603" i="7" s="1"/>
  <c r="I601" i="7"/>
  <c r="I600" i="7"/>
  <c r="L599" i="7"/>
  <c r="I599" i="7" s="1"/>
  <c r="I597" i="7"/>
  <c r="I596" i="7"/>
  <c r="L595" i="7"/>
  <c r="I595" i="7" s="1"/>
  <c r="I593" i="7"/>
  <c r="I592" i="7"/>
  <c r="I591" i="7"/>
  <c r="I589" i="7"/>
  <c r="I588" i="7"/>
  <c r="I587" i="7"/>
  <c r="I585" i="7"/>
  <c r="I584" i="7"/>
  <c r="I583" i="7"/>
  <c r="I581" i="7"/>
  <c r="I580" i="7"/>
  <c r="I579" i="7"/>
  <c r="I577" i="7"/>
  <c r="I576" i="7"/>
  <c r="I575" i="7"/>
  <c r="I572" i="7"/>
  <c r="I571" i="7"/>
  <c r="I570" i="7"/>
  <c r="I568" i="7"/>
  <c r="I567" i="7"/>
  <c r="I566" i="7"/>
  <c r="I564" i="7"/>
  <c r="I563" i="7"/>
  <c r="I562" i="7"/>
  <c r="I560" i="7"/>
  <c r="I559" i="7"/>
  <c r="I558" i="7"/>
  <c r="I556" i="7"/>
  <c r="I555" i="7"/>
  <c r="I554" i="7"/>
  <c r="I551" i="7"/>
  <c r="I550" i="7"/>
  <c r="I549" i="7"/>
  <c r="I547" i="7"/>
  <c r="I546" i="7"/>
  <c r="I545" i="7"/>
  <c r="I543" i="7"/>
  <c r="I542" i="7"/>
  <c r="I541" i="7"/>
  <c r="I539" i="7"/>
  <c r="I538" i="7"/>
  <c r="I537" i="7"/>
  <c r="G535" i="7"/>
  <c r="I534" i="7"/>
  <c r="I533" i="7"/>
  <c r="I532" i="7"/>
  <c r="I530" i="7"/>
  <c r="I529" i="7"/>
  <c r="I528" i="7"/>
  <c r="I526" i="7"/>
  <c r="I525" i="7"/>
  <c r="L524" i="7"/>
  <c r="I524" i="7" s="1"/>
  <c r="I522" i="7"/>
  <c r="I521" i="7"/>
  <c r="L520" i="7"/>
  <c r="I520" i="7" s="1"/>
  <c r="I518" i="7"/>
  <c r="I517" i="7"/>
  <c r="I516" i="7"/>
  <c r="I514" i="7"/>
  <c r="I513" i="7"/>
  <c r="I512" i="7"/>
  <c r="I510" i="7"/>
  <c r="I509" i="7"/>
  <c r="I508" i="7"/>
  <c r="I506" i="7"/>
  <c r="I505" i="7"/>
  <c r="L504" i="7"/>
  <c r="I504" i="7" s="1"/>
  <c r="I502" i="7"/>
  <c r="I501" i="7"/>
  <c r="I500" i="7"/>
  <c r="I498" i="7"/>
  <c r="I497" i="7"/>
  <c r="I496" i="7"/>
  <c r="I493" i="7"/>
  <c r="I492" i="7"/>
  <c r="L491" i="7"/>
  <c r="I491" i="7" s="1"/>
  <c r="I489" i="7"/>
  <c r="I488" i="7"/>
  <c r="I487" i="7"/>
  <c r="I485" i="7"/>
  <c r="I484" i="7"/>
  <c r="N483" i="7"/>
  <c r="I483" i="7" s="1"/>
  <c r="I481" i="7"/>
  <c r="I480" i="7"/>
  <c r="I479" i="7"/>
  <c r="I477" i="7"/>
  <c r="I476" i="7"/>
  <c r="I475" i="7"/>
  <c r="I473" i="7"/>
  <c r="I472" i="7"/>
  <c r="I471" i="7"/>
  <c r="I469" i="7"/>
  <c r="I468" i="7"/>
  <c r="I467" i="7"/>
  <c r="I465" i="7"/>
  <c r="I464" i="7"/>
  <c r="I463" i="7"/>
  <c r="I461" i="7"/>
  <c r="N459" i="7"/>
  <c r="I459" i="7" s="1"/>
  <c r="I457" i="7"/>
  <c r="I456" i="7"/>
  <c r="I455" i="7"/>
  <c r="I453" i="7"/>
  <c r="I452" i="7"/>
  <c r="L451" i="7"/>
  <c r="K451" i="7"/>
  <c r="K860" i="7" s="1"/>
  <c r="J451" i="7"/>
  <c r="I449" i="7"/>
  <c r="I448" i="7"/>
  <c r="L447" i="7"/>
  <c r="I447" i="7" s="1"/>
  <c r="I445" i="7"/>
  <c r="I444" i="7"/>
  <c r="L443" i="7"/>
  <c r="I443" i="7" s="1"/>
  <c r="I440" i="7"/>
  <c r="I439" i="7"/>
  <c r="I438" i="7"/>
  <c r="I436" i="7"/>
  <c r="I435" i="7"/>
  <c r="I434" i="7"/>
  <c r="I431" i="7"/>
  <c r="I430" i="7"/>
  <c r="I429" i="7"/>
  <c r="I427" i="7"/>
  <c r="I426" i="7"/>
  <c r="I425" i="7"/>
  <c r="I423" i="7"/>
  <c r="I422" i="7"/>
  <c r="I421" i="7"/>
  <c r="I418" i="7"/>
  <c r="I417" i="7"/>
  <c r="I416" i="7"/>
  <c r="I414" i="7"/>
  <c r="I413" i="7"/>
  <c r="I412" i="7"/>
  <c r="I410" i="7"/>
  <c r="I409" i="7"/>
  <c r="I408" i="7"/>
  <c r="I405" i="7"/>
  <c r="I404" i="7"/>
  <c r="I403" i="7"/>
  <c r="I401" i="7"/>
  <c r="I400" i="7"/>
  <c r="I399" i="7"/>
  <c r="I397" i="7"/>
  <c r="I396" i="7"/>
  <c r="I395" i="7"/>
  <c r="I393" i="7"/>
  <c r="I392" i="7"/>
  <c r="I391" i="7"/>
  <c r="I389" i="7"/>
  <c r="I388" i="7"/>
  <c r="I387" i="7"/>
  <c r="I385" i="7"/>
  <c r="I384" i="7"/>
  <c r="I383" i="7"/>
  <c r="I381" i="7"/>
  <c r="I380" i="7"/>
  <c r="I379" i="7"/>
  <c r="I377" i="7"/>
  <c r="I376" i="7"/>
  <c r="I375" i="7"/>
  <c r="I373" i="7"/>
  <c r="I372" i="7"/>
  <c r="I371" i="7"/>
  <c r="I369" i="7"/>
  <c r="I368" i="7"/>
  <c r="I367" i="7"/>
  <c r="I365" i="7"/>
  <c r="I364" i="7"/>
  <c r="I363" i="7"/>
  <c r="I361" i="7"/>
  <c r="I360" i="7"/>
  <c r="I359" i="7"/>
  <c r="I357" i="7"/>
  <c r="I356" i="7"/>
  <c r="I355" i="7"/>
  <c r="I352" i="7"/>
  <c r="I351" i="7"/>
  <c r="I350" i="7"/>
  <c r="N348" i="7"/>
  <c r="M348" i="7"/>
  <c r="L348" i="7"/>
  <c r="K348" i="7"/>
  <c r="J348" i="7"/>
  <c r="N347" i="7"/>
  <c r="M347" i="7"/>
  <c r="L347" i="7"/>
  <c r="K347" i="7"/>
  <c r="J347" i="7"/>
  <c r="N346" i="7"/>
  <c r="M346" i="7"/>
  <c r="L346" i="7"/>
  <c r="K346" i="7"/>
  <c r="J346" i="7"/>
  <c r="G345" i="7"/>
  <c r="F345" i="7"/>
  <c r="E345" i="7"/>
  <c r="I344" i="7"/>
  <c r="I343" i="7"/>
  <c r="I342" i="7"/>
  <c r="I340" i="7"/>
  <c r="I339" i="7"/>
  <c r="I338" i="7"/>
  <c r="I335" i="7"/>
  <c r="I334" i="7"/>
  <c r="N333" i="7"/>
  <c r="I333" i="7" s="1"/>
  <c r="I331" i="7"/>
  <c r="I330" i="7"/>
  <c r="I328" i="7"/>
  <c r="I327" i="7"/>
  <c r="I325" i="7"/>
  <c r="I324" i="7"/>
  <c r="I323" i="7"/>
  <c r="I321" i="7"/>
  <c r="I320" i="7"/>
  <c r="I319" i="7"/>
  <c r="I317" i="7"/>
  <c r="I316" i="7"/>
  <c r="I315" i="7"/>
  <c r="I313" i="7"/>
  <c r="I312" i="7"/>
  <c r="I311" i="7"/>
  <c r="N308" i="7"/>
  <c r="M308" i="7"/>
  <c r="L308" i="7"/>
  <c r="K308" i="7"/>
  <c r="J308" i="7"/>
  <c r="N307" i="7"/>
  <c r="M307" i="7"/>
  <c r="L307" i="7"/>
  <c r="K307" i="7"/>
  <c r="J307" i="7"/>
  <c r="N306" i="7"/>
  <c r="M306" i="7"/>
  <c r="L306" i="7"/>
  <c r="K306" i="7"/>
  <c r="J306" i="7"/>
  <c r="G305" i="7"/>
  <c r="F305" i="7"/>
  <c r="E305" i="7"/>
  <c r="I304" i="7"/>
  <c r="I303" i="7"/>
  <c r="I302" i="7"/>
  <c r="I300" i="7"/>
  <c r="I299" i="7"/>
  <c r="I298" i="7"/>
  <c r="I296" i="7"/>
  <c r="I295" i="7"/>
  <c r="I294" i="7"/>
  <c r="I292" i="7"/>
  <c r="I291" i="7"/>
  <c r="I290" i="7"/>
  <c r="I288" i="7"/>
  <c r="I287" i="7"/>
  <c r="I286" i="7"/>
  <c r="N284" i="7"/>
  <c r="M284" i="7"/>
  <c r="L284" i="7"/>
  <c r="K284" i="7"/>
  <c r="J284" i="7"/>
  <c r="N283" i="7"/>
  <c r="M283" i="7"/>
  <c r="L283" i="7"/>
  <c r="K283" i="7"/>
  <c r="J283" i="7"/>
  <c r="N282" i="7"/>
  <c r="M282" i="7"/>
  <c r="L282" i="7"/>
  <c r="K282" i="7"/>
  <c r="J282" i="7"/>
  <c r="G281" i="7"/>
  <c r="F281" i="7"/>
  <c r="E281" i="7"/>
  <c r="I279" i="7"/>
  <c r="L278" i="7"/>
  <c r="I278" i="7" s="1"/>
  <c r="I276" i="7"/>
  <c r="I275" i="7"/>
  <c r="L274" i="7"/>
  <c r="I274" i="7" s="1"/>
  <c r="I272" i="7"/>
  <c r="I271" i="7"/>
  <c r="L270" i="7"/>
  <c r="I270" i="7" s="1"/>
  <c r="I268" i="7"/>
  <c r="I267" i="7"/>
  <c r="I266" i="7"/>
  <c r="I263" i="7"/>
  <c r="I262" i="7"/>
  <c r="L261" i="7"/>
  <c r="I261" i="7" s="1"/>
  <c r="I259" i="7"/>
  <c r="N258" i="7"/>
  <c r="I258" i="7" s="1"/>
  <c r="N257" i="7"/>
  <c r="I257" i="7" s="1"/>
  <c r="I253" i="7"/>
  <c r="I252" i="7"/>
  <c r="I250" i="7"/>
  <c r="I249" i="7"/>
  <c r="I248" i="7"/>
  <c r="I246" i="7"/>
  <c r="N245" i="7"/>
  <c r="I244" i="7"/>
  <c r="I241" i="7"/>
  <c r="I240" i="7"/>
  <c r="I239" i="7"/>
  <c r="I237" i="7"/>
  <c r="I236" i="7"/>
  <c r="I235" i="7"/>
  <c r="I233" i="7"/>
  <c r="I232" i="7"/>
  <c r="I231" i="7"/>
  <c r="I229" i="7"/>
  <c r="I228" i="7"/>
  <c r="I227" i="7"/>
  <c r="I225" i="7"/>
  <c r="I224" i="7"/>
  <c r="I223" i="7"/>
  <c r="I221" i="7"/>
  <c r="I220" i="7"/>
  <c r="I219" i="7"/>
  <c r="I217" i="7"/>
  <c r="I216" i="7"/>
  <c r="I215" i="7"/>
  <c r="I213" i="7"/>
  <c r="I212" i="7"/>
  <c r="I211" i="7"/>
  <c r="I209" i="7"/>
  <c r="I208" i="7"/>
  <c r="I207" i="7"/>
  <c r="N205" i="7"/>
  <c r="M205" i="7"/>
  <c r="L205" i="7"/>
  <c r="K205" i="7"/>
  <c r="J205" i="7"/>
  <c r="N204" i="7"/>
  <c r="M204" i="7"/>
  <c r="L204" i="7"/>
  <c r="K204" i="7"/>
  <c r="J204" i="7"/>
  <c r="N203" i="7"/>
  <c r="M203" i="7"/>
  <c r="L203" i="7"/>
  <c r="K203" i="7"/>
  <c r="J203" i="7"/>
  <c r="G202" i="7"/>
  <c r="F202" i="7"/>
  <c r="E202" i="7"/>
  <c r="I200" i="7"/>
  <c r="I199" i="7"/>
  <c r="I198" i="7"/>
  <c r="I196" i="7"/>
  <c r="I195" i="7"/>
  <c r="I194" i="7"/>
  <c r="I192" i="7"/>
  <c r="I191" i="7"/>
  <c r="I190" i="7"/>
  <c r="I188" i="7"/>
  <c r="I187" i="7"/>
  <c r="I186" i="7"/>
  <c r="I184" i="7"/>
  <c r="I183" i="7"/>
  <c r="I182" i="7"/>
  <c r="I180" i="7"/>
  <c r="I179" i="7"/>
  <c r="I178" i="7"/>
  <c r="I176" i="7"/>
  <c r="I175" i="7"/>
  <c r="N174" i="7"/>
  <c r="N136" i="7" s="1"/>
  <c r="I172" i="7"/>
  <c r="I171" i="7"/>
  <c r="I170" i="7"/>
  <c r="I168" i="7"/>
  <c r="I167" i="7"/>
  <c r="I166" i="7"/>
  <c r="I164" i="7"/>
  <c r="I163" i="7"/>
  <c r="I162" i="7"/>
  <c r="I160" i="7"/>
  <c r="I159" i="7"/>
  <c r="I158" i="7"/>
  <c r="I154" i="7"/>
  <c r="I153" i="7"/>
  <c r="I152" i="7"/>
  <c r="I150" i="7"/>
  <c r="I149" i="7"/>
  <c r="I148" i="7"/>
  <c r="I146" i="7"/>
  <c r="I145" i="7"/>
  <c r="I144" i="7"/>
  <c r="I142" i="7"/>
  <c r="I141" i="7"/>
  <c r="I140" i="7"/>
  <c r="N138" i="7"/>
  <c r="M138" i="7"/>
  <c r="L138" i="7"/>
  <c r="K138" i="7"/>
  <c r="J138" i="7"/>
  <c r="N137" i="7"/>
  <c r="M137" i="7"/>
  <c r="L137" i="7"/>
  <c r="K137" i="7"/>
  <c r="J137" i="7"/>
  <c r="M136" i="7"/>
  <c r="L136" i="7"/>
  <c r="K136" i="7"/>
  <c r="J136" i="7"/>
  <c r="F135" i="7"/>
  <c r="E135" i="7"/>
  <c r="I134" i="7"/>
  <c r="I133" i="7"/>
  <c r="L132" i="7"/>
  <c r="I132" i="7" s="1"/>
  <c r="I130" i="7"/>
  <c r="I129" i="7"/>
  <c r="L128" i="7"/>
  <c r="I128" i="7" s="1"/>
  <c r="I126" i="7"/>
  <c r="I125" i="7"/>
  <c r="L124" i="7"/>
  <c r="I124" i="7" s="1"/>
  <c r="I122" i="7"/>
  <c r="I121" i="7"/>
  <c r="I120" i="7"/>
  <c r="I118" i="7"/>
  <c r="I117" i="7"/>
  <c r="I115" i="7"/>
  <c r="I114" i="7"/>
  <c r="I113" i="7"/>
  <c r="I111" i="7"/>
  <c r="I110" i="7"/>
  <c r="I109" i="7"/>
  <c r="I107" i="7"/>
  <c r="I106" i="7"/>
  <c r="I105" i="7"/>
  <c r="I103" i="7"/>
  <c r="I102" i="7"/>
  <c r="I101" i="7"/>
  <c r="I99" i="7"/>
  <c r="I98" i="7"/>
  <c r="I97" i="7"/>
  <c r="I95" i="7"/>
  <c r="I94" i="7"/>
  <c r="I93" i="7"/>
  <c r="I91" i="7"/>
  <c r="I90" i="7"/>
  <c r="I89" i="7"/>
  <c r="I87" i="7"/>
  <c r="I86" i="7"/>
  <c r="I85" i="7"/>
  <c r="I83" i="7"/>
  <c r="I82" i="7"/>
  <c r="I81" i="7"/>
  <c r="I79" i="7"/>
  <c r="I78" i="7"/>
  <c r="I77" i="7"/>
  <c r="N75" i="7"/>
  <c r="M75" i="7"/>
  <c r="L75" i="7"/>
  <c r="K75" i="7"/>
  <c r="J75" i="7"/>
  <c r="N74" i="7"/>
  <c r="M74" i="7"/>
  <c r="L74" i="7"/>
  <c r="K74" i="7"/>
  <c r="J74" i="7"/>
  <c r="N73" i="7"/>
  <c r="M73" i="7"/>
  <c r="L73" i="7"/>
  <c r="K73" i="7"/>
  <c r="J73" i="7"/>
  <c r="G72" i="7"/>
  <c r="F72" i="7"/>
  <c r="E72" i="7"/>
  <c r="I71" i="7"/>
  <c r="I70" i="7"/>
  <c r="I68" i="7"/>
  <c r="I67" i="7"/>
  <c r="I66" i="7"/>
  <c r="I64" i="7"/>
  <c r="I63" i="7"/>
  <c r="I62" i="7"/>
  <c r="I60" i="7"/>
  <c r="I59" i="7"/>
  <c r="I58" i="7"/>
  <c r="I56" i="7"/>
  <c r="I55" i="7"/>
  <c r="I54" i="7"/>
  <c r="I52" i="7"/>
  <c r="I51" i="7"/>
  <c r="I50" i="7"/>
  <c r="I48" i="7"/>
  <c r="I47" i="7"/>
  <c r="I46" i="7"/>
  <c r="I44" i="7"/>
  <c r="I43" i="7"/>
  <c r="I42" i="7"/>
  <c r="I40" i="7"/>
  <c r="I39" i="7"/>
  <c r="I38" i="7"/>
  <c r="I36" i="7"/>
  <c r="I35" i="7"/>
  <c r="I34" i="7"/>
  <c r="N32" i="7"/>
  <c r="M32" i="7"/>
  <c r="L32" i="7"/>
  <c r="K32" i="7"/>
  <c r="J32" i="7"/>
  <c r="N31" i="7"/>
  <c r="M31" i="7"/>
  <c r="L31" i="7"/>
  <c r="K31" i="7"/>
  <c r="J31" i="7"/>
  <c r="N30" i="7"/>
  <c r="M30" i="7"/>
  <c r="L30" i="7"/>
  <c r="K30" i="7"/>
  <c r="J30" i="7"/>
  <c r="G29" i="7"/>
  <c r="F29" i="7"/>
  <c r="E29" i="7"/>
  <c r="I28" i="7"/>
  <c r="I27" i="7"/>
  <c r="L26" i="7"/>
  <c r="K26" i="7"/>
  <c r="J26" i="7"/>
  <c r="I24" i="7"/>
  <c r="I23" i="7"/>
  <c r="L22" i="7"/>
  <c r="I22" i="7" s="1"/>
  <c r="I20" i="7"/>
  <c r="I19" i="7"/>
  <c r="L18" i="7"/>
  <c r="I18" i="7" s="1"/>
  <c r="I16" i="7"/>
  <c r="I15" i="7"/>
  <c r="I14" i="7"/>
  <c r="I12" i="7"/>
  <c r="I11" i="7"/>
  <c r="I10" i="7"/>
  <c r="K224" i="6"/>
  <c r="I224" i="6"/>
  <c r="H224" i="6"/>
  <c r="G224" i="6"/>
  <c r="F224" i="6"/>
  <c r="J200" i="6"/>
  <c r="H200" i="6"/>
  <c r="G200" i="6"/>
  <c r="F186" i="6"/>
  <c r="F200" i="6" s="1"/>
  <c r="I175" i="6"/>
  <c r="I200" i="6" s="1"/>
  <c r="K200" i="6"/>
  <c r="R242" i="5"/>
  <c r="Q242" i="5"/>
  <c r="P242" i="5"/>
  <c r="O242" i="5"/>
  <c r="N242" i="5"/>
  <c r="M242" i="5"/>
  <c r="L242" i="5"/>
  <c r="K242" i="5"/>
  <c r="R241" i="5"/>
  <c r="Q241" i="5"/>
  <c r="O241" i="5"/>
  <c r="N241" i="5"/>
  <c r="L241" i="5"/>
  <c r="K241" i="5"/>
  <c r="I240" i="5"/>
  <c r="H240" i="5"/>
  <c r="G240" i="5"/>
  <c r="R229" i="5"/>
  <c r="Q229" i="5"/>
  <c r="Q248" i="5" s="1"/>
  <c r="P229" i="5"/>
  <c r="O229" i="5"/>
  <c r="O248" i="5" s="1"/>
  <c r="N229" i="5"/>
  <c r="M229" i="5"/>
  <c r="L229" i="5"/>
  <c r="L248" i="5" s="1"/>
  <c r="K248" i="5"/>
  <c r="R228" i="5"/>
  <c r="R247" i="5" s="1"/>
  <c r="Q228" i="5"/>
  <c r="P228" i="5"/>
  <c r="P247" i="5" s="1"/>
  <c r="O228" i="5"/>
  <c r="N228" i="5"/>
  <c r="M228" i="5"/>
  <c r="L228" i="5"/>
  <c r="L247" i="5" s="1"/>
  <c r="K228" i="5"/>
  <c r="R227" i="5"/>
  <c r="Q227" i="5"/>
  <c r="Q246" i="5" s="1"/>
  <c r="P227" i="5"/>
  <c r="O227" i="5"/>
  <c r="N227" i="5"/>
  <c r="M227" i="5"/>
  <c r="M246" i="5" s="1"/>
  <c r="L227" i="5"/>
  <c r="K227" i="5"/>
  <c r="K246" i="5" s="1"/>
  <c r="I226" i="5"/>
  <c r="I245" i="5" s="1"/>
  <c r="H226" i="5"/>
  <c r="G226" i="5"/>
  <c r="J192" i="5"/>
  <c r="J191" i="5"/>
  <c r="J189" i="5"/>
  <c r="J188" i="5"/>
  <c r="J186" i="5"/>
  <c r="J185" i="5"/>
  <c r="J183" i="5"/>
  <c r="J182" i="5"/>
  <c r="J181" i="5"/>
  <c r="J179" i="5"/>
  <c r="J178" i="5"/>
  <c r="J177" i="5"/>
  <c r="J175" i="5"/>
  <c r="J174" i="5"/>
  <c r="J173" i="5"/>
  <c r="J171" i="5"/>
  <c r="J170" i="5"/>
  <c r="J169" i="5"/>
  <c r="J167" i="5"/>
  <c r="J166" i="5"/>
  <c r="J165" i="5"/>
  <c r="J163" i="5"/>
  <c r="J162" i="5"/>
  <c r="J161" i="5"/>
  <c r="J159" i="5"/>
  <c r="J158" i="5"/>
  <c r="J157" i="5"/>
  <c r="J155" i="5"/>
  <c r="J154" i="5"/>
  <c r="J153" i="5"/>
  <c r="J151" i="5"/>
  <c r="J150" i="5"/>
  <c r="J149" i="5"/>
  <c r="J147" i="5"/>
  <c r="J146" i="5"/>
  <c r="J145" i="5"/>
  <c r="J143" i="5"/>
  <c r="J142" i="5"/>
  <c r="J141" i="5"/>
  <c r="J139" i="5"/>
  <c r="J138" i="5"/>
  <c r="J137" i="5"/>
  <c r="J135" i="5"/>
  <c r="J134" i="5"/>
  <c r="J133" i="5"/>
  <c r="J131" i="5"/>
  <c r="J130" i="5"/>
  <c r="J129" i="5"/>
  <c r="J127" i="5"/>
  <c r="J126" i="5"/>
  <c r="J125" i="5"/>
  <c r="J123" i="5"/>
  <c r="J122" i="5"/>
  <c r="J121" i="5"/>
  <c r="J119" i="5"/>
  <c r="J118" i="5"/>
  <c r="J117" i="5"/>
  <c r="J115" i="5"/>
  <c r="J113" i="5"/>
  <c r="J112" i="5"/>
  <c r="J111" i="5"/>
  <c r="J104" i="5"/>
  <c r="J103" i="5"/>
  <c r="J102" i="5"/>
  <c r="R99" i="5"/>
  <c r="Q99" i="5"/>
  <c r="P99" i="5"/>
  <c r="O99" i="5"/>
  <c r="N99" i="5"/>
  <c r="M99" i="5"/>
  <c r="L99" i="5"/>
  <c r="K99" i="5"/>
  <c r="R98" i="5"/>
  <c r="Q98" i="5"/>
  <c r="O98" i="5"/>
  <c r="N98" i="5"/>
  <c r="I97" i="5"/>
  <c r="H97" i="5"/>
  <c r="G97" i="5"/>
  <c r="J95" i="5"/>
  <c r="J94" i="5"/>
  <c r="J89" i="5"/>
  <c r="J88" i="5"/>
  <c r="P87" i="5"/>
  <c r="P241" i="5" s="1"/>
  <c r="M87" i="5"/>
  <c r="J82" i="5"/>
  <c r="J81" i="5"/>
  <c r="P80" i="5"/>
  <c r="M80" i="5"/>
  <c r="L80" i="5"/>
  <c r="K80" i="5"/>
  <c r="J77" i="5"/>
  <c r="J76" i="5"/>
  <c r="P75" i="5"/>
  <c r="M75" i="5"/>
  <c r="L75" i="5"/>
  <c r="K75" i="5"/>
  <c r="J72" i="5"/>
  <c r="J71" i="5"/>
  <c r="P70" i="5"/>
  <c r="M70" i="5"/>
  <c r="L70" i="5"/>
  <c r="K70" i="5"/>
  <c r="J65" i="5"/>
  <c r="P64" i="5"/>
  <c r="M64" i="5"/>
  <c r="R61" i="5"/>
  <c r="Q61" i="5"/>
  <c r="P61" i="5"/>
  <c r="O61" i="5"/>
  <c r="N61" i="5"/>
  <c r="M61" i="5"/>
  <c r="L61" i="5"/>
  <c r="K61" i="5"/>
  <c r="R60" i="5"/>
  <c r="Q60" i="5"/>
  <c r="P60" i="5"/>
  <c r="O60" i="5"/>
  <c r="N60" i="5"/>
  <c r="M60" i="5"/>
  <c r="L60" i="5"/>
  <c r="K60" i="5"/>
  <c r="I59" i="5"/>
  <c r="H59" i="5"/>
  <c r="G59" i="5"/>
  <c r="J57" i="5"/>
  <c r="J56" i="5"/>
  <c r="J55" i="5"/>
  <c r="J53" i="5"/>
  <c r="J52" i="5"/>
  <c r="J51" i="5"/>
  <c r="J49" i="5"/>
  <c r="J48" i="5"/>
  <c r="J47" i="5"/>
  <c r="J45" i="5"/>
  <c r="J44" i="5"/>
  <c r="J43" i="5"/>
  <c r="R40" i="5"/>
  <c r="Q40" i="5"/>
  <c r="P40" i="5"/>
  <c r="O40" i="5"/>
  <c r="N40" i="5"/>
  <c r="M40" i="5"/>
  <c r="L40" i="5"/>
  <c r="K40" i="5"/>
  <c r="R39" i="5"/>
  <c r="Q39" i="5"/>
  <c r="P39" i="5"/>
  <c r="O39" i="5"/>
  <c r="N39" i="5"/>
  <c r="M39" i="5"/>
  <c r="L39" i="5"/>
  <c r="K39" i="5"/>
  <c r="I38" i="5"/>
  <c r="H38" i="5"/>
  <c r="G38" i="5"/>
  <c r="J37" i="5"/>
  <c r="J36" i="5"/>
  <c r="J35" i="5"/>
  <c r="J32" i="5"/>
  <c r="J31" i="5"/>
  <c r="J30" i="5"/>
  <c r="J27" i="5"/>
  <c r="J26" i="5"/>
  <c r="J25" i="5"/>
  <c r="J22" i="5"/>
  <c r="J21" i="5"/>
  <c r="J20" i="5"/>
  <c r="J17" i="5"/>
  <c r="J16" i="5"/>
  <c r="J15" i="5"/>
  <c r="J12" i="5"/>
  <c r="J11" i="5"/>
  <c r="J10" i="5"/>
  <c r="I108" i="4"/>
  <c r="I107" i="4"/>
  <c r="I106" i="4"/>
  <c r="I100" i="4"/>
  <c r="I99" i="4"/>
  <c r="I98" i="4"/>
  <c r="R95" i="4"/>
  <c r="Q95" i="4"/>
  <c r="P95" i="4"/>
  <c r="O95" i="4"/>
  <c r="N95" i="4"/>
  <c r="M95" i="4"/>
  <c r="L95" i="4"/>
  <c r="K95" i="4"/>
  <c r="J95" i="4"/>
  <c r="R94" i="4"/>
  <c r="Q94" i="4"/>
  <c r="O94" i="4"/>
  <c r="N94" i="4"/>
  <c r="M94" i="4"/>
  <c r="K94" i="4"/>
  <c r="H93" i="4"/>
  <c r="G93" i="4"/>
  <c r="F93" i="4"/>
  <c r="I92" i="4"/>
  <c r="I91" i="4"/>
  <c r="I90" i="4"/>
  <c r="I85" i="4"/>
  <c r="I84" i="4"/>
  <c r="I83" i="4"/>
  <c r="I78" i="4"/>
  <c r="I77" i="4"/>
  <c r="P76" i="4"/>
  <c r="L76" i="4"/>
  <c r="L94" i="4" s="1"/>
  <c r="J76" i="4"/>
  <c r="J94" i="4" s="1"/>
  <c r="I73" i="4"/>
  <c r="I72" i="4"/>
  <c r="P71" i="4"/>
  <c r="I71" i="4" s="1"/>
  <c r="I68" i="4"/>
  <c r="I67" i="4"/>
  <c r="I66" i="4"/>
  <c r="I62" i="4"/>
  <c r="I61" i="4"/>
  <c r="P60" i="4"/>
  <c r="I60" i="4" s="1"/>
  <c r="R57" i="4"/>
  <c r="Q57" i="4"/>
  <c r="P57" i="4"/>
  <c r="O57" i="4"/>
  <c r="N57" i="4"/>
  <c r="M57" i="4"/>
  <c r="L57" i="4"/>
  <c r="K57" i="4"/>
  <c r="J57" i="4"/>
  <c r="P56" i="4"/>
  <c r="O56" i="4"/>
  <c r="N56" i="4"/>
  <c r="M56" i="4"/>
  <c r="L56" i="4"/>
  <c r="K56" i="4"/>
  <c r="J56" i="4"/>
  <c r="H55" i="4"/>
  <c r="G55" i="4"/>
  <c r="F55" i="4"/>
  <c r="I53" i="4"/>
  <c r="I52" i="4"/>
  <c r="Q51" i="4"/>
  <c r="Q56" i="4" s="1"/>
  <c r="I49" i="4"/>
  <c r="I48" i="4"/>
  <c r="I47" i="4"/>
  <c r="I45" i="4"/>
  <c r="I44" i="4"/>
  <c r="R43" i="4"/>
  <c r="R56" i="4" s="1"/>
  <c r="I43" i="4"/>
  <c r="R41" i="4"/>
  <c r="Q41" i="4"/>
  <c r="P41" i="4"/>
  <c r="O41" i="4"/>
  <c r="N41" i="4"/>
  <c r="M41" i="4"/>
  <c r="L41" i="4"/>
  <c r="K41" i="4"/>
  <c r="J41" i="4"/>
  <c r="R40" i="4"/>
  <c r="Q40" i="4"/>
  <c r="P40" i="4"/>
  <c r="O40" i="4"/>
  <c r="N40" i="4"/>
  <c r="M40" i="4"/>
  <c r="L40" i="4"/>
  <c r="K40" i="4"/>
  <c r="J40" i="4"/>
  <c r="R39" i="4"/>
  <c r="Q39" i="4"/>
  <c r="P39" i="4"/>
  <c r="O39" i="4"/>
  <c r="N39" i="4"/>
  <c r="M39" i="4"/>
  <c r="L39" i="4"/>
  <c r="K39" i="4"/>
  <c r="J39" i="4"/>
  <c r="H38" i="4"/>
  <c r="G38" i="4"/>
  <c r="F38" i="4"/>
  <c r="I37" i="4"/>
  <c r="I36" i="4"/>
  <c r="I35" i="4"/>
  <c r="I32" i="4"/>
  <c r="I31" i="4"/>
  <c r="I30" i="4"/>
  <c r="I27" i="4"/>
  <c r="I26" i="4"/>
  <c r="I25" i="4"/>
  <c r="I22" i="4"/>
  <c r="I21" i="4"/>
  <c r="I20" i="4"/>
  <c r="I17" i="4"/>
  <c r="I16" i="4"/>
  <c r="I15" i="4"/>
  <c r="I12" i="4"/>
  <c r="I11" i="4"/>
  <c r="I10" i="4"/>
  <c r="L39" i="3"/>
  <c r="J39" i="3"/>
  <c r="I39" i="3"/>
  <c r="H39" i="3"/>
  <c r="G39" i="3"/>
  <c r="L35" i="3"/>
  <c r="K35" i="3"/>
  <c r="J35" i="3"/>
  <c r="I35" i="3"/>
  <c r="H35" i="3"/>
  <c r="G35" i="3"/>
  <c r="K31" i="3"/>
  <c r="I31" i="3"/>
  <c r="H31" i="3"/>
  <c r="G31" i="3"/>
  <c r="L25" i="3"/>
  <c r="K25" i="3"/>
  <c r="J25" i="3"/>
  <c r="O19" i="13" s="1"/>
  <c r="H25" i="3"/>
  <c r="G25" i="3"/>
  <c r="L16" i="3"/>
  <c r="K16" i="3"/>
  <c r="J16" i="3"/>
  <c r="O13" i="13" s="1"/>
  <c r="I16" i="3"/>
  <c r="I15" i="3" s="1"/>
  <c r="H16" i="3"/>
  <c r="G16" i="3"/>
  <c r="K9" i="3"/>
  <c r="K7" i="3" s="1"/>
  <c r="J9" i="3"/>
  <c r="J7" i="3" s="1"/>
  <c r="I9" i="3"/>
  <c r="I7" i="3" s="1"/>
  <c r="H9" i="3"/>
  <c r="H7" i="3" s="1"/>
  <c r="G9" i="3"/>
  <c r="G7" i="3" s="1"/>
  <c r="L69" i="2"/>
  <c r="K69" i="2"/>
  <c r="J69" i="2"/>
  <c r="I69" i="2"/>
  <c r="H69" i="2"/>
  <c r="G69" i="2"/>
  <c r="L65" i="2"/>
  <c r="I28" i="13" s="1"/>
  <c r="K65" i="2"/>
  <c r="J65" i="2"/>
  <c r="G28" i="13" s="1"/>
  <c r="I65" i="2"/>
  <c r="H65" i="2"/>
  <c r="G65" i="2"/>
  <c r="J62" i="2"/>
  <c r="J61" i="2" s="1"/>
  <c r="G23" i="13" s="1"/>
  <c r="L61" i="2"/>
  <c r="I23" i="13" s="1"/>
  <c r="K61" i="2"/>
  <c r="I61" i="2"/>
  <c r="H61" i="2"/>
  <c r="G61" i="2"/>
  <c r="L53" i="2"/>
  <c r="K53" i="2"/>
  <c r="J53" i="2"/>
  <c r="I53" i="2"/>
  <c r="H53" i="2"/>
  <c r="G53" i="2"/>
  <c r="L48" i="2"/>
  <c r="I17" i="13" s="1"/>
  <c r="K48" i="2"/>
  <c r="J48" i="2"/>
  <c r="G17" i="13" s="1"/>
  <c r="I48" i="2"/>
  <c r="H48" i="2"/>
  <c r="G48" i="2"/>
  <c r="L44" i="2"/>
  <c r="I16" i="13" s="1"/>
  <c r="I20" i="13" s="1"/>
  <c r="K44" i="2"/>
  <c r="K43" i="2" s="1"/>
  <c r="J44" i="2"/>
  <c r="G16" i="13" s="1"/>
  <c r="I44" i="2"/>
  <c r="H44" i="2"/>
  <c r="G44" i="2"/>
  <c r="G43" i="2" s="1"/>
  <c r="J42" i="2"/>
  <c r="G11" i="13" s="1"/>
  <c r="L33" i="2"/>
  <c r="K33" i="2"/>
  <c r="J33" i="2"/>
  <c r="G10" i="13" s="1"/>
  <c r="I33" i="2"/>
  <c r="H33" i="2"/>
  <c r="G33" i="2"/>
  <c r="I9" i="13"/>
  <c r="K22" i="2"/>
  <c r="K21" i="2" s="1"/>
  <c r="J22" i="2"/>
  <c r="J21" i="2" s="1"/>
  <c r="G9" i="13" s="1"/>
  <c r="I22" i="2"/>
  <c r="I21" i="2" s="1"/>
  <c r="H22" i="2"/>
  <c r="H21" i="2" s="1"/>
  <c r="G22" i="2"/>
  <c r="G21" i="2" s="1"/>
  <c r="H14" i="2"/>
  <c r="H9" i="2" s="1"/>
  <c r="H8" i="2" s="1"/>
  <c r="L9" i="2"/>
  <c r="I8" i="13" s="1"/>
  <c r="K9" i="2"/>
  <c r="K8" i="2" s="1"/>
  <c r="J9" i="2"/>
  <c r="J8" i="2" s="1"/>
  <c r="I9" i="2"/>
  <c r="I8" i="2" s="1"/>
  <c r="G9" i="2"/>
  <c r="G8" i="2" s="1"/>
  <c r="I35" i="13" l="1"/>
  <c r="I29" i="13"/>
  <c r="M858" i="7"/>
  <c r="Q11" i="13" s="1"/>
  <c r="J858" i="7"/>
  <c r="L858" i="7"/>
  <c r="K858" i="7"/>
  <c r="H43" i="2"/>
  <c r="I43" i="2"/>
  <c r="E16" i="12"/>
  <c r="E22" i="12" s="1"/>
  <c r="K172" i="12"/>
  <c r="O172" i="12"/>
  <c r="I174" i="12"/>
  <c r="M174" i="12"/>
  <c r="L32" i="3" s="1"/>
  <c r="J15" i="3"/>
  <c r="O29" i="13"/>
  <c r="P25" i="12"/>
  <c r="J172" i="12"/>
  <c r="N172" i="12"/>
  <c r="K173" i="12"/>
  <c r="O173" i="12"/>
  <c r="L174" i="12"/>
  <c r="I174" i="7"/>
  <c r="L865" i="7"/>
  <c r="I460" i="7"/>
  <c r="I13" i="3"/>
  <c r="I38" i="3" s="1"/>
  <c r="I46" i="3" s="1"/>
  <c r="G15" i="3"/>
  <c r="G13" i="3" s="1"/>
  <c r="G38" i="3" s="1"/>
  <c r="G46" i="3" s="1"/>
  <c r="H7" i="2"/>
  <c r="H55" i="2" s="1"/>
  <c r="I7" i="2"/>
  <c r="I55" i="2" s="1"/>
  <c r="I60" i="2"/>
  <c r="I57" i="2" s="1"/>
  <c r="G29" i="13"/>
  <c r="G7" i="2"/>
  <c r="G55" i="2" s="1"/>
  <c r="K865" i="7"/>
  <c r="M21" i="13"/>
  <c r="M30" i="13" s="1"/>
  <c r="M38" i="13" s="1"/>
  <c r="G8" i="13"/>
  <c r="G14" i="13" s="1"/>
  <c r="J7" i="2"/>
  <c r="I138" i="7"/>
  <c r="M857" i="7"/>
  <c r="P23" i="12"/>
  <c r="H60" i="2"/>
  <c r="H57" i="2" s="1"/>
  <c r="L60" i="2"/>
  <c r="L57" i="2" s="1"/>
  <c r="M865" i="7"/>
  <c r="J857" i="7"/>
  <c r="N857" i="7"/>
  <c r="L172" i="12"/>
  <c r="J174" i="12"/>
  <c r="N174" i="12"/>
  <c r="L857" i="7"/>
  <c r="G60" i="2"/>
  <c r="G57" i="2" s="1"/>
  <c r="K60" i="2"/>
  <c r="K57" i="2" s="1"/>
  <c r="K15" i="3"/>
  <c r="K13" i="3" s="1"/>
  <c r="K38" i="3" s="1"/>
  <c r="K46" i="3" s="1"/>
  <c r="I282" i="7"/>
  <c r="J865" i="7"/>
  <c r="N865" i="7"/>
  <c r="K857" i="7"/>
  <c r="P54" i="12"/>
  <c r="M172" i="12"/>
  <c r="J173" i="12"/>
  <c r="N173" i="12"/>
  <c r="K174" i="12"/>
  <c r="O174" i="12"/>
  <c r="L33" i="3" s="1"/>
  <c r="E21" i="13"/>
  <c r="E30" i="13" s="1"/>
  <c r="E38" i="13" s="1"/>
  <c r="Q236" i="5"/>
  <c r="Q237" i="5"/>
  <c r="G235" i="5"/>
  <c r="O236" i="5"/>
  <c r="N236" i="5"/>
  <c r="R236" i="5"/>
  <c r="J80" i="5"/>
  <c r="N107" i="5"/>
  <c r="N232" i="5" s="1"/>
  <c r="O107" i="5"/>
  <c r="O232" i="5" s="1"/>
  <c r="P12" i="13" s="1"/>
  <c r="G101" i="4"/>
  <c r="G109" i="4" s="1"/>
  <c r="H101" i="4"/>
  <c r="H109" i="4" s="1"/>
  <c r="Q102" i="4"/>
  <c r="Q110" i="4" s="1"/>
  <c r="P94" i="4"/>
  <c r="P102" i="4" s="1"/>
  <c r="P110" i="4" s="1"/>
  <c r="L104" i="4"/>
  <c r="L112" i="4" s="1"/>
  <c r="L42" i="2" s="1"/>
  <c r="I11" i="13" s="1"/>
  <c r="O103" i="4"/>
  <c r="O111" i="4" s="1"/>
  <c r="I39" i="4"/>
  <c r="L102" i="4"/>
  <c r="L110" i="4" s="1"/>
  <c r="N103" i="4"/>
  <c r="N111" i="4" s="1"/>
  <c r="M104" i="4"/>
  <c r="M112" i="4" s="1"/>
  <c r="P104" i="4"/>
  <c r="P112" i="4" s="1"/>
  <c r="M102" i="4"/>
  <c r="M110" i="4" s="1"/>
  <c r="I51" i="4"/>
  <c r="I56" i="4" s="1"/>
  <c r="R103" i="4"/>
  <c r="R111" i="4" s="1"/>
  <c r="I76" i="4"/>
  <c r="I94" i="4" s="1"/>
  <c r="N104" i="4"/>
  <c r="N112" i="4" s="1"/>
  <c r="N106" i="5"/>
  <c r="N231" i="5" s="1"/>
  <c r="R106" i="5"/>
  <c r="R231" i="5" s="1"/>
  <c r="J75" i="5"/>
  <c r="O106" i="5"/>
  <c r="O231" i="5" s="1"/>
  <c r="L236" i="5"/>
  <c r="G105" i="5"/>
  <c r="G230" i="5" s="1"/>
  <c r="Q107" i="5"/>
  <c r="Q232" i="5" s="1"/>
  <c r="P98" i="5"/>
  <c r="P106" i="5" s="1"/>
  <c r="P231" i="5" s="1"/>
  <c r="J227" i="5"/>
  <c r="K98" i="5"/>
  <c r="K106" i="5" s="1"/>
  <c r="K231" i="5" s="1"/>
  <c r="H105" i="5"/>
  <c r="H230" i="5" s="1"/>
  <c r="Q106" i="5"/>
  <c r="Q231" i="5" s="1"/>
  <c r="P237" i="5"/>
  <c r="J60" i="5"/>
  <c r="L98" i="5"/>
  <c r="L106" i="5" s="1"/>
  <c r="L231" i="5" s="1"/>
  <c r="I105" i="5"/>
  <c r="I230" i="5" s="1"/>
  <c r="O108" i="5"/>
  <c r="F225" i="6"/>
  <c r="F229" i="6" s="1"/>
  <c r="G225" i="6"/>
  <c r="G229" i="6" s="1"/>
  <c r="H225" i="6"/>
  <c r="H229" i="6" s="1"/>
  <c r="I41" i="4"/>
  <c r="K864" i="7"/>
  <c r="I306" i="7"/>
  <c r="I26" i="7"/>
  <c r="I32" i="7"/>
  <c r="I204" i="7"/>
  <c r="I347" i="7"/>
  <c r="J864" i="7"/>
  <c r="N856" i="7"/>
  <c r="I203" i="7"/>
  <c r="K866" i="7"/>
  <c r="M866" i="7"/>
  <c r="I348" i="7"/>
  <c r="N864" i="7"/>
  <c r="I205" i="7"/>
  <c r="I75" i="7"/>
  <c r="I245" i="7"/>
  <c r="I284" i="7"/>
  <c r="J866" i="7"/>
  <c r="I346" i="7"/>
  <c r="I451" i="7"/>
  <c r="N860" i="7"/>
  <c r="O17" i="13"/>
  <c r="O37" i="11"/>
  <c r="O39" i="11"/>
  <c r="O81" i="10"/>
  <c r="K225" i="6"/>
  <c r="K229" i="6" s="1"/>
  <c r="J243" i="5"/>
  <c r="L237" i="5"/>
  <c r="M237" i="5"/>
  <c r="J61" i="5"/>
  <c r="P108" i="5"/>
  <c r="P233" i="5" s="1"/>
  <c r="L10" i="3" s="1"/>
  <c r="M107" i="5"/>
  <c r="M232" i="5" s="1"/>
  <c r="P10" i="13" s="1"/>
  <c r="J41" i="5"/>
  <c r="L108" i="5"/>
  <c r="L233" i="5" s="1"/>
  <c r="K107" i="5"/>
  <c r="K232" i="5" s="1"/>
  <c r="K103" i="4"/>
  <c r="K111" i="4" s="1"/>
  <c r="J103" i="4"/>
  <c r="J111" i="4" s="1"/>
  <c r="I95" i="4"/>
  <c r="I57" i="4"/>
  <c r="R104" i="4"/>
  <c r="R112" i="4" s="1"/>
  <c r="I40" i="4"/>
  <c r="Q104" i="4"/>
  <c r="Q112" i="4" s="1"/>
  <c r="K7" i="2"/>
  <c r="K55" i="2" s="1"/>
  <c r="R246" i="5"/>
  <c r="Q247" i="5"/>
  <c r="M248" i="5"/>
  <c r="I308" i="7"/>
  <c r="M856" i="7"/>
  <c r="J104" i="4"/>
  <c r="R102" i="4"/>
  <c r="R110" i="4" s="1"/>
  <c r="O104" i="4"/>
  <c r="O112" i="4" s="1"/>
  <c r="K236" i="5"/>
  <c r="J39" i="5"/>
  <c r="J87" i="5"/>
  <c r="M241" i="5"/>
  <c r="J241" i="5" s="1"/>
  <c r="P107" i="5"/>
  <c r="G245" i="5"/>
  <c r="O246" i="5"/>
  <c r="I225" i="6"/>
  <c r="I229" i="6" s="1"/>
  <c r="M864" i="7"/>
  <c r="N861" i="7"/>
  <c r="J43" i="2"/>
  <c r="H15" i="3"/>
  <c r="H13" i="3" s="1"/>
  <c r="H38" i="3" s="1"/>
  <c r="H46" i="3" s="1"/>
  <c r="L15" i="3"/>
  <c r="K102" i="4"/>
  <c r="K110" i="4" s="1"/>
  <c r="O102" i="4"/>
  <c r="O110" i="4" s="1"/>
  <c r="M103" i="4"/>
  <c r="Q103" i="4"/>
  <c r="P236" i="5"/>
  <c r="O237" i="5"/>
  <c r="J62" i="5"/>
  <c r="J66" i="5"/>
  <c r="M108" i="5"/>
  <c r="M233" i="5" s="1"/>
  <c r="N108" i="5"/>
  <c r="R108" i="5"/>
  <c r="R233" i="5" s="1"/>
  <c r="L11" i="3" s="1"/>
  <c r="R107" i="5"/>
  <c r="R232" i="5" s="1"/>
  <c r="Q108" i="5"/>
  <c r="Q233" i="5" s="1"/>
  <c r="J229" i="5"/>
  <c r="K237" i="5"/>
  <c r="I31" i="7"/>
  <c r="I74" i="7"/>
  <c r="K108" i="5"/>
  <c r="K233" i="5" s="1"/>
  <c r="J102" i="4"/>
  <c r="J110" i="4" s="1"/>
  <c r="N102" i="4"/>
  <c r="N110" i="4" s="1"/>
  <c r="K104" i="4"/>
  <c r="K112" i="4" s="1"/>
  <c r="J40" i="5"/>
  <c r="R237" i="5"/>
  <c r="J99" i="5"/>
  <c r="L107" i="5"/>
  <c r="J228" i="5"/>
  <c r="N247" i="5"/>
  <c r="N246" i="5"/>
  <c r="N866" i="7"/>
  <c r="J60" i="2"/>
  <c r="J57" i="2" s="1"/>
  <c r="F101" i="4"/>
  <c r="F109" i="4" s="1"/>
  <c r="H235" i="5"/>
  <c r="J64" i="5"/>
  <c r="J70" i="5"/>
  <c r="M98" i="5"/>
  <c r="M106" i="5" s="1"/>
  <c r="M231" i="5" s="1"/>
  <c r="P248" i="5"/>
  <c r="N237" i="5"/>
  <c r="J242" i="5"/>
  <c r="M247" i="5"/>
  <c r="P29" i="13"/>
  <c r="I96" i="4"/>
  <c r="L103" i="4"/>
  <c r="P103" i="4"/>
  <c r="M236" i="5"/>
  <c r="I235" i="5"/>
  <c r="H245" i="5"/>
  <c r="L246" i="5"/>
  <c r="P246" i="5"/>
  <c r="K247" i="5"/>
  <c r="O247" i="5"/>
  <c r="N248" i="5"/>
  <c r="R248" i="5"/>
  <c r="J224" i="6"/>
  <c r="J225" i="6" s="1"/>
  <c r="J229" i="6" s="1"/>
  <c r="I30" i="7"/>
  <c r="I73" i="7"/>
  <c r="I136" i="7"/>
  <c r="I137" i="7"/>
  <c r="L860" i="7"/>
  <c r="J856" i="7"/>
  <c r="J860" i="7"/>
  <c r="G20" i="13"/>
  <c r="G35" i="13"/>
  <c r="L866" i="7"/>
  <c r="L864" i="7"/>
  <c r="L856" i="7"/>
  <c r="K856" i="7"/>
  <c r="I862" i="7"/>
  <c r="I280" i="7"/>
  <c r="I283" i="7"/>
  <c r="I307" i="7"/>
  <c r="I677" i="7"/>
  <c r="I746" i="7"/>
  <c r="O18" i="13"/>
  <c r="L173" i="12"/>
  <c r="F21" i="13"/>
  <c r="N21" i="13"/>
  <c r="N30" i="13" s="1"/>
  <c r="N38" i="13" s="1"/>
  <c r="E32" i="13"/>
  <c r="E33" i="13"/>
  <c r="O82" i="10"/>
  <c r="O38" i="11"/>
  <c r="I172" i="12"/>
  <c r="I173" i="12"/>
  <c r="M173" i="12"/>
  <c r="F32" i="13"/>
  <c r="F33" i="13"/>
  <c r="P24" i="12"/>
  <c r="P55" i="12"/>
  <c r="P56" i="12"/>
  <c r="P8" i="13" l="1"/>
  <c r="Q17" i="13"/>
  <c r="Q16" i="13"/>
  <c r="Q8" i="13"/>
  <c r="Q9" i="13"/>
  <c r="Q10" i="13"/>
  <c r="E31" i="13"/>
  <c r="E34" i="13" s="1"/>
  <c r="M37" i="13"/>
  <c r="E53" i="12"/>
  <c r="I861" i="7"/>
  <c r="I56" i="2"/>
  <c r="J55" i="2"/>
  <c r="J73" i="2" s="1"/>
  <c r="I73" i="2"/>
  <c r="H73" i="2"/>
  <c r="G56" i="2"/>
  <c r="G73" i="2"/>
  <c r="P172" i="12"/>
  <c r="O10" i="13"/>
  <c r="P174" i="12"/>
  <c r="H35" i="13"/>
  <c r="O12" i="13"/>
  <c r="O11" i="13"/>
  <c r="O233" i="5"/>
  <c r="Q12" i="13" s="1"/>
  <c r="I103" i="4"/>
  <c r="I111" i="4" s="1"/>
  <c r="I102" i="4"/>
  <c r="I110" i="4" s="1"/>
  <c r="J98" i="5"/>
  <c r="N233" i="5"/>
  <c r="J246" i="5"/>
  <c r="I864" i="7"/>
  <c r="I866" i="7"/>
  <c r="J248" i="5"/>
  <c r="J100" i="5"/>
  <c r="P232" i="5"/>
  <c r="J238" i="5"/>
  <c r="L232" i="5"/>
  <c r="P9" i="13" s="1"/>
  <c r="J107" i="5"/>
  <c r="J247" i="5"/>
  <c r="L111" i="4"/>
  <c r="L31" i="3"/>
  <c r="I860" i="7"/>
  <c r="L9" i="3"/>
  <c r="J236" i="5"/>
  <c r="E37" i="13"/>
  <c r="F31" i="13"/>
  <c r="F34" i="13" s="1"/>
  <c r="F30" i="13"/>
  <c r="I857" i="7"/>
  <c r="I856" i="7"/>
  <c r="H14" i="13"/>
  <c r="I858" i="7"/>
  <c r="L14" i="3" s="1"/>
  <c r="J237" i="5"/>
  <c r="Q111" i="4"/>
  <c r="N37" i="13"/>
  <c r="K56" i="2"/>
  <c r="K73" i="2"/>
  <c r="O8" i="13"/>
  <c r="J231" i="5"/>
  <c r="J112" i="4"/>
  <c r="I104" i="4"/>
  <c r="J106" i="5"/>
  <c r="I865" i="7"/>
  <c r="P173" i="12"/>
  <c r="O9" i="13"/>
  <c r="P111" i="4"/>
  <c r="H20" i="13"/>
  <c r="G21" i="13"/>
  <c r="J108" i="5"/>
  <c r="M111" i="4"/>
  <c r="I58" i="4"/>
  <c r="H56" i="2"/>
  <c r="I112" i="4" l="1"/>
  <c r="L38" i="2"/>
  <c r="Q20" i="13"/>
  <c r="I33" i="13" s="1"/>
  <c r="Q14" i="13"/>
  <c r="L8" i="3"/>
  <c r="H29" i="13"/>
  <c r="J233" i="5"/>
  <c r="J232" i="5"/>
  <c r="G30" i="13"/>
  <c r="O14" i="13"/>
  <c r="O16" i="13"/>
  <c r="O20" i="13" s="1"/>
  <c r="J31" i="3"/>
  <c r="J13" i="3" s="1"/>
  <c r="J38" i="3" s="1"/>
  <c r="P20" i="13"/>
  <c r="H33" i="13" s="1"/>
  <c r="L13" i="3"/>
  <c r="H21" i="13"/>
  <c r="F37" i="13"/>
  <c r="F38" i="13"/>
  <c r="I10" i="13" l="1"/>
  <c r="I14" i="13" s="1"/>
  <c r="L7" i="2"/>
  <c r="L55" i="2" s="1"/>
  <c r="L73" i="2" s="1"/>
  <c r="Q21" i="13"/>
  <c r="Q30" i="13" s="1"/>
  <c r="Q38" i="13" s="1"/>
  <c r="I32" i="13"/>
  <c r="L7" i="3"/>
  <c r="L38" i="3" s="1"/>
  <c r="P14" i="13"/>
  <c r="G33" i="13"/>
  <c r="G37" i="13"/>
  <c r="G38" i="13"/>
  <c r="H30" i="13"/>
  <c r="J46" i="3"/>
  <c r="J56" i="2"/>
  <c r="O21" i="13"/>
  <c r="G31" i="13" s="1"/>
  <c r="G32" i="13"/>
  <c r="I21" i="13" l="1"/>
  <c r="I30" i="13" s="1"/>
  <c r="I38" i="13" s="1"/>
  <c r="H32" i="13"/>
  <c r="P21" i="13"/>
  <c r="P30" i="13" s="1"/>
  <c r="P38" i="13" s="1"/>
  <c r="O30" i="13"/>
  <c r="G34" i="13"/>
  <c r="H38" i="13"/>
  <c r="H37" i="13"/>
  <c r="L46" i="3"/>
  <c r="L56" i="2"/>
  <c r="I31" i="13" l="1"/>
  <c r="I34" i="13" s="1"/>
  <c r="I37" i="13"/>
  <c r="P37" i="13"/>
  <c r="H31" i="13"/>
  <c r="H34" i="13" s="1"/>
  <c r="O38" i="13"/>
  <c r="O37" i="13"/>
</calcChain>
</file>

<file path=xl/sharedStrings.xml><?xml version="1.0" encoding="utf-8"?>
<sst xmlns="http://schemas.openxmlformats.org/spreadsheetml/2006/main" count="3825" uniqueCount="1286">
  <si>
    <t>adatok eFt-ban</t>
  </si>
  <si>
    <t>A</t>
  </si>
  <si>
    <t>B</t>
  </si>
  <si>
    <t>Megnevezés</t>
  </si>
  <si>
    <t>Összesen</t>
  </si>
  <si>
    <t>TOP_Plusz-6.1.4-23--VE-2024-00001 Aktív turizmus fejlesztése a Bakony térségben</t>
  </si>
  <si>
    <t>Közhatalmi bevételek</t>
  </si>
  <si>
    <t>Iparűzési adó</t>
  </si>
  <si>
    <t>MKSZ Kézilabdacsarnok 2024. évi közüzemi díjak finanszírozása</t>
  </si>
  <si>
    <t>Önkormányzati Intézmények működési célú átvett pénzeszközök</t>
  </si>
  <si>
    <t>Eötvös Károly Könyvtár</t>
  </si>
  <si>
    <t>Humanitárius katasztrófa miatt érkező menekültek elhelyezési költségei</t>
  </si>
  <si>
    <t>Kitüntetések</t>
  </si>
  <si>
    <t>Eseti rendezvények</t>
  </si>
  <si>
    <t>Városi rendezvények</t>
  </si>
  <si>
    <t>Országos Mentőszolgálat</t>
  </si>
  <si>
    <t>Polgármesteri keret</t>
  </si>
  <si>
    <t>Téli Gyárkert 2024</t>
  </si>
  <si>
    <t>Kittenberger K. Növény- és Vadaspark Nonprofit Kft. működéséhez hozzájárulás</t>
  </si>
  <si>
    <t>Parkolók üzemeltetési költsége</t>
  </si>
  <si>
    <t>EKF 2024 kísérőprogramjai és utókommunikációja</t>
  </si>
  <si>
    <t>Működési költségvetési kiadások</t>
  </si>
  <si>
    <t>Veszprémi Vadvirág Körzeti Óvoda</t>
  </si>
  <si>
    <t>Veszprémi Bóbita Körzeti Óvoda</t>
  </si>
  <si>
    <t>Veszprémi Ringató Körzeti Óvoda</t>
  </si>
  <si>
    <t>Veszprémi Kastélykert Körzeti Óvoda</t>
  </si>
  <si>
    <t>Veszprémi Bölcsődei és Egészségügyi Alapellátási Integrált Intézmény</t>
  </si>
  <si>
    <t>Göllesz Viktor Fogyatékos Személyek Nappali Intézménye</t>
  </si>
  <si>
    <t>Veszprémi Családsegítő és Gyermekjóléti Integrált Intézmény</t>
  </si>
  <si>
    <t>Humanitárius katasztrófa miatt érkező menekültek ellátási (élelmezési) költségei</t>
  </si>
  <si>
    <t>Agóra Veszprém Kulturális Központ</t>
  </si>
  <si>
    <t>Művészetek Háza Veszprém Művelődési Ház és Kiállítóhely</t>
  </si>
  <si>
    <t>Laczkó Dezső Múzeum</t>
  </si>
  <si>
    <t>Kabóca Bábszínház</t>
  </si>
  <si>
    <t>Veszprémi Petőfi Színház</t>
  </si>
  <si>
    <t>Veszprémi Intézményi Szolgáltató Szervezet</t>
  </si>
  <si>
    <t>Beruházási kiadások</t>
  </si>
  <si>
    <t>Hársfa Tagóvoda</t>
  </si>
  <si>
    <t>Napsugár Bölcsőde</t>
  </si>
  <si>
    <t>Udvari játék (Kisház kispaddal, pulttal)</t>
  </si>
  <si>
    <t>Hóvirág Bölcsőde</t>
  </si>
  <si>
    <t>Udvari játék ("Játszótér - Little Tikes")</t>
  </si>
  <si>
    <t>Módszertani Bölcsőde</t>
  </si>
  <si>
    <t>Burgonyakoptató</t>
  </si>
  <si>
    <t>2 db udvari babaház</t>
  </si>
  <si>
    <t>Aprófalvi Bölcsőde</t>
  </si>
  <si>
    <t>Udvari fajáték (Bambini vonat - gőzös)</t>
  </si>
  <si>
    <t>Gyulafirátóti Bölcsőde</t>
  </si>
  <si>
    <t>Kisértékű tárgyi eszközök beszerzése (mobiltelefonok, irodabútor)</t>
  </si>
  <si>
    <t xml:space="preserve">Számítógép </t>
  </si>
  <si>
    <t>Könyvtári könyvek, egyéb doc. (CD, DVD stb.) jogszabályi előírás szerint</t>
  </si>
  <si>
    <t>Amerikai Kuckó (számítástechnikai eszközök, könyvek, hősugárzó, polc, asztal, szék, árnyékolóeszköz, szőnyeg, paraván)</t>
  </si>
  <si>
    <t>Üvegművészeti műtárgy vásárlása támogatásból</t>
  </si>
  <si>
    <t>Restaurátor eszközök megvásárlása támogatásból</t>
  </si>
  <si>
    <t>Kisértékű tárgyi eszközök beszerzése (porszívó, hűtőszekrény, kávéfőző, gőzállomás jelmezek kezelésére, nyári gumi, létra, fellépő, zászlók és zászlótartók, hangszerek előadáshoz)</t>
  </si>
  <si>
    <t>Arculati elemek</t>
  </si>
  <si>
    <t>Épület felirat</t>
  </si>
  <si>
    <t>Faültetés</t>
  </si>
  <si>
    <t>Adventi programok - fűtőpanelek, technikai eszközök</t>
  </si>
  <si>
    <t>Tárgyi eszköz beszerzés</t>
  </si>
  <si>
    <t>Honlap akadálymentesítés</t>
  </si>
  <si>
    <t>Mozgatható rámpa</t>
  </si>
  <si>
    <t>Gépkocsibeszerzések</t>
  </si>
  <si>
    <t>5 személyes személygépkocsi vásárlás</t>
  </si>
  <si>
    <t>7 személyes kisbusz vásárlás</t>
  </si>
  <si>
    <t>Office irodai programcsomag 22 db</t>
  </si>
  <si>
    <t>Céltartalékok</t>
  </si>
  <si>
    <t>Általános tartalék</t>
  </si>
  <si>
    <t>Finanszírozási kiadások</t>
  </si>
  <si>
    <t>Belföldi értékpapír vásárlása</t>
  </si>
  <si>
    <t>Veszprém Megyei Jogú Város Önkormányzatának</t>
  </si>
  <si>
    <t>2024. évi költségvetési bevételei</t>
  </si>
  <si>
    <t>C</t>
  </si>
  <si>
    <t>D</t>
  </si>
  <si>
    <t>E</t>
  </si>
  <si>
    <t>F</t>
  </si>
  <si>
    <t>G</t>
  </si>
  <si>
    <t>H</t>
  </si>
  <si>
    <t>I</t>
  </si>
  <si>
    <t>J</t>
  </si>
  <si>
    <t>K</t>
  </si>
  <si>
    <t>L</t>
  </si>
  <si>
    <t>Cím</t>
  </si>
  <si>
    <t>Alcím</t>
  </si>
  <si>
    <t xml:space="preserve">Előir. csop. </t>
  </si>
  <si>
    <t>Kie-melt előir.</t>
  </si>
  <si>
    <t>2022. évi              tény</t>
  </si>
  <si>
    <t>2023. évi eredeti előirányzat</t>
  </si>
  <si>
    <t>2023. évi tény</t>
  </si>
  <si>
    <t>2024. évi eredeti előirányzat</t>
  </si>
  <si>
    <t>Működési költségvetési bevételek</t>
  </si>
  <si>
    <t>Működési célú támogatások Áht-on belülről</t>
  </si>
  <si>
    <t>Önkormányzatok működési támogatásai</t>
  </si>
  <si>
    <t>Helyi önkormányzatok működésének általános támogatása</t>
  </si>
  <si>
    <t>Települési önkormányzatok egyes köznevelési feladatainak támogatása</t>
  </si>
  <si>
    <t>Települési önkormányzatok egyes szociális és gyermekjóléti feladatainak támogatása</t>
  </si>
  <si>
    <t>Települési önkormányzatok gyermekétkeztetési feladatainak támogatása</t>
  </si>
  <si>
    <t>Települési önkormányzatok kulturális feladatainak támogatása</t>
  </si>
  <si>
    <t>Működési célú költségvetési támogatások és kiegészítő támogatások</t>
  </si>
  <si>
    <t>10 000 lakos feletti önkormányzatok energiaáremelkedés miatti támogatás</t>
  </si>
  <si>
    <t>Elszámolásból származó bevételek</t>
  </si>
  <si>
    <t>Egyéb működési célú támogatások bevételei</t>
  </si>
  <si>
    <t>ebből: Társadalombizt. Alapból származó támogatás</t>
  </si>
  <si>
    <t>1-17</t>
  </si>
  <si>
    <t>Önkormányzati Intézmények  működési célú támogatások Áht-on belülről</t>
  </si>
  <si>
    <t>Adók</t>
  </si>
  <si>
    <t>Építményadó</t>
  </si>
  <si>
    <t>Idegenforgalmi adó</t>
  </si>
  <si>
    <t>Kommunális adó</t>
  </si>
  <si>
    <t>Telekadó</t>
  </si>
  <si>
    <t>Egyéb pótlékok, bírságok</t>
  </si>
  <si>
    <t>Egyéb közhatalmi bevételek (bírságok, igazgatási szolgáltatási díjak)</t>
  </si>
  <si>
    <t>Környezetvédelmi Alap bevételei</t>
  </si>
  <si>
    <t>Fakivágási kompenzáció bevételei</t>
  </si>
  <si>
    <t>Polgármesteri Hivatal közhatalmi bevételei</t>
  </si>
  <si>
    <t>Működési bevételek</t>
  </si>
  <si>
    <t>Szolgáltatások, közvetített szolgáltatások ellenértéke</t>
  </si>
  <si>
    <t>Tulajdonosi bevételek</t>
  </si>
  <si>
    <t>ÁFA bevételek és visszatérülések</t>
  </si>
  <si>
    <t xml:space="preserve">Egyéb működési bevételek </t>
  </si>
  <si>
    <t>Önkormányzati Intézmények működési bevételek</t>
  </si>
  <si>
    <t>Működési célú átvett pénzeszközök</t>
  </si>
  <si>
    <t xml:space="preserve">           Menekültek megsegítésére nyújtott adomány</t>
  </si>
  <si>
    <t xml:space="preserve">           Környezetvédelmi Alap bevételei</t>
  </si>
  <si>
    <t>Felhalmozási költségvetési bevételek</t>
  </si>
  <si>
    <t>Felhalmozási célú támogatások Áht-on belülről</t>
  </si>
  <si>
    <t>Felhalmozási célú önkormányzati támogatások</t>
  </si>
  <si>
    <t>Egyéb felhalmozási célú támogatások bevételei</t>
  </si>
  <si>
    <t>Önkormányzati Intézmények felhalmozási célú támogatások Áht-on belülről</t>
  </si>
  <si>
    <t>Felhalmozási bevételek</t>
  </si>
  <si>
    <t>Ingatlanok értékesítése</t>
  </si>
  <si>
    <t>Önkormányzati Intézmények felhalmozási bevételei</t>
  </si>
  <si>
    <t>Felhalmozási célú átvett pénzeszközök</t>
  </si>
  <si>
    <t>Önkormányzati Intézmények felhalmozási célú átvett pénzeszközök</t>
  </si>
  <si>
    <t>Lakásalap</t>
  </si>
  <si>
    <t>Felhalmozási célú átvett pénzeszközök (kölcsönök visszatérülése)</t>
  </si>
  <si>
    <t>Költségvetési bevételek összesen</t>
  </si>
  <si>
    <t>Költségvetési egyenleg összege</t>
  </si>
  <si>
    <t>Finanszírozási bevételek</t>
  </si>
  <si>
    <t>Államháztartáson belüli megelőlegezések</t>
  </si>
  <si>
    <t>Belföldi értékpapír beváltása, értékesítése</t>
  </si>
  <si>
    <t>Költségvetési hiány belső finanszírozására szolgáló bevételek</t>
  </si>
  <si>
    <t>Működési célú költségvetési maradvány igénybevétele</t>
  </si>
  <si>
    <t>1-16</t>
  </si>
  <si>
    <t>Intézmények</t>
  </si>
  <si>
    <t>VMJV Polgármesteri Hivatala</t>
  </si>
  <si>
    <t>VMJV Önkormányzata</t>
  </si>
  <si>
    <t>Felhalmozási célú költségvetési maradvány igénybevétele</t>
  </si>
  <si>
    <t>17</t>
  </si>
  <si>
    <t>Költségvetési hiány külső finanszírozására szolgáló bevételek</t>
  </si>
  <si>
    <t>Beruházási hitelfelvétel</t>
  </si>
  <si>
    <t>Előző évi hitelszerződéseken alapuló felvétel</t>
  </si>
  <si>
    <t>Bevételi főösszeg</t>
  </si>
  <si>
    <t>2024. évi költségvetési kiadásai</t>
  </si>
  <si>
    <t xml:space="preserve">Cím  </t>
  </si>
  <si>
    <t xml:space="preserve">Kie-melt előir. </t>
  </si>
  <si>
    <t>Intézményi költségvetési kiadások</t>
  </si>
  <si>
    <t>Felhalmozási költségvetési kiadások</t>
  </si>
  <si>
    <t>Egyéb felhalmozási célú kiadások</t>
  </si>
  <si>
    <t>Felújítási kiadások</t>
  </si>
  <si>
    <t>18</t>
  </si>
  <si>
    <t>Működési célú céltartalékok</t>
  </si>
  <si>
    <t xml:space="preserve"> - Intézményi felmentési idő, jub.jut., végkielégítés és működési kiadások</t>
  </si>
  <si>
    <t xml:space="preserve"> - Választókerületi keret</t>
  </si>
  <si>
    <t xml:space="preserve"> - Működési kiadásokra képzett céltartalék </t>
  </si>
  <si>
    <t xml:space="preserve"> - Adóbevételekkel szembeni kötelezettség</t>
  </si>
  <si>
    <t xml:space="preserve"> - Közüzemi költségekre képzett céltartalék</t>
  </si>
  <si>
    <t xml:space="preserve"> - Környezetvédelmi Alap</t>
  </si>
  <si>
    <t xml:space="preserve"> - Zöldfelületek minőségi megőrzésének kiadásaira (fakivágási kompenzáció)</t>
  </si>
  <si>
    <t xml:space="preserve"> - Településrendezési szerződésből befolyt összeg</t>
  </si>
  <si>
    <t>Felhalmozási célú céltartalékok</t>
  </si>
  <si>
    <t xml:space="preserve"> - Projekt kiadásokhoz kapcsolódó céltartalék</t>
  </si>
  <si>
    <t xml:space="preserve"> - Beruházási kiadásokra képzett céltartalék/lakásalap                     </t>
  </si>
  <si>
    <t xml:space="preserve"> - Beruházási kiadásokra képzett céltartalék</t>
  </si>
  <si>
    <t xml:space="preserve"> - Víziközmű fejlesztés</t>
  </si>
  <si>
    <t>Lakásalap kiadása</t>
  </si>
  <si>
    <t>Költségvetési kiadások összesen</t>
  </si>
  <si>
    <t>Működési finanszírozási kiadások</t>
  </si>
  <si>
    <t>Államháztartáson belüli megelőlegezések visszafizetése</t>
  </si>
  <si>
    <t>Felhalmozási finanszírozási kiadások</t>
  </si>
  <si>
    <t xml:space="preserve"> - Hiteltörlesztés</t>
  </si>
  <si>
    <t xml:space="preserve"> - Lakásalap hiteltörlesztése</t>
  </si>
  <si>
    <t>Kiadási főösszeg</t>
  </si>
  <si>
    <t>Veszprém Megyei Jogú Város Önkormányzata Intézményei</t>
  </si>
  <si>
    <t>M</t>
  </si>
  <si>
    <t>N</t>
  </si>
  <si>
    <t>O</t>
  </si>
  <si>
    <t>P</t>
  </si>
  <si>
    <t>2022. évi tény</t>
  </si>
  <si>
    <t>2024. évi bevételi előirányzat</t>
  </si>
  <si>
    <t>Előző évi  költségvetési maradvány</t>
  </si>
  <si>
    <t>Irányító szervtől kapott támogatás</t>
  </si>
  <si>
    <t>Működési célú támogatás Áht-on belülről</t>
  </si>
  <si>
    <t>Működési célú átvett pénzeszköz</t>
  </si>
  <si>
    <t>Felhalmozási bevétel</t>
  </si>
  <si>
    <t>Felhalmozási célú átvett pénzeszköz</t>
  </si>
  <si>
    <r>
      <rPr>
        <i/>
        <u/>
        <sz val="10"/>
        <rFont val="Palatino Linotype"/>
        <family val="1"/>
        <charset val="238"/>
      </rPr>
      <t>Ebből</t>
    </r>
    <r>
      <rPr>
        <i/>
        <sz val="10"/>
        <rFont val="Palatino Linotype"/>
        <family val="1"/>
        <charset val="238"/>
      </rPr>
      <t>: költségvetési támogatás</t>
    </r>
  </si>
  <si>
    <t>(Csillagvár Waldorf Tagóvoda, Vadvirág Óvoda)</t>
  </si>
  <si>
    <t>eredeti előirányzat</t>
  </si>
  <si>
    <t xml:space="preserve">Veszprémi Bóbita Körzeti Óvoda </t>
  </si>
  <si>
    <t>(Hársfa Tagóvoda, Bóbita Óvoda)</t>
  </si>
  <si>
    <t>(Ringató Óvoda, Erdei Tagóvoda, Kuckó Tagóvoda)</t>
  </si>
  <si>
    <t>Veszprémi Egry úti Körzeti Óvoda</t>
  </si>
  <si>
    <t>(Egry ltp. Óvoda, Nárcisz Tagóvoda)</t>
  </si>
  <si>
    <t>Veszprémi Csillag úti Körzeti Óvoda</t>
  </si>
  <si>
    <t>(Csillag úti Óvoda, Cholnoky ltp. Óvoda)</t>
  </si>
  <si>
    <t>(Kastélykert Óvoda, Ficánka Óvoda)</t>
  </si>
  <si>
    <t>Óvodák összesen:</t>
  </si>
  <si>
    <r>
      <rPr>
        <b/>
        <sz val="10"/>
        <rFont val="Palatino Linotype"/>
        <family val="1"/>
        <charset val="238"/>
      </rPr>
      <t xml:space="preserve">TOP – 7.1.1-16-H-ESZA-2019-01192 </t>
    </r>
    <r>
      <rPr>
        <sz val="10"/>
        <rFont val="Palatino Linotype"/>
        <family val="1"/>
        <charset val="238"/>
      </rPr>
      <t>A családra mint a társadalom alapegységére építő komplex programok</t>
    </r>
  </si>
  <si>
    <t>Egészségügyi és szociális intézmények összesen:</t>
  </si>
  <si>
    <t xml:space="preserve">Agóra Veszprém Kulturális Központ </t>
  </si>
  <si>
    <r>
      <rPr>
        <b/>
        <sz val="10"/>
        <rFont val="Palatino Linotype"/>
        <family val="1"/>
        <charset val="238"/>
      </rPr>
      <t>TOP – 6.9.2 -16-VP1-2018-00001</t>
    </r>
    <r>
      <rPr>
        <sz val="10"/>
        <rFont val="Palatino Linotype"/>
        <family val="1"/>
        <charset val="238"/>
      </rPr>
      <t xml:space="preserve"> Közösségfejlesztés Veszprém város településrészein</t>
    </r>
  </si>
  <si>
    <r>
      <rPr>
        <b/>
        <sz val="10"/>
        <rFont val="Palatino Linotype"/>
        <family val="1"/>
        <charset val="238"/>
      </rPr>
      <t>TOP – 7.1.1-16-H-ESZA-2019-01202</t>
    </r>
    <r>
      <rPr>
        <sz val="10"/>
        <rFont val="Palatino Linotype"/>
        <family val="1"/>
        <charset val="238"/>
      </rPr>
      <t xml:space="preserve"> "Élmény, közösség, tudás" családi programok az Agórával</t>
    </r>
  </si>
  <si>
    <r>
      <rPr>
        <b/>
        <sz val="10"/>
        <rFont val="Palatino Linotype"/>
        <family val="1"/>
        <charset val="238"/>
      </rPr>
      <t xml:space="preserve">TOP-7.1.1-16-H-ESZA-2020-01437 </t>
    </r>
    <r>
      <rPr>
        <sz val="10"/>
        <rFont val="Palatino Linotype"/>
        <family val="1"/>
        <charset val="238"/>
      </rPr>
      <t>HangSzín/zene-kép-alkotás</t>
    </r>
  </si>
  <si>
    <t>ERASMUS+ Program</t>
  </si>
  <si>
    <r>
      <rPr>
        <b/>
        <sz val="10"/>
        <rFont val="Palatino Linotype"/>
        <family val="1"/>
        <charset val="238"/>
      </rPr>
      <t xml:space="preserve">TOP-7.1.1-16-H-ESZA-202-01419 </t>
    </r>
    <r>
      <rPr>
        <sz val="10"/>
        <rFont val="Palatino Linotype"/>
        <family val="1"/>
        <charset val="238"/>
      </rPr>
      <t>Veszprém Vár múltjának interaktív bemutatása</t>
    </r>
  </si>
  <si>
    <t>Népi építészeti Program - Bakonyi Ház megújítása</t>
  </si>
  <si>
    <t>Közcélú és közhasznú foglalkoztatás</t>
  </si>
  <si>
    <r>
      <rPr>
        <b/>
        <sz val="10"/>
        <rFont val="Palatino Linotype"/>
        <family val="1"/>
        <charset val="238"/>
      </rPr>
      <t xml:space="preserve">TOP-7.1.1-16-H-ESZA-2020-01214 </t>
    </r>
    <r>
      <rPr>
        <sz val="10"/>
        <rFont val="Palatino Linotype"/>
        <family val="1"/>
        <charset val="238"/>
      </rPr>
      <t>A város mint otthon és óriási játszótér (Kult.-műv.i kapacitások fejl. a Kabóca Bábszínházban)</t>
    </r>
  </si>
  <si>
    <t>Kulturális és közművelődési intézmények összesen:</t>
  </si>
  <si>
    <t>INTÉZMÉNYEK ÖSSZESEN:</t>
  </si>
  <si>
    <t>MINDÖSSZESEN:</t>
  </si>
  <si>
    <t>Feladatellátás jellege*</t>
  </si>
  <si>
    <t>2024. évi kiadási előirányzat</t>
  </si>
  <si>
    <t>Személyi juttatások</t>
  </si>
  <si>
    <t>Munk.a. terh. jár. és szoc.hj.adó</t>
  </si>
  <si>
    <t>Dologi kiadások</t>
  </si>
  <si>
    <t>Ellátottak pénzbeli juttatásai</t>
  </si>
  <si>
    <t>Egyéb működési kiadások</t>
  </si>
  <si>
    <r>
      <rPr>
        <b/>
        <sz val="10"/>
        <rFont val="Palatino Linotype"/>
        <family val="1"/>
        <charset val="238"/>
      </rPr>
      <t>TOP-7-1-16H-ESZA-2019-01192</t>
    </r>
    <r>
      <rPr>
        <sz val="10"/>
        <rFont val="Palatino Linotype"/>
        <family val="1"/>
        <charset val="238"/>
      </rPr>
      <t xml:space="preserve"> A családra mint a társadalom alapegységére építő komplex programok</t>
    </r>
  </si>
  <si>
    <r>
      <rPr>
        <b/>
        <sz val="10"/>
        <rFont val="Palatino Linotype"/>
        <family val="1"/>
        <charset val="238"/>
      </rPr>
      <t xml:space="preserve">TOP-7.1.1-16-H-ESZA-2019-01202 </t>
    </r>
    <r>
      <rPr>
        <sz val="10"/>
        <rFont val="Palatino Linotype"/>
        <family val="1"/>
        <charset val="238"/>
      </rPr>
      <t>"Élmény, közösség, tudás" családi programok az Agórával</t>
    </r>
  </si>
  <si>
    <t>NK</t>
  </si>
  <si>
    <t>Igazgatási tevékenység</t>
  </si>
  <si>
    <t>ebből: - Európa Kulturális Főváros XX. ütem</t>
  </si>
  <si>
    <t>Gondnokság</t>
  </si>
  <si>
    <t>Informatikai kiadások</t>
  </si>
  <si>
    <t>Európa Kulturális Fővárosa XXXIV. ütem</t>
  </si>
  <si>
    <t>Európa Kulturális Fővárosa XLIII. ütem</t>
  </si>
  <si>
    <t>TOP Plusz 1.3-1-21_VEI_2022-00002 Veszprém város fenntartható városfejlesztési stratégiái</t>
  </si>
  <si>
    <t>Európa Kulturális Fővárosa XLIV. ütem</t>
  </si>
  <si>
    <t>Európa Kulturális Fővárosa XLV. ütem</t>
  </si>
  <si>
    <t>Európa Kulturális Fővárosa XLVII. ütem</t>
  </si>
  <si>
    <t>Európa Kulturális Fővárosa XLIX. ütem</t>
  </si>
  <si>
    <t>Európa Kulturális Fővárosa LVIII. ütem</t>
  </si>
  <si>
    <t>Európa Kulturális Fővárosa LIV. ütem</t>
  </si>
  <si>
    <t>Európa Kulturális Fővárosa LI. ütem</t>
  </si>
  <si>
    <t>Európa Kulturális Fővárosa LXII. ütem</t>
  </si>
  <si>
    <t>Urbact fenntartható városfejlesztési hálózat IV. "BiodiverCity" - városi biológiai sokféleség megőrzése, minőségi támogatása és fejlesztése - dologi kiadások</t>
  </si>
  <si>
    <t>Urbact fenntartható városfejlesztési hálózat IV. "NextGen Youth Work" - ifjúságszakmai fejlesztések a fiatalok bevonásának és a digitalizáció előnyeinek tudatosítás és kihasználása az ifjúsági munkások körében - dologi kiadások</t>
  </si>
  <si>
    <t>Európa Kulturális Fővárosa LXIV. ütem</t>
  </si>
  <si>
    <t>2024. évi európai parlamenti, helyi önkormányzati és nemzetiségi önkormányzati választások lebonyolítása</t>
  </si>
  <si>
    <t>Interreg Danube NONA</t>
  </si>
  <si>
    <t>Interreg Europa RROXIMITIES</t>
  </si>
  <si>
    <t>EKF 2024 kísérőproramjai és utókommunikációja</t>
  </si>
  <si>
    <t>Európa Kulturális Fővárosa V. ütem</t>
  </si>
  <si>
    <t>Ister DTP Interreg Projekt</t>
  </si>
  <si>
    <t>Népszámlálás 2022.</t>
  </si>
  <si>
    <t xml:space="preserve">Európai Fenntartható Városfejlesztési Hálózat "Global Goals for Cities" Urbact III. </t>
  </si>
  <si>
    <t>Európa Kulturális Fővárosa VIII. ütem</t>
  </si>
  <si>
    <t>Európa Kulturális Fővárosa XII. ütem</t>
  </si>
  <si>
    <t>Európa Kulturális Fővárosa XIII. ütem</t>
  </si>
  <si>
    <t>Európa Kulturális Fővárosa XIV. ütem</t>
  </si>
  <si>
    <t>2022. évi Országgyűlési képviselők választása és népszavazás</t>
  </si>
  <si>
    <t>Európa Kulturális Fővárosa XV. ütem</t>
  </si>
  <si>
    <t>Európa Kulturális Fővárosa XVI. ütem</t>
  </si>
  <si>
    <t>Európa Kulturális Fővárosa XVII. ütem</t>
  </si>
  <si>
    <t>Európa Kulturális Fővárosa XVIII. ütem</t>
  </si>
  <si>
    <t>Európa Kulturális Fővárosa XIX. ütem</t>
  </si>
  <si>
    <t>Európa Kulturális Fővárosa XXI. ütem</t>
  </si>
  <si>
    <t>Európa Kulturális Fővárosa XXIII. ütem</t>
  </si>
  <si>
    <t>Európa Kulturális Fővárosa XXV. ütem</t>
  </si>
  <si>
    <t>Európa Kulturális Fővárosa XXVII. ütem</t>
  </si>
  <si>
    <t>Európa Kulturális Fővárosa XXVIII. ütem</t>
  </si>
  <si>
    <t>Európa Kulturális Fővárosa XXIX. ütem</t>
  </si>
  <si>
    <t>Európa Kulturális Fővárosa XXX. ütem</t>
  </si>
  <si>
    <t>Európa Kulturális Fővárosa XXXVI. ütem</t>
  </si>
  <si>
    <t>Európa Kulturális Fővárosa XXXVIII. ütem</t>
  </si>
  <si>
    <t>Európa Kulturális Fővárosa XL ütem</t>
  </si>
  <si>
    <t>Európa Kulturális Fővárosa XLII. ütem</t>
  </si>
  <si>
    <t>Európa Kulturális Fővárosa XLVI. ütem</t>
  </si>
  <si>
    <t>Európa Kulturális Fővárosa XLVIII. ütem</t>
  </si>
  <si>
    <t>Európa Kulturális Fővárosa LVII. ütem</t>
  </si>
  <si>
    <t>Európa Kulturális Fővárosa LII. ütem</t>
  </si>
  <si>
    <t>Európa Kulturális Fővárosa XXXIII. ütem</t>
  </si>
  <si>
    <t>Európa Kulturális Fővárosa L. ütem</t>
  </si>
  <si>
    <t>Ebből:</t>
  </si>
  <si>
    <t>Önkormányzati kötelező feladatokat ellátó intézmények összesen</t>
  </si>
  <si>
    <t>Önkormányzat által önként vállalt feladatokat ellátó intézmények összesen</t>
  </si>
  <si>
    <t>* Feladatellátás jellege:</t>
  </si>
  <si>
    <t>K= Magyarország helyi önkormányzatairól szóló 2011. évi CLXXXIX. törvény 13. § (1) bekezdése szerinti kötelező feladatok</t>
  </si>
  <si>
    <t>NK= Önkormányzat által önként vállalt feladatok</t>
  </si>
  <si>
    <t>2024. évi felhalmozási költségvetési kiadásainak előirányzata</t>
  </si>
  <si>
    <t>Feladatellátás jellege</t>
  </si>
  <si>
    <t>2022. évi           tény</t>
  </si>
  <si>
    <t>2023. évi     tény</t>
  </si>
  <si>
    <t>2024. évi  eredeti előirányzat</t>
  </si>
  <si>
    <t>Kisértékű tárgyi eszközök beszerzése (szőnyegek, laptopok, mobil és vonalas telefonkészülékek, hordozható magnók, NAS adatvédelmi informatikai rendszer)</t>
  </si>
  <si>
    <t>Játszótéri gumiszőnyeg</t>
  </si>
  <si>
    <t>Csillagvár Waldorf Tagóvoda</t>
  </si>
  <si>
    <t>Kisértékű tárgyi eszközök beszerzése (létra, mobiltelefon, NAS adatvédelmi informatikai rendszer)</t>
  </si>
  <si>
    <t>Napvitorla tartozékokkal</t>
  </si>
  <si>
    <t>Karos napvédő ablakra</t>
  </si>
  <si>
    <t>Informatikai eszközök (számítógép, switch, laptop)</t>
  </si>
  <si>
    <t>Klíma berendezések</t>
  </si>
  <si>
    <t>Digitális fejlesztő játék</t>
  </si>
  <si>
    <t xml:space="preserve"> Erdei és Kuckó Tagóvoda</t>
  </si>
  <si>
    <t>Kisértékű tárgyi eszközök beszerzése (konyhai eszközök, tornatermi eszközök, játékok)</t>
  </si>
  <si>
    <t>Kisértékű tárgyi eszközök beszerzése (bútorok, konyhai eszközök)</t>
  </si>
  <si>
    <t>Informatikai eszközök</t>
  </si>
  <si>
    <t>Fűnyíró</t>
  </si>
  <si>
    <t>Robot porszívó</t>
  </si>
  <si>
    <t>Ruha állvány</t>
  </si>
  <si>
    <t>JBL hangszóró</t>
  </si>
  <si>
    <t>Nárcisz Tagóvoda</t>
  </si>
  <si>
    <t>Kisértékű tárgyi eszközök beszerzése (irodai szék, szőnyeg, telefon, ruhaszárító, mozgásfejlesztő játékok)</t>
  </si>
  <si>
    <t>Udvari játéktároló</t>
  </si>
  <si>
    <t>Kisértékű tárgyi eszközök beszerzése (hűtőszekrény)</t>
  </si>
  <si>
    <t>Beépített szekrénysor</t>
  </si>
  <si>
    <t>Hűtő-Fűtő klímaberendezések</t>
  </si>
  <si>
    <t>Bútorok beszerzése (gyermekasztalok, gyermekszékek, beépített szekrénysor, fotelek, szakmai eszközök, játékok csoportok részére)</t>
  </si>
  <si>
    <t>Cholnoky Jenő Ltp. Tagóvoda</t>
  </si>
  <si>
    <t xml:space="preserve">Kisértékű tárgyi eszközök beszerzése </t>
  </si>
  <si>
    <t>Ünnepi viselet rendezvényekre</t>
  </si>
  <si>
    <t>Laptopok (ovikréta)</t>
  </si>
  <si>
    <t>Ficánka Tagóvoda</t>
  </si>
  <si>
    <t>Ponyvás pergola teraszfedéshez</t>
  </si>
  <si>
    <t>Laptop (ovikréta)</t>
  </si>
  <si>
    <t>Wifi rendszer kiépítése</t>
  </si>
  <si>
    <t>Vackor Bölcsőde</t>
  </si>
  <si>
    <t>Eü. Alapellátás</t>
  </si>
  <si>
    <t>Iskolavédőnők, iskolaorvosok, háziorvosi praxisok</t>
  </si>
  <si>
    <t xml:space="preserve">Szűrőaudiométer </t>
  </si>
  <si>
    <t>Nyomtató</t>
  </si>
  <si>
    <t xml:space="preserve">Forgószék </t>
  </si>
  <si>
    <t>Visus tábla (Kettesy-féle)</t>
  </si>
  <si>
    <t>Kis asztal székekkel váróba</t>
  </si>
  <si>
    <t>Kártyaolvasó</t>
  </si>
  <si>
    <t>Hűtőszekrény</t>
  </si>
  <si>
    <t xml:space="preserve">Mosható szék betegek részére </t>
  </si>
  <si>
    <t>15. sz. háziorvosi körzetbe bútorzat és informatikai eszközök, valamint Komakút téri fogorvosi rendelőkbe fogászati gépek beszerzése</t>
  </si>
  <si>
    <t xml:space="preserve">Halle u. 5. Dr. Steinhof Gábor </t>
  </si>
  <si>
    <t xml:space="preserve">4 üléses várótermi pad </t>
  </si>
  <si>
    <t xml:space="preserve">Cserhát ltp 1. Dr. Mészáros Adél </t>
  </si>
  <si>
    <t>Mosható szék, betegek részére</t>
  </si>
  <si>
    <t xml:space="preserve"> Március 15. u. Dr. Mántó István</t>
  </si>
  <si>
    <t>Orvosi íróasztal</t>
  </si>
  <si>
    <t>Nővér íróasztal</t>
  </si>
  <si>
    <t>Forgószék</t>
  </si>
  <si>
    <t>Kartoték szekrény 2x5 fiókos</t>
  </si>
  <si>
    <t>Kisértékű tárgyi eszköz vásárlás Pápai út 37. - CSÁO (digitális lázmérő, légzésfigyelő, elektromos sterilizáló (cumisüveg), fertőtlenítő állomás, bébiőr,  hűtő/fagyasztó, bojler,  bútor, szőnyeg, függöny, mobiltelefon, mikró, kávéfőző, vízmelegítő, ventilátor/hősugárzó, külső winchester, router, iratmegsemmisítő, porszívó, mérleg,  szárítógép)</t>
  </si>
  <si>
    <t>Új tűzjelző rendszer kiépítése a Mikszáth u. 13. székhelyen</t>
  </si>
  <si>
    <t xml:space="preserve">Néptánc pályázati támogatás (mikrofon), NKA </t>
  </si>
  <si>
    <t>Kültéri hangosító rendszer</t>
  </si>
  <si>
    <r>
      <rPr>
        <b/>
        <sz val="10"/>
        <rFont val="Palatino Linotype"/>
        <family val="1"/>
        <charset val="238"/>
      </rPr>
      <t>TOP – 6.9.2 -16-VP1-2018-0000</t>
    </r>
    <r>
      <rPr>
        <sz val="10"/>
        <rFont val="Palatino Linotype"/>
        <family val="1"/>
        <charset val="238"/>
      </rPr>
      <t>1 Közösségfejlesztés Veszprém város településrészein</t>
    </r>
  </si>
  <si>
    <t>Néptánc pályázati támogatás (projektor)</t>
  </si>
  <si>
    <t>Tárgyi eszközök beszerzése (mosó és szárítógép, íróasztal, szekrény)</t>
  </si>
  <si>
    <r>
      <rPr>
        <b/>
        <sz val="10"/>
        <rFont val="Palatino Linotype"/>
        <family val="1"/>
        <charset val="238"/>
      </rPr>
      <t>TOP-7.1.1-16-H-ESZA-2020-01437</t>
    </r>
    <r>
      <rPr>
        <sz val="10"/>
        <rFont val="Palatino Linotype"/>
        <family val="1"/>
        <charset val="238"/>
      </rPr>
      <t xml:space="preserve"> HangSzín/zene-kép-alkotás</t>
    </r>
  </si>
  <si>
    <t>,</t>
  </si>
  <si>
    <t>Informatikai eszközök beszerzése (monitor, router, switch, notebook, asztali számítógép)</t>
  </si>
  <si>
    <t>Magyar Turisztikai Szövetség Alapítvány támogatása (TV-k, kivetítők, telefonok)</t>
  </si>
  <si>
    <t>R. Kiss Lenke plasztikái</t>
  </si>
  <si>
    <t>Auer Ház berendezése, bebútorozása</t>
  </si>
  <si>
    <t>Telegdi Balázs Wrapped Forms X. című műalkotás megvásárlása</t>
  </si>
  <si>
    <t>Szövőkeret - NKA pályázati támogatásból</t>
  </si>
  <si>
    <t>Országos Dokumentumellátó Rendszer eszközbeszerzés (könyvtári könyvek beszerzése)</t>
  </si>
  <si>
    <t>Informatikai eszközök beszerzése (számítógép, laptop, szkenner, RFID olvasó könyvtárosi munkaállomás)</t>
  </si>
  <si>
    <t>Informatikai eszközbeszerzés érdekeltségnövelő támogatásból</t>
  </si>
  <si>
    <r>
      <rPr>
        <b/>
        <sz val="10"/>
        <rFont val="Palatino Linotype"/>
        <family val="1"/>
        <charset val="238"/>
      </rPr>
      <t xml:space="preserve">TOP – 6.9.2 -16-VP1-2018-00001 </t>
    </r>
    <r>
      <rPr>
        <sz val="10"/>
        <rFont val="Palatino Linotype"/>
        <family val="1"/>
        <charset val="238"/>
      </rPr>
      <t>Közösségfejlesztés Veszprém város településrészein</t>
    </r>
  </si>
  <si>
    <t>SIP2 szolgáltatás Aleph integrált rendszer kiegészítés</t>
  </si>
  <si>
    <t>Tárgyi eszközök beszerzése (homokfúvó kompresszor elektromos bekötés kiépítése, esztergapad másoló berendezéssel, ipari biztonsági porelszívó, fényképezőgép, laborbútorok)</t>
  </si>
  <si>
    <t>Számítástechnikai eszközök beszerzése, grafikai program csomag</t>
  </si>
  <si>
    <t>Kisértékű tárgyi eszközök beszerzése</t>
  </si>
  <si>
    <t>Sétány fogadótér bútorzata</t>
  </si>
  <si>
    <t>Ablakcsere a szakkönyvtárban</t>
  </si>
  <si>
    <t>Kovácsműhely megvásárlása támogatásból</t>
  </si>
  <si>
    <t>Nyilvános illemhely QR kód olvasós forgókapu</t>
  </si>
  <si>
    <t>Pásztorművészeti tárgyak vásárlása támogatásból</t>
  </si>
  <si>
    <t>Kiállítási paravánok képakasztóval</t>
  </si>
  <si>
    <t>Tárgyi eszközök beszerzése (pályázathoz kapcsolódó)</t>
  </si>
  <si>
    <t>Deák utca épület átalakítás</t>
  </si>
  <si>
    <t>Pénztárgép</t>
  </si>
  <si>
    <t>Kabóca logó</t>
  </si>
  <si>
    <t>Gépkocsi beszerzés</t>
  </si>
  <si>
    <t>EMT-TE-2023-1307 pályázat - intézményi eszközfejlesztés</t>
  </si>
  <si>
    <t>NAS - tárhely bővítése</t>
  </si>
  <si>
    <t>Világosítótár/vetítővászon</t>
  </si>
  <si>
    <t>Bakodi-Benczédi emlékpad</t>
  </si>
  <si>
    <t>Klímaberendezés</t>
  </si>
  <si>
    <t>Veszprém Petőfi Színház hőközpont átépítése, épületfelügyelet átprogramozása</t>
  </si>
  <si>
    <t>Szerver csere</t>
  </si>
  <si>
    <t>Informatikai eszközök (RAM-ok) tárhely bővítésre</t>
  </si>
  <si>
    <t>INTÉZMÉNYEK BERUHÁZÁSI KIADÁSAI ÖSSZESEN:</t>
  </si>
  <si>
    <t>Világítótestek részleges cseréje</t>
  </si>
  <si>
    <t>Tűzjelző rendszer megvalósítás</t>
  </si>
  <si>
    <t>Polcrendszer bővítés</t>
  </si>
  <si>
    <t>Beléptető rendszer kialakítás</t>
  </si>
  <si>
    <t>Gépkocsi gumiabroncs beszerzés</t>
  </si>
  <si>
    <t>Bútorok beszerzése</t>
  </si>
  <si>
    <t xml:space="preserve">Kisértékű tárgyi eszköz beszerzések </t>
  </si>
  <si>
    <t>Leltározási program beszerzés</t>
  </si>
  <si>
    <t>Telefonalközpont beszerzések</t>
  </si>
  <si>
    <t>Kis házasságkötő terem - klímaberendezés</t>
  </si>
  <si>
    <t>Gépkocsi nyomkövető rendszer</t>
  </si>
  <si>
    <t>Telefonbeszerzések</t>
  </si>
  <si>
    <t>Képzőművészeti alkotások vásárlása</t>
  </si>
  <si>
    <t>Informatika</t>
  </si>
  <si>
    <t>Igazgatás</t>
  </si>
  <si>
    <t>Tárgyi eszköz beszerzés (szavazófülke)</t>
  </si>
  <si>
    <t>BERUHÁZÁSI KIADÁSOK MINDÖSSZESEN:</t>
  </si>
  <si>
    <t>EKF, NKA pályázatban fel nem használt támogatási előleg visszafizetése</t>
  </si>
  <si>
    <t>FELHALMOZÁSI KIADÁSOK MINDÖSSZESEN</t>
  </si>
  <si>
    <t>Veszprém Megyei Jogú Város Önkormányzata</t>
  </si>
  <si>
    <t>Önkormányzati feladatok és egyéb kötelezettségek 2024. évi működési költségvetési kiadásai</t>
  </si>
  <si>
    <t>2024. évi előirányzat</t>
  </si>
  <si>
    <t>Önkormányzati működési kiadások</t>
  </si>
  <si>
    <t>Közművelődési szolgált.</t>
  </si>
  <si>
    <t>Nemzetközi kapcsolatok</t>
  </si>
  <si>
    <t>Marketing tevékenység, marketing stratégia</t>
  </si>
  <si>
    <t>Programiroda - városi nagyrendezvények</t>
  </si>
  <si>
    <t>ebből: - Magyar Kultúra Napja</t>
  </si>
  <si>
    <t xml:space="preserve">          - Nemzeti ünnep - Március 15.</t>
  </si>
  <si>
    <t xml:space="preserve">          - Magyar Költészet Napja</t>
  </si>
  <si>
    <t xml:space="preserve">          - Városi Gyereknap</t>
  </si>
  <si>
    <t xml:space="preserve">          - Nemzeti ünnep - Augusztus 20.</t>
  </si>
  <si>
    <t xml:space="preserve">          - Szent Mihály napi búcsú</t>
  </si>
  <si>
    <t xml:space="preserve">          - Városi Szilveszter</t>
  </si>
  <si>
    <t xml:space="preserve">          - Kenyér lelke fesztivál</t>
  </si>
  <si>
    <t xml:space="preserve">          - Majális</t>
  </si>
  <si>
    <t>Városi kiemelt fesztiválok</t>
  </si>
  <si>
    <t>ebből: - VeszprémFest</t>
  </si>
  <si>
    <t xml:space="preserve">          - Gizella Napok</t>
  </si>
  <si>
    <t xml:space="preserve">          - Tánc Fesztivál </t>
  </si>
  <si>
    <t xml:space="preserve">          - Veszprémi Utcazene Fesztivál</t>
  </si>
  <si>
    <t xml:space="preserve">          - Auer Hegedűfesztivál</t>
  </si>
  <si>
    <t xml:space="preserve">          - Magyar Mozgógép Fesztivál</t>
  </si>
  <si>
    <t xml:space="preserve">          - Bakony Expo</t>
  </si>
  <si>
    <t xml:space="preserve">          - Kabóciádé</t>
  </si>
  <si>
    <t xml:space="preserve">          - Rátonyi Róbert Operettfesztivál</t>
  </si>
  <si>
    <t xml:space="preserve">          - Lélektől Lélekig</t>
  </si>
  <si>
    <t xml:space="preserve">          - Gyárkert Fesztivál </t>
  </si>
  <si>
    <t>Magyar Kórusok találkozója</t>
  </si>
  <si>
    <t>Köztéri szobrok, emléktáblák, lektorátus</t>
  </si>
  <si>
    <t>Kiadványok, folyóiratok támogatása</t>
  </si>
  <si>
    <t>ebből:  -Vár Ucca Műhely támogatása</t>
  </si>
  <si>
    <t xml:space="preserve">         - Városi Szemle folyóirat kiadása - Veszprémi Szemle Várostörténeti Közhasznú Alapítvány</t>
  </si>
  <si>
    <t xml:space="preserve">          - Erős Hit, Erős Akarat c. kötet kiadásának támogatása (Veszprémi Szemle Várostörténeti KHA)</t>
  </si>
  <si>
    <t xml:space="preserve">          - Szeglethy György kötet kiadásának támogatása (Veszprémi Szemle Várostörténeti KHA)</t>
  </si>
  <si>
    <t xml:space="preserve">          - Comitatus Társadalomkutató Egyesület - Comitatus Önkormányzati Szemle</t>
  </si>
  <si>
    <t xml:space="preserve">          - Ex Symposion Alapítvány</t>
  </si>
  <si>
    <t xml:space="preserve">          - Brusznyai Árpád évfordulós kötet kiadása</t>
  </si>
  <si>
    <t xml:space="preserve">          - Veszprémi Portré Szabad Sajtó Kulturális és KHE</t>
  </si>
  <si>
    <t xml:space="preserve">          - Veszprémi Várostörténeti Monográfia előkészítése</t>
  </si>
  <si>
    <t xml:space="preserve">          - Tóth József - Tóth Józsi egy diszkós kalandjai a Bakony Művektől Barbadosig című könyv támogatása</t>
  </si>
  <si>
    <t xml:space="preserve">          - Darcsi István - Veszprém város sporttörténete</t>
  </si>
  <si>
    <t xml:space="preserve">          - Senior Kisokos</t>
  </si>
  <si>
    <t xml:space="preserve">          - Négy évszak a Bakonyban</t>
  </si>
  <si>
    <t>Közösség Kádártáért Egyesület</t>
  </si>
  <si>
    <t>Virágzó Veszprém Egyesület</t>
  </si>
  <si>
    <t>Élhetőbb Rátótért Egyesület</t>
  </si>
  <si>
    <t>Brusznyai Árpád Alapítvány támogatása</t>
  </si>
  <si>
    <t>Méz Rádió támogatása</t>
  </si>
  <si>
    <t>Kiemelt művészeti együttesek támogatása</t>
  </si>
  <si>
    <t>ebből: - Mendelssohn Kamarazenekar</t>
  </si>
  <si>
    <t xml:space="preserve"> - Veszprém Város Vegyeskara</t>
  </si>
  <si>
    <t xml:space="preserve"> - Veszprémi Táncegyüttesért Alapítvány</t>
  </si>
  <si>
    <t xml:space="preserve"> - Liszt F. Kórus</t>
  </si>
  <si>
    <t xml:space="preserve"> - Gizella Kórus/Dowland Alapítvány</t>
  </si>
  <si>
    <t xml:space="preserve"> - Gárdonyi Zoltán Zenekarért Alapítvány</t>
  </si>
  <si>
    <t>Gerence Hagyományőrző Néptáncegyüttes támogatása</t>
  </si>
  <si>
    <t>Filharmónia koncertek támogatása</t>
  </si>
  <si>
    <t>SÉD folyóirat költségei</t>
  </si>
  <si>
    <t>Kulturális kínálat bővítés</t>
  </si>
  <si>
    <t>Oktatási intézmények támogatása</t>
  </si>
  <si>
    <t>Pannon Várszínház támogatás</t>
  </si>
  <si>
    <t>M.J.V.SZ. tám. Kárpátalja megsegítésére</t>
  </si>
  <si>
    <t>UNESCO Zene városa</t>
  </si>
  <si>
    <t>Európa Ifjúsági Fővárosa 2024 pályázat benyújtása</t>
  </si>
  <si>
    <t>Sport és Élsport</t>
  </si>
  <si>
    <t>Sportpálya fenntartás, ill. fenntartói tám.</t>
  </si>
  <si>
    <t>Sportcélok és feladatok (sportigazgatás)</t>
  </si>
  <si>
    <t>Stadion üzemeltetése</t>
  </si>
  <si>
    <t>Szabadidő- és Diáksport</t>
  </si>
  <si>
    <t>Városi lap kiadásai</t>
  </si>
  <si>
    <t>Városi civil keret</t>
  </si>
  <si>
    <t xml:space="preserve"> ebből : - Nyugdíjas szervezetek számára pályázati keret</t>
  </si>
  <si>
    <t xml:space="preserve">            - Pályázati keret</t>
  </si>
  <si>
    <t xml:space="preserve">            - Nyugdíjas találkozó</t>
  </si>
  <si>
    <t xml:space="preserve">            - Civil irodai szolgáltatások, civil ház</t>
  </si>
  <si>
    <t xml:space="preserve">            - Civil nap költségei</t>
  </si>
  <si>
    <t>Városi ifjúsági keret</t>
  </si>
  <si>
    <t>ebből:  - Lélektér Alapítvány</t>
  </si>
  <si>
    <t xml:space="preserve">           - Fiatalok napja rendezvény</t>
  </si>
  <si>
    <t xml:space="preserve">           - Tanulmányi ösztöndíj</t>
  </si>
  <si>
    <t xml:space="preserve">           - Ifjúsági koncepció megvalósításának végrehajtása</t>
  </si>
  <si>
    <t xml:space="preserve">           - Ifjúsági kötelező feladatok ellátása</t>
  </si>
  <si>
    <t xml:space="preserve"> - "Otthon - Veszprémben"- önálló lakhatást, letelepedést elősegítő és helyi munkavállalást ösztönző támogatás (Veszprémi Ifjúsági Közalapítvány)</t>
  </si>
  <si>
    <t xml:space="preserve">           - Veszprémi újszülöttek támogatása (Veszprémi Ifjúsági Közalapítvány)</t>
  </si>
  <si>
    <t>Állatmenhelyek támogatása</t>
  </si>
  <si>
    <t>Rendszeres gyermekvédelmi kedvezmény/pénzbeli ellátás</t>
  </si>
  <si>
    <t>Lakbértámogatás</t>
  </si>
  <si>
    <t>Szünidei gyermekétkeztetés</t>
  </si>
  <si>
    <t>Települési támogatások</t>
  </si>
  <si>
    <t>ebből:  - Rendkívüli támogatás</t>
  </si>
  <si>
    <t xml:space="preserve">          - Vészhelyzeti támogatás (krízis segély)</t>
  </si>
  <si>
    <t xml:space="preserve">          - Beiskolázási támogatás</t>
  </si>
  <si>
    <t xml:space="preserve">          - Lakásfenntartási támogatás </t>
  </si>
  <si>
    <t xml:space="preserve">          - Albérleti támogatás</t>
  </si>
  <si>
    <t xml:space="preserve">          - Temetési támogatás</t>
  </si>
  <si>
    <t xml:space="preserve">          - Térítési díj</t>
  </si>
  <si>
    <t xml:space="preserve">          - Gyógyszertámogatás</t>
  </si>
  <si>
    <t xml:space="preserve">         - Adósságcsökkentési támogatás</t>
  </si>
  <si>
    <t xml:space="preserve">         - Szünidei gyermekétkeztetés</t>
  </si>
  <si>
    <t xml:space="preserve">         - Letelepedési támogatás</t>
  </si>
  <si>
    <t>Köztemetés</t>
  </si>
  <si>
    <t xml:space="preserve">Közcélú és közhasznú foglalkoztatás </t>
  </si>
  <si>
    <t>Nyári diákmunka</t>
  </si>
  <si>
    <t>Települési szilárdhulladék szállítás ártámogatás</t>
  </si>
  <si>
    <t>Egészségügyi feladatok ellátását szolgáló ingatlanrész bérleti díja és rezsiköltségek</t>
  </si>
  <si>
    <t>Szenvedélybetegek ellátásának működési kiadásaihoz támogatás</t>
  </si>
  <si>
    <t>Máltai Szeretetszolgálatnak pénzeszköz átadás (ellátási szerződés)</t>
  </si>
  <si>
    <t xml:space="preserve">Központi orvosi ügyelet </t>
  </si>
  <si>
    <t>Fogorvosi körzeteknek működési hozzájárulás</t>
  </si>
  <si>
    <t>Fogorvosi körzetek részére pályázati alap</t>
  </si>
  <si>
    <t>Lelkisegély szolgálat</t>
  </si>
  <si>
    <t>Nevelési szolgáltatás</t>
  </si>
  <si>
    <t>Hittudományi Főiskola támogatása</t>
  </si>
  <si>
    <t>Pszichiátriai betegek nappali ellátás ("Horgony" Pszichiátriai Betegekért Közhasznú Alapítvány)</t>
  </si>
  <si>
    <t>Foglalkoztatás eü. szolg.</t>
  </si>
  <si>
    <t>Munkavédelmi feladatok</t>
  </si>
  <si>
    <t>Közbeszerzési eljárások költségei</t>
  </si>
  <si>
    <t xml:space="preserve">Önkormányzat igazgatási tevékenysége </t>
  </si>
  <si>
    <t>Német Nemzetiségi Önk. helyiségének bérleti díja</t>
  </si>
  <si>
    <t>Igazgatás - Állam felé befizetési kötelezettség</t>
  </si>
  <si>
    <t>ÁFA befizetés</t>
  </si>
  <si>
    <t>Kamatkiadások</t>
  </si>
  <si>
    <t>Szolidaritási hozzájárulás</t>
  </si>
  <si>
    <t>Városi Közbiztonság Keret</t>
  </si>
  <si>
    <t>Városi TV közszolgálati műsorok támogatása</t>
  </si>
  <si>
    <t xml:space="preserve">Peres ügyek, kártérítési díjak </t>
  </si>
  <si>
    <t>Jutasi úti műfüves pálya fenntartása (LUC)</t>
  </si>
  <si>
    <t>Swing-Swing Kft. szolgáltatás vásárlás</t>
  </si>
  <si>
    <t>TDM Irodától szolgáltatás vásárlása</t>
  </si>
  <si>
    <t>Programiroda Kft. - kulturális, művészeti rendezvények támogatása</t>
  </si>
  <si>
    <t>Vagyongazdálkodással és ingatlanhasznosítással összefüggő fel. (földhivatali eljárások, vagyonértékelés)</t>
  </si>
  <si>
    <t xml:space="preserve">Helikoni Ünnepségek Keszthelyen </t>
  </si>
  <si>
    <t>Tanórán kívüli tevékenység támogatása</t>
  </si>
  <si>
    <t>Településfejlesztési feladatok</t>
  </si>
  <si>
    <t>Hatósági engedélyek beszerzése, hatályban tartása</t>
  </si>
  <si>
    <t>Közutak, hidak fenntartása</t>
  </si>
  <si>
    <t>Nem lakáscélú helyiségek üzemeltetési költségei</t>
  </si>
  <si>
    <t>V-Busz Veszprémi Közlekedési Kft.</t>
  </si>
  <si>
    <t>Szolgáltatás vásárlás (közszolgáltatási feladatok I.)</t>
  </si>
  <si>
    <t>V-Bike közbringa rendszer üzemeltetése (közszolgáltatási feladatok II.)</t>
  </si>
  <si>
    <t>Volánbusz Zrt. szolgáltató részére elővárosi és regionális járatokon történő helyi személyszállítási közszolgáltatási feladatok ellátásához hozzájárulás</t>
  </si>
  <si>
    <t>VESZOL - Veszprém, Pápai u. 37. sz. munkásszálló működetési feladatai</t>
  </si>
  <si>
    <t>VKSZ Zrt. által ellátott városüzemeltetési feladatok</t>
  </si>
  <si>
    <t>Parkfenntartás</t>
  </si>
  <si>
    <t>Egyéb városüzemeltetési feladatok</t>
  </si>
  <si>
    <t>Köztisztasági feladatok</t>
  </si>
  <si>
    <t>Temetők üzemeltetésével kapcsolatos feladatok</t>
  </si>
  <si>
    <t>Városi fenntarthatósággal összefüggő feladatok ellátása</t>
  </si>
  <si>
    <t>VKSZ Zrt. által ellátott intézményüzemeltetési feladatok</t>
  </si>
  <si>
    <t>Intézményi karbantartási költségek</t>
  </si>
  <si>
    <t>Intézményi működtetők költsége</t>
  </si>
  <si>
    <t>Intézményi közüzemi költségek</t>
  </si>
  <si>
    <t>Rekultivációt megelőző telephely fenntartási költség</t>
  </si>
  <si>
    <t>Aluljárók csapadékvíz átemelőinek üzemeltetése</t>
  </si>
  <si>
    <t>Szökőkutak, ivókutak szolgáltatási díjai</t>
  </si>
  <si>
    <t>Városgazdálkodási szolgáltatás</t>
  </si>
  <si>
    <t>Közvilágítás</t>
  </si>
  <si>
    <t>Közműalagút működtetése</t>
  </si>
  <si>
    <t>Környezetvédelmi feladat (Városüzemeltetés feladatai)</t>
  </si>
  <si>
    <t>Környezetvédelmi feladat (Közigazgatási Iroda feladatai)</t>
  </si>
  <si>
    <t>Bérlakások üzemeltetési költségei</t>
  </si>
  <si>
    <t>Kolostorok és kertek működtetése</t>
  </si>
  <si>
    <t>Csapadékcsatornák üzemeltetési szolgáltatásai</t>
  </si>
  <si>
    <t>Bérleményekkel, haszonbérletekkel kapcsolatos feladatok</t>
  </si>
  <si>
    <t>DAT térképfrissítés, földkönyv, közműnyilvántartás, GPS</t>
  </si>
  <si>
    <t>Közterület-felügyelet</t>
  </si>
  <si>
    <t>Ebrendészeti feladatok</t>
  </si>
  <si>
    <t>Nemzetiségi önkormányzatok kiadásai:</t>
  </si>
  <si>
    <t xml:space="preserve"> ebből: - Roma Nemzetiségi Önkormányzat</t>
  </si>
  <si>
    <t>- Német Nemzetiségi Önkormányzat</t>
  </si>
  <si>
    <t>- Örmény Nemzetiségi Önkormányzat</t>
  </si>
  <si>
    <t>- Lengyel Nemzetiségi Önkormányzat</t>
  </si>
  <si>
    <t>- Ukrán Nemzetiségi Önkormányzat</t>
  </si>
  <si>
    <t>TOP orvosi rendelők felújításához tartozó költöztetési munkák</t>
  </si>
  <si>
    <t>Felújításra kerülő bölcsődék költöztetési, eszközszállítási feladatai</t>
  </si>
  <si>
    <t>Beruházásokhoz kapcsolódó költöztetési feladatok</t>
  </si>
  <si>
    <t>ELENA projekt előkészítési feladatokra konzorciumi hozzájárulás</t>
  </si>
  <si>
    <t>Beruházások közműdíjai</t>
  </si>
  <si>
    <t>Beruházásokhoz kapcsolódó energetikai tanúsítvány</t>
  </si>
  <si>
    <t>Handball Team Zrt. szolgáltatás vásárlás</t>
  </si>
  <si>
    <t>Összmagyar Sport és Kulturális Találkozó</t>
  </si>
  <si>
    <t>Epipen injekció biztosítása gyermekjóléti, köznevelési intézményekben és házi gyermekorvosi rendelőkben</t>
  </si>
  <si>
    <t>Beruházásokhoz kapcsolódó ingatlanrendezési feladatok</t>
  </si>
  <si>
    <t>Pápai u.-Jutasi út belső krt mellékkötelezettségek</t>
  </si>
  <si>
    <t>Koronavírus védekezés költségeire és gazdasági hatásának enyhítésére</t>
  </si>
  <si>
    <t>Hetman Jan Tarnowski Alapítvány (Lengyelország) - Ukrajnából menekülni kényszerülők megsegítése</t>
  </si>
  <si>
    <t>Hulladékelszállítás, gyomtalanítás</t>
  </si>
  <si>
    <t>Regőczi István Alapítvány - Covid árvák megsegítésének támogatása</t>
  </si>
  <si>
    <t>Választókerületi keretek</t>
  </si>
  <si>
    <t>Veszprém-Gyulafirátót Pásztor utca feletti csapadékvíz elöntés védekezés és kárelhárítás költségeire</t>
  </si>
  <si>
    <t>Helyi Esélyegyenlőségi Program felülvizsgálata</t>
  </si>
  <si>
    <t>Sportmarketing</t>
  </si>
  <si>
    <t>Veszprém monográfia tárhely</t>
  </si>
  <si>
    <t>Lakossági LED csere program</t>
  </si>
  <si>
    <t>Úszás oktatás</t>
  </si>
  <si>
    <t>Keresztény Értelmiségek támogatása</t>
  </si>
  <si>
    <t>Szabad-Sajtó Kulturális és Ifjúsági Közhasznú Egyesület</t>
  </si>
  <si>
    <t>Veszprémi Rendőrkapitányság támogatása</t>
  </si>
  <si>
    <t>Nobel program támogatása</t>
  </si>
  <si>
    <t>Diabetes Világnap</t>
  </si>
  <si>
    <t>Hulladékkezelés költsége</t>
  </si>
  <si>
    <t>Ipari és gyártási szakirányú pályaorientációs foglalkozások tartása</t>
  </si>
  <si>
    <t>Swing-Swing Kft. - Családika program</t>
  </si>
  <si>
    <t>Magyar Lélek Alapítvány támogatása</t>
  </si>
  <si>
    <t>Alkohol és Drogsegély Ambulancia Napsugár Klub</t>
  </si>
  <si>
    <t>Jutasi 100 emlékprogram</t>
  </si>
  <si>
    <t>Brusznyai Árpád születésének 100. évfordulója</t>
  </si>
  <si>
    <t>Szeglethy György születésének 170. évfordulója</t>
  </si>
  <si>
    <t>"Digitális élményközpontok hálózatának kialakítása és központi minőségbiztosítása" projekt üzemeltetési költsége</t>
  </si>
  <si>
    <t>"Kapaszkodó" Mentálhigiénés Egyesület támogatása</t>
  </si>
  <si>
    <t>Pegazus Színház Közhasznú Nonprofit Kft. támogatása</t>
  </si>
  <si>
    <t>Szent Imre Alapítvány támogatása</t>
  </si>
  <si>
    <t>Építész Kiállítás 2024 támogatása</t>
  </si>
  <si>
    <t xml:space="preserve">2027. évi Tájékozódási Futó Világbajnokság </t>
  </si>
  <si>
    <t>Csizmadia kerámiák restaurálása és elhelyezése</t>
  </si>
  <si>
    <t>Önkormányzati épületek energiahatékonysági vizsgálata</t>
  </si>
  <si>
    <t>Pannon Kultúrklub támogatása</t>
  </si>
  <si>
    <t>Otthonra találni a művészetben projekt támogatása</t>
  </si>
  <si>
    <t>Veszprém - Rovaniemi testvérvárosi kapcsolat 50 éves jubileumi támogatása</t>
  </si>
  <si>
    <t>European Urban Initiative, „TOPIC 2: Technology in cities” pályázat benyújtása</t>
  </si>
  <si>
    <t>XXVI. Magyar Ingatlanfejlesztési Nívódíj pályázat részvételi díja</t>
  </si>
  <si>
    <t>Szilágyi Táncegyüttes Alapítvány támogatása</t>
  </si>
  <si>
    <t>AutiSpektrum Egyesület támogatása</t>
  </si>
  <si>
    <t>Agyhártyagyulladás elleni védőoltás középiskolai tanulmányait adott évben megkezdő gyermekek részére</t>
  </si>
  <si>
    <t>Sportrégió pályázat regisztrációs díja</t>
  </si>
  <si>
    <t>Minerva Tanulási Alapítvány támogatása</t>
  </si>
  <si>
    <t>Szeretfilmsúdió Egyesület támogatása</t>
  </si>
  <si>
    <t>Orlandó Egyesület támogatása</t>
  </si>
  <si>
    <t>Adventi programok</t>
  </si>
  <si>
    <t>Pannon Egyetem támogatása</t>
  </si>
  <si>
    <t>Sportrégió pályázat</t>
  </si>
  <si>
    <t>Ebből: Önkormányzat által ellátott kötelező feladatok összesen:</t>
  </si>
  <si>
    <t>Ebből: Önkormányzat által ellátott önként vállalt feladatok összesen:</t>
  </si>
  <si>
    <t>2024. év utáni javaslat</t>
  </si>
  <si>
    <t>Európai Uniós forrásból finanszírozott támogatással megvalósuló programok, projektek 2024. évi költségvetési kiadásainak előirányzata</t>
  </si>
  <si>
    <t>Teljes költség**</t>
  </si>
  <si>
    <t>Teljesítés                      2022.          12.31.-ig**</t>
  </si>
  <si>
    <t>2023. évi              tény**</t>
  </si>
  <si>
    <t>Működési költségvetési                                                                         kiadások</t>
  </si>
  <si>
    <t>Munk.a. terh. Jár. És szoc.hj.adó</t>
  </si>
  <si>
    <t>Egyéb működési célú kiadások</t>
  </si>
  <si>
    <t>TOP-6.4.1-16-VP1-17-00001 Szabadságpuszta településrész és Felsőörs Község közötti kerékpárút beruházása</t>
  </si>
  <si>
    <t>TOP-6.4.1-16-VP1-2018-00002 Márkó-Bánd települések irányába kerékpárút építése</t>
  </si>
  <si>
    <t>TOP-6.3.4.1-16 Kerékpárút és kerékpárforgalmi létesítmények építése Veszprém-Gyulafirátót</t>
  </si>
  <si>
    <t>GINOP - 7.1.9-17-2018-00023 Veszprém kulturális turisztikai kínálatának fejlesztése</t>
  </si>
  <si>
    <t>601835-CITIZ-1-2018-1-HU-CITIZ-NT Reveal YouropEaN Cultural Heritage/Tárd fel európai kulturális örökségedet (ENriCH)</t>
  </si>
  <si>
    <t>TOP-7.1.1-16-H-ERFA-2019-00372 Barátságparki csalánkert</t>
  </si>
  <si>
    <t>Erasmus+ Hangadó pályázat - Veszprém Ifjúsági Koncepciójának megújítása</t>
  </si>
  <si>
    <t>Urbact fenntartható városfejlesztési hálózat IV. "BiodiverCity" - városi biológiai sokféleség megőrzése, minőségi támogatása és fejlesztése</t>
  </si>
  <si>
    <t>Urbact fenntartható városfejlesztési hálózat IV. "NextGen Youth Work" - ifjúságszakmai fejlesztések a fiatalok bevonásának és a digitalizáció előnyeinek tudatosítás és kihasználása az ifjúsági munkások körében</t>
  </si>
  <si>
    <t>Driving Urban Transition SUMODO</t>
  </si>
  <si>
    <t>Interreg Central Access2CE</t>
  </si>
  <si>
    <t>Erasmus+ Ifjúsági részvételi tevékenységek</t>
  </si>
  <si>
    <t>** Az intézményeknél kimutatott adatokat is tartalmazza</t>
  </si>
  <si>
    <t>Modern Városok Program és más hazai finanszírozásból megvalósuló feladatok 2024. évi költségvetési kiadásainak előirányzata</t>
  </si>
  <si>
    <t>2023. évi              várható**</t>
  </si>
  <si>
    <t>Veszprémi Petőfi Színház komplex fejlesztése</t>
  </si>
  <si>
    <t>Veszprémi új Városi Jégcsarnok építése</t>
  </si>
  <si>
    <t>Veszprém belterületi közúthálózat fejlesztési céljainak és kapcsolódó tereinek megvalósítása (támogatás és önerő)</t>
  </si>
  <si>
    <t>Modern Városok Program keretében megvalósuló veszprémi belterületi közúthálózat fejlesztése projekt során az építési engedélyhez nem kötött felújítások, rekonstrukciók előkészítéséhez kapcsolódó beruházás lebonyolítói tevékenység ellátása a lakóutak és fő közlekedési utak tekintetében</t>
  </si>
  <si>
    <t>Kutyafuttató park kialakítása</t>
  </si>
  <si>
    <t>**Az intézményeknél kimutatott adatokat is tartalmazza</t>
  </si>
  <si>
    <t>Európa Kulturális Fővárosa program 2024. évi költségvetési kiadásainak előirányzata</t>
  </si>
  <si>
    <t>Működési kiadások</t>
  </si>
  <si>
    <t>Halle utcai parkoló</t>
  </si>
  <si>
    <t>Séd-völgyi futókör</t>
  </si>
  <si>
    <t>Játszóterek</t>
  </si>
  <si>
    <t>Mocorgó Játszótér felújítása</t>
  </si>
  <si>
    <t>XV. ütem összesen</t>
  </si>
  <si>
    <t>Európa Kulturális Fővárosa 2023 beruházások előkészítése (önerő)</t>
  </si>
  <si>
    <t>Digitális Kiállítótér a volt Városi Művelődési Központban (Dimitrov) I. ütem</t>
  </si>
  <si>
    <t xml:space="preserve">Európa Kulturális Fővárosa </t>
  </si>
  <si>
    <t>Welcome Veszprém - turisztikai szolgáltatások fejlesztése</t>
  </si>
  <si>
    <t>Könyvkiadás, operatív és turisztikai koordinációs feladatok, terjesztés, turisztikai marketing feladatok, tanulmányok</t>
  </si>
  <si>
    <t>Veszprémi Turisztikai Egyesület EKF program támogatása</t>
  </si>
  <si>
    <t>Táblarendszer fejlesztése és információs térkép, installációk, Séd-völgyi kerékpárút kitáblázása</t>
  </si>
  <si>
    <t>Kioszk, QR kód leolvasó és Audio-guide</t>
  </si>
  <si>
    <t>E-bike töltő és szervizközpontok</t>
  </si>
  <si>
    <t>Köztéri infrastruktúra fejlesztése, szobrok téliesítése</t>
  </si>
  <si>
    <t>Millenniumi emlékmű projektelőkészítési és lebonyolítási feladatok</t>
  </si>
  <si>
    <t>Európa Kulturális Fővárosa XXXVII. ütem</t>
  </si>
  <si>
    <t>Pontszerű telekommunikációs fejlesztések Veszprém belvárosában</t>
  </si>
  <si>
    <t>VMJV Kulturális tartalomfejlesztés 2023.</t>
  </si>
  <si>
    <t>Veszprémi Várbörtön felújítása</t>
  </si>
  <si>
    <t>VMJV Kulturális tartalomfejlesztés 2023. 2. csomag</t>
  </si>
  <si>
    <t>Rézsűs játszótér részleges átalakítása és felújítása</t>
  </si>
  <si>
    <t>Digitális Múzeum kialakítása a volt Dimitrov Művelődési Központ épületében</t>
  </si>
  <si>
    <t>Kiskuti csárda felújítása</t>
  </si>
  <si>
    <t>Parkolók létesítése a Csikász és Csermák utcában</t>
  </si>
  <si>
    <t>Veszprémben élő és Veszprémbe látogató gyermekek nevelésének és biztonságos közlekedésének elősegítése az EKF évében</t>
  </si>
  <si>
    <t>Európa Kulturális Fővárosa LIII. ütem</t>
  </si>
  <si>
    <t>Várfalsétány kialakítása</t>
  </si>
  <si>
    <t>VMJV Kulturális tartalomfejlesztés 3. csomag</t>
  </si>
  <si>
    <t>Európa Kulturális Fővárosa LVI. ütem</t>
  </si>
  <si>
    <t>Jutasi út 32. ingatlan bontása és tereprendezése, Jutasi út 30. ingatlanon kutya- és utasváró létesítése</t>
  </si>
  <si>
    <t>Nagy Sándor szoborfejek kihelyezése a Püspökkertben</t>
  </si>
  <si>
    <t>Városrészi zászlók gyártása és kihelyezése, játszóterek fejlesztése</t>
  </si>
  <si>
    <t>Európa Kulturális Fővárosa LIX. ütem</t>
  </si>
  <si>
    <t>Dubniczay-palota részleges felújítása, átalakítása</t>
  </si>
  <si>
    <t>Európa Kulturális Fővárosa LXI. ütem</t>
  </si>
  <si>
    <t>Botlatókövek és sétafesztivál</t>
  </si>
  <si>
    <t>Közösség terek és közterületek fejlesztése Veszprémben</t>
  </si>
  <si>
    <t>"Ember A Rács Mögött" kiállítás megvalósítása</t>
  </si>
  <si>
    <t>Európa Kulturális Fővárosa LXIII. ütem</t>
  </si>
  <si>
    <t>Glass Art NOW! @ The Venice Glass Week 2023</t>
  </si>
  <si>
    <t>Csermák lépcső felújítása</t>
  </si>
  <si>
    <t>Veszprémi Városháza rendezvénytermeinek és kapcsolódó kiszolgáló helységeinek felújítása</t>
  </si>
  <si>
    <t>Európa Kulturális Fővárosa</t>
  </si>
  <si>
    <t>VESZPRÉM MEGYEI JOGÚ VÁROS ÖNKORMÁNYZATÁNAK MŰKÖDÉSI ÉS FELHALMOZÁSI</t>
  </si>
  <si>
    <t>KÖLTSÉGVETÉSI BEVÉTELEI ÉS KIADÁSAI 2024. ÉVBEN</t>
  </si>
  <si>
    <t>Előirányzat csoport / Kiemelt előirányzat neve</t>
  </si>
  <si>
    <t>2023. évi        tény</t>
  </si>
  <si>
    <t>2024. évi   eredeti előirányzat</t>
  </si>
  <si>
    <t>MŰKÖDÉSI KÖLTSÉGVETÉSI BEVÉTELEK</t>
  </si>
  <si>
    <t>MŰKÖDÉSI KÖLTSÉGVETÉSI KIADÁSOK</t>
  </si>
  <si>
    <t>Működési célú támogatások államháztartáson belülről</t>
  </si>
  <si>
    <t>Munkaadókat terhelő járulékok és szociális hozzájárulási adó</t>
  </si>
  <si>
    <t>Egyéb működési célú kiadások (tartalékok nélkül)</t>
  </si>
  <si>
    <t>Működési célú tartalékok</t>
  </si>
  <si>
    <t>Működési költségvetési bevételek összesen</t>
  </si>
  <si>
    <t>Működési költségvetési kiadások összesen</t>
  </si>
  <si>
    <t>FELHALMOZÁSI KÖLTSÉGVETÉSI BEVÉTELEK</t>
  </si>
  <si>
    <t>FELHALMOZÁSI KÖLTSÉGVETÉSI KIADÁSOK</t>
  </si>
  <si>
    <t>Felhalmozási célú támogatások államháztartáson belülről</t>
  </si>
  <si>
    <t>Felhalmozási célú tartalékok</t>
  </si>
  <si>
    <t>Felhalmozási költségvetési bevételek összesen</t>
  </si>
  <si>
    <t>Felhalmozási költségvetési kiadások összesen</t>
  </si>
  <si>
    <t>MŰKÖDÉSI FINANSZÍROZÁSI BEVÉTELEK</t>
  </si>
  <si>
    <t>MŰKÖDÉSI FINANSZÍROZÁSI KIADÁSOK</t>
  </si>
  <si>
    <t>Költségvetési maradvány</t>
  </si>
  <si>
    <t>Belföldi értékpapírok beváltása, értékesítése</t>
  </si>
  <si>
    <t>FELHALMOZÁSI FINANSZÍROZÁSI BEVÉTELEK</t>
  </si>
  <si>
    <t>FELHALMOZÁSI FINANSZÍROZÁSI KIADÁSOK</t>
  </si>
  <si>
    <t>Hosszú lejáratú hitel felvétele</t>
  </si>
  <si>
    <t>Hosszú lejáratú hitel tőkeösszegének törlesztése</t>
  </si>
  <si>
    <t>Finanszírozási bevételek összesen</t>
  </si>
  <si>
    <t>Finanszírozási kiadások összesen</t>
  </si>
  <si>
    <t>ÖSSZES BEVÉTEL</t>
  </si>
  <si>
    <t>ÖSSZES KIADÁS</t>
  </si>
  <si>
    <t>ebből működési:</t>
  </si>
  <si>
    <t>ebből felhalmozási:</t>
  </si>
  <si>
    <t>Finanszírozási kiadásokkal korrigált hiány összege</t>
  </si>
  <si>
    <t>Hiány finanszírozása belső finanszírozásra szolgáló költségvetési bevétel összegével</t>
  </si>
  <si>
    <t>Hiány finanszírozása külső finanszírozásra szolgáló költségvetési bevétel összegével</t>
  </si>
  <si>
    <t>Működési bevételek aránya %-ban</t>
  </si>
  <si>
    <t>Működési kiadások aránya %-ban</t>
  </si>
  <si>
    <t>Felhalmozási bevételek aránya %-ban</t>
  </si>
  <si>
    <t>Felhalmozási kiadások aránya %-ban</t>
  </si>
  <si>
    <t xml:space="preserve"> </t>
  </si>
  <si>
    <t>KIMUTATÁS</t>
  </si>
  <si>
    <t>Intézmények összesen:</t>
  </si>
  <si>
    <t>2024. évi módosított előirányzat 7</t>
  </si>
  <si>
    <t>módosított előirányzat 7</t>
  </si>
  <si>
    <t>Kisértékű tárgyi eszközök beszerzése (szünetmentes tápegység, gyermekasztal)</t>
  </si>
  <si>
    <t>Kisértékű tárgyi eszközök beszerzése (konyhai és szakmai eszközök, napvitorla, bútor, mosógép, szárítógép, notebook)</t>
  </si>
  <si>
    <t>Kisértékű tárgyi eszközök beszerzése (szakmai eszközök, bútorok, hulladékgyűjtő, kávéfőző, olajradiátor, mikrohullámú sütő, informatikai eszköz, lábtörlő, hűtőszekrény)</t>
  </si>
  <si>
    <t>Európa Ege c. fotóművészeti alkotás - NKA pályázati támogatásból</t>
  </si>
  <si>
    <t>Képzőművészeti alkotás - NKA pályázati támogatásból</t>
  </si>
  <si>
    <t>Korszerű technikák, technológiai eszközök - NKA pályázati támogatásból</t>
  </si>
  <si>
    <t>9 személyes kisbusz beszerzése</t>
  </si>
  <si>
    <t>Tehergépjármű raktérburkolás</t>
  </si>
  <si>
    <t>Kisértékű tárgyi eszközök beszerzése (konyhai és szakmai eszközök, bútor, monitor, porszívó, rádió,  mosógép, gőzállomás, fellépő)</t>
  </si>
  <si>
    <t>Kisértékű tárgyi eszközök beszerzése (konyhai és szakmai eszközök, kávéfőző, szőnyeg, bútor)</t>
  </si>
  <si>
    <t>Kisértékű tárgyi eszközök beszerzése (konyhai és szakmai eszközök, szárítógép)</t>
  </si>
  <si>
    <t>Informatikai eszközök beszerzése (szünetmentes táp, multifunkcionális nyomtató, Wifi csatlakozási pont UNIFI UAP-AC-LR)</t>
  </si>
  <si>
    <t>Informatikai eszközök beszerzése (NAXCH hálózati adattároló, Wifi csatlakozási pont UNIFI UAP-AC-LR, Switch)</t>
  </si>
  <si>
    <t>Hűtő-fűtő klímaberendezések</t>
  </si>
  <si>
    <t>Kisértékű tárgyi eszközök beszerzése  (mobiltelefonok, spirálozó, többfunkciós robotgép, szeletelőgép, kapaszkodó, nyomtató, irodai székek, szünetmentes tápegységek, tornagerenda, fűkasza, szekrények, polcok, mikrohullámú sütők, logopédiai tükör)</t>
  </si>
  <si>
    <t>Kisértékű tárgyi eszközök beszerzése (konyhai és szakmai eszközök, napvitorla, varrógép, gőzállomás, mosógép, szárítógép)</t>
  </si>
  <si>
    <t>2024. évi beruházási és egyéb felhalmozási célú kiadások előirányzata</t>
  </si>
  <si>
    <t>Teljes költség</t>
  </si>
  <si>
    <t>Teljesítés                      2022.          12.31.-ig</t>
  </si>
  <si>
    <t>2023. évi              tény</t>
  </si>
  <si>
    <t>Önkormányzati beruházási kiadások</t>
  </si>
  <si>
    <t>Önkormányzati érdekeket érintő településrendezési eszközök módosítása</t>
  </si>
  <si>
    <t>Településképi Arculati Kézikönyv és Településképi rendelet módosítása</t>
  </si>
  <si>
    <t>Helyi védett épületek bejegyzése</t>
  </si>
  <si>
    <t>Programiroda Kft. törzstőke emelés</t>
  </si>
  <si>
    <t xml:space="preserve">Programiroda Kft. tőketartalékba helyezés </t>
  </si>
  <si>
    <t>Infrastruktúra fejlesztési feladatokhoz kapcsolódó kiadások</t>
  </si>
  <si>
    <t>Állatkerti bekötőút kiviteli terv</t>
  </si>
  <si>
    <t xml:space="preserve">GFT szennyvíz felújítás-pótlás: FI-2022-2273 Veszprém szennyvíztisztító telep, Csigaszivattyúk pótlása </t>
  </si>
  <si>
    <t>GFT szennyvíz felújítás-pótlás: FI-2022-2274 Veszprém szennyvíztisztító telep, Folyamatirányító rendszer rekonstrukciója</t>
  </si>
  <si>
    <t>Csereerdő telepítés - Márkó-Bánd kerékpárút</t>
  </si>
  <si>
    <t>VESZOL - Veszprém, Pápai u. 37. sz. munkásszálló működetési feladatai – eszközpótlások (konyhai eszközök, felszerelések, bútorok, mosógép, szárítógép, párnák, matracok, takarók, monitor, ágyneműk, mikrohullámú sütő)</t>
  </si>
  <si>
    <t>Fixre telepített sebességmérő (traffipax) - Gyulafirátótra</t>
  </si>
  <si>
    <t xml:space="preserve"> - ebből: 1. vk. Veszprém-Gyulafirátót Római Katolikus Templom (Nepomuki Szent János-templom elemi károk elhárításához javasolt összeg)</t>
  </si>
  <si>
    <t xml:space="preserve">            2. vk. 4 db kutyaürülék-gyűjtő edény beszerzése és kihelyezése</t>
  </si>
  <si>
    <t xml:space="preserve">            2. vk. 1 db Urban pad beszerzése és kihelyezése a Haszkovó utca 25. közelében</t>
  </si>
  <si>
    <t xml:space="preserve">           4. vk. 3 db Urban 6 pad beszerzése és telepítése</t>
  </si>
  <si>
    <t xml:space="preserve">           4. vk. 2 db Konstruktív köztéri asztal+padok beszerzése és telepítése</t>
  </si>
  <si>
    <t xml:space="preserve">           4. vk. Szemétgyűjtők kihelyezése 3 db</t>
  </si>
  <si>
    <t xml:space="preserve">           4. vk. 16 db beton virágvályú beszerzése+földdel feltöltés, telepítés</t>
  </si>
  <si>
    <t xml:space="preserve">          6. vk. Játszóeszköz, utcabútor beszerzés és telepítés (3 db Kártyaasztal beszerzése, műfű telepítéssel és műanyag ágyas szegéllyel)</t>
  </si>
  <si>
    <t>Tirat Carmel utca kisajátítás</t>
  </si>
  <si>
    <t>Erdőtelepítés</t>
  </si>
  <si>
    <t>V-Busz Kft. - autóbusz vásárlás beruházási hitel tőketörlesztése</t>
  </si>
  <si>
    <t>Lakossági vízbekötés</t>
  </si>
  <si>
    <t>TOP PLUSZ pályázat előkésztés</t>
  </si>
  <si>
    <t>Korlátok lépcső mellé</t>
  </si>
  <si>
    <t>Közkifolyók létesítése, mérősítése</t>
  </si>
  <si>
    <t>Wartha Vince utcai stadion szabadtéri futókör és focipályát elválasztó háló és kerítés, valamint futballpálya felújítás</t>
  </si>
  <si>
    <t>Jutasi út - Kopácsy József utca kereszteződésében körforgalmi csomópont kiviteli tervdokumentáció elkészítése</t>
  </si>
  <si>
    <t>Vilonyai utcában meglévő párhuzamos parkolók átépítése</t>
  </si>
  <si>
    <t>P+R parkolók megvalósíthatósági tanulmány</t>
  </si>
  <si>
    <t>Gyulafirátót É-i mentesítő záportározó tervezése, engedélyezése</t>
  </si>
  <si>
    <t>Török Ignác utcában lévő parkoló csapadékvíz elvezetésének megoldása (tervezés, engedélyezés, kivitelezés)</t>
  </si>
  <si>
    <t>Diósy Márton utcában parkolók (Klapka) terv korszerűségi felülvizsgálat, engedélyezés, kivitelezés</t>
  </si>
  <si>
    <t>Tüzér utcában járda építés és gyalogátkelőhely kialakítása</t>
  </si>
  <si>
    <t>Veszprém települési és turisztikai kártya</t>
  </si>
  <si>
    <t>Őszi kertészeti feladatok</t>
  </si>
  <si>
    <t>Katolikus Szeretetszolgálat támogatása (Korai Fejlesztőközpont kialakítására a Cholnoky forfa épületben)</t>
  </si>
  <si>
    <t>GFT szennyvíz beruházás: Veszprém szennyvíztisztító telep, szennyvízfogadó állomás kialakítása</t>
  </si>
  <si>
    <t>Ördögárok u. 5. intézményi fakivágások, pótlások</t>
  </si>
  <si>
    <t>Kemecse utcában meglévő gyalogátkelő átalakítása</t>
  </si>
  <si>
    <t>Gyulafirátót településrészen meglévő játszótérhez járda tervezése, engedélyezése</t>
  </si>
  <si>
    <t>Márkó Bánd kerékpárút - kamerák felszerelése</t>
  </si>
  <si>
    <t>Wass Albert szobor elhelyezése közterületen</t>
  </si>
  <si>
    <t>Millenniumi Emlékmű új helyszínen történő felállítása</t>
  </si>
  <si>
    <t xml:space="preserve">Okoszebrák kialakítása </t>
  </si>
  <si>
    <t>Veszprém, Ibolya utcában járda kialakításának tervezés, hatósági ügyintézés</t>
  </si>
  <si>
    <t>Zirci utcai temetőnél gyalogos járdafelület kialakítás tervezés, hatósági jóváhagyás</t>
  </si>
  <si>
    <t>Szabadság tér közmű- és útrekonstrukció</t>
  </si>
  <si>
    <t>Szeglethy portré - Somogyi Győző festőművész olajportréja</t>
  </si>
  <si>
    <t>Rab Mária forráshoz fahíd építése</t>
  </si>
  <si>
    <t>Önkormányzat és a Magyar Állam által kötött integrációs megállapodás alapján víziközmű fejlesztésre fel nem használt forrás</t>
  </si>
  <si>
    <t xml:space="preserve">Ingatlanvásárlás Kádártai úti buszforduló </t>
  </si>
  <si>
    <t>Pálfy Gusztáv két kisplasztikájának megvásárlása (Boldog Gizella királyné, Szent István király)</t>
  </si>
  <si>
    <t>Veszprém 8713/2 hrsz.-ú – természetben a Veszprém Sportuszoda és az Aréna között található – ingatlanból kialakuló 10.958 m² nagyságú „kivett beépítetlen terület” megnevezésű ingatlan elidegenítése</t>
  </si>
  <si>
    <t xml:space="preserve">Szán utca - Méhes  u. csapadékvíz elvezetés (útrek. előtt) I. ütem: Cs-1-0-0 </t>
  </si>
  <si>
    <t xml:space="preserve">Kalmár tér parkoló építések </t>
  </si>
  <si>
    <t>Veszprém, Batthyány Lajos utca parkoló tervezés</t>
  </si>
  <si>
    <t>Keleti Sportterület víz- és környezetrendezési hatástanulmány</t>
  </si>
  <si>
    <t>Nyugati fejlesztési terv víz- és környezetrendezés hatástanulmány</t>
  </si>
  <si>
    <t>Veszprém-Gyulafirátót buszforduló, lépcső, rámpa</t>
  </si>
  <si>
    <t>Veszprém-Gyulafirátót Északi fejlesztési terv úthálózat fejlesztés tervezés</t>
  </si>
  <si>
    <t xml:space="preserve">Buszmegállók kialakításának tervezése </t>
  </si>
  <si>
    <t>Bakony Társasház belső gáz és központifűtés rendszer felújítása, valamint villamos hálózat felújításának tervezési munkái</t>
  </si>
  <si>
    <t>Fejlesztések előkészítő munkái</t>
  </si>
  <si>
    <t>Művészetek Háza Veszprém épületeinek felújítása (tetőhéjalás javítás, homlokzat felújítás, nyílászáró csere)</t>
  </si>
  <si>
    <t>Dubniczay-palota (Vár u. 29.) homlokzat és nyílászáró felújítás</t>
  </si>
  <si>
    <t>VKTT Egyesített Szociális Intézmény 2. sz. Idősek Otthona (Völgyikút u. 2.) lift korszerűsítése (csere)</t>
  </si>
  <si>
    <t xml:space="preserve">Ördögárok utca 4. szám alatti épület lapostető részleges felújítás </t>
  </si>
  <si>
    <t>Sólyi utca parkoló kialakítása</t>
  </si>
  <si>
    <t>Útkataszter I. ütem</t>
  </si>
  <si>
    <t>Támfalkataszter elkészítése</t>
  </si>
  <si>
    <t xml:space="preserve">Térfigyelő rendszer fejlesztése </t>
  </si>
  <si>
    <t xml:space="preserve">Önkormányzati telephelyek okosmérősítése, távfelügyelet </t>
  </si>
  <si>
    <t>Adventi dekoráció beszerzése</t>
  </si>
  <si>
    <t>Energetikai korszerűsítés tervezése</t>
  </si>
  <si>
    <t>Ívókút telepítése</t>
  </si>
  <si>
    <t>V-Busz Kft. - jegykiadó automata beszerzése, Kereszt u. 9. alatti ügyfélszolgálati iroda bútorzata, berendezésének felújítása, különjárati autóbusz beszerzése</t>
  </si>
  <si>
    <t>Köztéri szobrok, emléktáblák, lektorátus - ENN Uibo szobor</t>
  </si>
  <si>
    <t>Kapcsolat' 96 Mentálhigiénés Egyesület támogatása - berendezés megújítása</t>
  </si>
  <si>
    <t>Takácskerti sportpálya fejlesztés és zöldterület rendezés</t>
  </si>
  <si>
    <t>Városrész közlekedési koncepció elkészítése</t>
  </si>
  <si>
    <t>Rendőrségnek gépjármű beszerzés</t>
  </si>
  <si>
    <t>Helikopter emlékmű - telekvásárlás</t>
  </si>
  <si>
    <t>Bérlőkijelölési jog vásárlása (Magyar Máltai Szeretetszolgálattól)</t>
  </si>
  <si>
    <t>DAT térképfrissítés, földkönyv, közműnyilvántartás, GPS - GPS-hez szükséges vezérlőegység és szoftver, szintező műszer</t>
  </si>
  <si>
    <t>Szabadságpusztai kemence</t>
  </si>
  <si>
    <t>Kutyaházak beszerzése (Ebrendészeti feladatok)</t>
  </si>
  <si>
    <t>Magasnyomású ipari gőztisztító (Ebrendészeti feladatok)</t>
  </si>
  <si>
    <t>Veszprém 2030 Műszaki Infrastruktúra Fejlesztő Kft. - törzstőke emelés</t>
  </si>
  <si>
    <t>Veszprém 2030 Műszaki Infrastruktúra Fejlesztő Kft. - tőketartalékba helyezés</t>
  </si>
  <si>
    <t>Szennyvízhálózat rekonstrukció Március 15. u. 5. sz. alatti ingatlanon (Jendrassik-Venesz Techinkum)</t>
  </si>
  <si>
    <t>Oktatási intézmények felhalmozási támogatása</t>
  </si>
  <si>
    <t>Veszprém 4086/87 hrsz.-ú ingatlan egy része tulajdonjogának adásvétel jogcímén történő megvásárlása</t>
  </si>
  <si>
    <t>Mentálhigiénés nappali ellátás kiépítése a Török Ignác utcai idősellátó egységhez kapcsolódóan és a Hóvirág utcai idősellátás korszerűsítése, demens nappali mentálhigiénés ellátás feltételrendszerének kialakításával</t>
  </si>
  <si>
    <t>Új nappali foglalkoztató létesítése fogyatékkal élő felnőttek számára a Kőhíd utcában</t>
  </si>
  <si>
    <t>Veszprém, Uszoda átalakítása Futsal csarnokká - koncepcióterv készítése</t>
  </si>
  <si>
    <t>Városi közbiztonsági keret - a közbiztonság megerősítése érdekében a helyi lakóközösségek részére nyújtott önkormányzati támogatás (kamerarendszerek létesítése vagy korszerűsítése)</t>
  </si>
  <si>
    <t>Deák Ferenc u. 13. számú ingatlan energetikai fejlesztése</t>
  </si>
  <si>
    <t>Egyetemváros területén járda tervezés</t>
  </si>
  <si>
    <t>Szél utca gyalogátkelő tervezés</t>
  </si>
  <si>
    <t>Ady Endre utcában parkoló átalakításának tervezése</t>
  </si>
  <si>
    <t>Veszprém Ibolya utcában járda kialakítása</t>
  </si>
  <si>
    <t>Felnőtt háziorvosi rendelők akadálymentesítése</t>
  </si>
  <si>
    <t>Görgey Artúr utca kutyafuttató közvilágítás bővítése</t>
  </si>
  <si>
    <t>Zirci utcai temetőnél járda és lépcső építése</t>
  </si>
  <si>
    <t>TOP PLUSZ tervezés</t>
  </si>
  <si>
    <t>Mártírok úti parkolóház építése</t>
  </si>
  <si>
    <t>Fenntartható humán fejlesztések (ESZA)</t>
  </si>
  <si>
    <t>Veszprém Aréna-Veszprém Sportuszoda közötti út építése</t>
  </si>
  <si>
    <t>Kék infrastruktúra</t>
  </si>
  <si>
    <t>Belterületi útfejlesztés</t>
  </si>
  <si>
    <t>Általános iskolák rekonstrukciós munkái</t>
  </si>
  <si>
    <t>Agóra Veszprém Kulturális Központ - Agóra tantermek kialakítása</t>
  </si>
  <si>
    <t>Veszprém Vármegyei Mentőszervezet 04 Alapítvány támogatása - székek vásárlása</t>
  </si>
  <si>
    <t>Zirci utca gyalogátkelő tervezés</t>
  </si>
  <si>
    <t>Veszprémi Ringató és Csillag óvodák klímabeszerzése</t>
  </si>
  <si>
    <t>Városháza "A" épület nyílászáró csere</t>
  </si>
  <si>
    <t>2024. évi felújítási kiadások előirányzata</t>
  </si>
  <si>
    <t>Önkormányzati felújítási kiadások</t>
  </si>
  <si>
    <t>Védett sírok felújítása az Alsóvárosi temetőben</t>
  </si>
  <si>
    <t>Szociális bérlakás felújítások</t>
  </si>
  <si>
    <t>Önkormányzati bérlakások felújítása</t>
  </si>
  <si>
    <t>Közterületi játszóeszközök felújítása (78/2003 GKM rendelet)</t>
  </si>
  <si>
    <t>Vízrendezési feladatok, árkok felújítása</t>
  </si>
  <si>
    <t>Köztéri padok felújítása</t>
  </si>
  <si>
    <t>Labdapályák és sporteszközök felújítása</t>
  </si>
  <si>
    <t>Kertészeti felújítások, őszi fásítás tervezése és kivitelezése</t>
  </si>
  <si>
    <t>Kossuth u. locsolórendszer felújítása</t>
  </si>
  <si>
    <t>Fortuna szobor felújítása</t>
  </si>
  <si>
    <t>Boglárka utca véderdő rekultivációja</t>
  </si>
  <si>
    <t>Stadion Sportcsarnok - beázás elhárításának költségei</t>
  </si>
  <si>
    <t>Vásárcsarnok lift felújítás</t>
  </si>
  <si>
    <t>Köztéri műalkotások rekonstrukciója</t>
  </si>
  <si>
    <t>Földutak és nagyfelületű útfelújítások</t>
  </si>
  <si>
    <t>A Veszprém 2364/42 hrsz.-alatti Jutasi úti sporttelep (Teniszcentrum) villamos hálózatának a felújítása</t>
  </si>
  <si>
    <t>Veszprémi Csillag Úti Körzeti Óvoda</t>
  </si>
  <si>
    <t>Cholnoky Jenő Tagóvoda</t>
  </si>
  <si>
    <t>2 csoport gyermekmosdó-öltöző felújítása</t>
  </si>
  <si>
    <t>Elkorhadt nyílászárók cseréje</t>
  </si>
  <si>
    <t>Főzőkonyha melegvíz ellátása átalakítása, villamos hálózat szabványosítása</t>
  </si>
  <si>
    <t>Veszprémi Bölcsődei és Eü.Alapell. Integrált Int.</t>
  </si>
  <si>
    <t>Cserhát ltp. 1. Dr. Magyar Benigna</t>
  </si>
  <si>
    <t>Nyílászáró csere 2 helyiségben</t>
  </si>
  <si>
    <t>Veszprém Március 15. utca 4/C szám alatt található fogorvosi rendelő felújítása</t>
  </si>
  <si>
    <t>Nyílászáró csere folyosón</t>
  </si>
  <si>
    <t>1. pavilon fürdőszoba - átadó - csoportszobák felújítás</t>
  </si>
  <si>
    <t>Udvar rendezés, parkosítás</t>
  </si>
  <si>
    <t>1 db pavilonban átadó-vizesblokk egység felújítása</t>
  </si>
  <si>
    <t>Veszprémi Családseg. és Gyermekjóléti Integrált Int.</t>
  </si>
  <si>
    <t>Pápai út 37. női fürdőszoba komplett felújítása</t>
  </si>
  <si>
    <t>Pápai út 37. Nyílászáró csere</t>
  </si>
  <si>
    <t xml:space="preserve">Pápai út 37. lakószobák padlóburkolat cseréje </t>
  </si>
  <si>
    <t>Mikszáth Kálmán u. 13. épület külső főfalainak víztelenítése</t>
  </si>
  <si>
    <t>Tűzjelző rendszer felújítása</t>
  </si>
  <si>
    <t>Kádártai Faluház</t>
  </si>
  <si>
    <t>Fal- és tetőbeázás megszüntetése (utcafront felöli fal, AM mosdó)</t>
  </si>
  <si>
    <t>Gyulafirátóti Művelődési Ház</t>
  </si>
  <si>
    <t>Kazán csere</t>
  </si>
  <si>
    <t>Gyulafirátóti Művelődési Ház felújítása</t>
  </si>
  <si>
    <t>Fűtési rendszer felújítása</t>
  </si>
  <si>
    <t>Dózsa Könyvtár melléképület felújítása</t>
  </si>
  <si>
    <t>Dubniczay-palota (Vár u. 29.)</t>
  </si>
  <si>
    <t>Fűtésrendszer korszerűsítése</t>
  </si>
  <si>
    <t>Modern képtár külső homlokzati festés</t>
  </si>
  <si>
    <t>Felsőörsi raktárbázis tetőjavítás</t>
  </si>
  <si>
    <t>Felsőörsi raktárbázis nyílászáró csere</t>
  </si>
  <si>
    <t>VKTT Egyesített Szociális Intézmény</t>
  </si>
  <si>
    <t>1. sz. Idősek Otthona (Török I. u. 10.)</t>
  </si>
  <si>
    <t>A főzőkonyha folyosó, lépcsőház repedéseinek statikai felülvizsgálata, javítás</t>
  </si>
  <si>
    <t>A főzőkonyha folyosó, lépcsőház repedések kiváltó ok megszüntetése, kivitelezés II. ütem</t>
  </si>
  <si>
    <t>Betegszobákban lévő fürdőszoba zuhanyzó akadálymentesítése</t>
  </si>
  <si>
    <t>1.vk. Kádárta séd, sérült mederszegély (Orvosi rendelő előtt)</t>
  </si>
  <si>
    <t>Konténer felújítása (Ebrendészeti feladatok)</t>
  </si>
  <si>
    <t>Kerítés felújítása (Ebrendészeti feladatok)</t>
  </si>
  <si>
    <t>Önkormányzati ingatlan energetikai célú felújítása</t>
  </si>
  <si>
    <t>Gyulafirátót Posta u. 15. külső nyílászáró csere</t>
  </si>
  <si>
    <t>Polgármesteri Hivatal - C épület felújítása</t>
  </si>
  <si>
    <t>Q</t>
  </si>
  <si>
    <t>R</t>
  </si>
  <si>
    <t>S</t>
  </si>
  <si>
    <t>T</t>
  </si>
  <si>
    <t>Hitel megnevezése</t>
  </si>
  <si>
    <t>Hitelt nyújtó pénzintézet</t>
  </si>
  <si>
    <t>Hitel- szerződés dátuma</t>
  </si>
  <si>
    <t>Lejárat idő- pontja</t>
  </si>
  <si>
    <t>Hitelkeret</t>
  </si>
  <si>
    <t>Tőke-törlesztés 2024</t>
  </si>
  <si>
    <t>Hitel-állomány  2024.12.31</t>
  </si>
  <si>
    <t>Hitelszerződés - MFB ÖIP 2013.</t>
  </si>
  <si>
    <t>2.</t>
  </si>
  <si>
    <t>Hitelszerződés - MFB ÖIP 2014</t>
  </si>
  <si>
    <t>UniCredit Bank</t>
  </si>
  <si>
    <t>3.</t>
  </si>
  <si>
    <t>Kölcsönszerződés - Célhitel 2019</t>
  </si>
  <si>
    <t>OTP Bank</t>
  </si>
  <si>
    <t>Fejlesztési hitel - 2021</t>
  </si>
  <si>
    <t>I.</t>
  </si>
  <si>
    <t>Pénzintézetekkel szemben fenálló kötelezettségek összesen</t>
  </si>
  <si>
    <t xml:space="preserve"> Európai Uniós forrásból finanszírozott támogatással megvalósuló programok, projektek bevételeiről és kiadásairól az Ávr. 24. § (1) bekezdés a) pontjának és b) pont bd) alpontjának megfelelően</t>
  </si>
  <si>
    <t xml:space="preserve">A  </t>
  </si>
  <si>
    <t>U</t>
  </si>
  <si>
    <t>V</t>
  </si>
  <si>
    <t>W</t>
  </si>
  <si>
    <t>Z</t>
  </si>
  <si>
    <t>Program megnevezés</t>
  </si>
  <si>
    <t>Program megvalósításának ideje</t>
  </si>
  <si>
    <t>Projekt forrás összetétel</t>
  </si>
  <si>
    <t>Projekt költség megbontás</t>
  </si>
  <si>
    <t>Projekt teljes költség</t>
  </si>
  <si>
    <t>Saját erő</t>
  </si>
  <si>
    <t>Projekthez kapcsolódó működési bevétel (ÁFA)</t>
  </si>
  <si>
    <t>EU támogatás</t>
  </si>
  <si>
    <t>EU támogatás összesen</t>
  </si>
  <si>
    <t>2018. évi tény</t>
  </si>
  <si>
    <t>2019. évi tény</t>
  </si>
  <si>
    <t>2020. évi tény</t>
  </si>
  <si>
    <t>2021. évi tény</t>
  </si>
  <si>
    <t>2025-től</t>
  </si>
  <si>
    <t>2022-2029</t>
  </si>
  <si>
    <t>2017-2022</t>
  </si>
  <si>
    <t>2018-2020</t>
  </si>
  <si>
    <t>TOP-6.4.1-16-VP1-2019-00003 Kerékpárút és kerékpárforgalmi létesítmények építése Veszprém - Gyulafirátót szakaszon</t>
  </si>
  <si>
    <t>2019-2022</t>
  </si>
  <si>
    <t>GINOP - 7.1.9-17-2018-00023 Veszprém kulturális turisztikai kínálatának fejlesztése***</t>
  </si>
  <si>
    <t>2018-2022</t>
  </si>
  <si>
    <t>601835-CITIZ-1-2018-1-HU-CITIZ-NT Reveal YouropEaN Cultural Heritage/Tárd fel  európai kulturális örökségedet (ENriCH)</t>
  </si>
  <si>
    <t>2021-2022</t>
  </si>
  <si>
    <t>2020-2022</t>
  </si>
  <si>
    <t>2023-2025</t>
  </si>
  <si>
    <t>2024-2026</t>
  </si>
  <si>
    <t>2024-2028</t>
  </si>
  <si>
    <t>*** A projekt a támogatási szerződés szerint részben nettó módon finanszírozott.</t>
  </si>
  <si>
    <t>Teljesítés</t>
  </si>
  <si>
    <t xml:space="preserve">teljesítés </t>
  </si>
  <si>
    <t>teljesítés</t>
  </si>
  <si>
    <t xml:space="preserve">teljesítés  </t>
  </si>
  <si>
    <t>2024. évi teljesítés</t>
  </si>
  <si>
    <t>2024. évi támogatás teljesítés</t>
  </si>
  <si>
    <t>2024. évi kiadás teljesítés</t>
  </si>
  <si>
    <t>X</t>
  </si>
  <si>
    <t>Y</t>
  </si>
  <si>
    <t>Intézmény neve</t>
  </si>
  <si>
    <t>Alaptevékenység költségvetési egyenlege</t>
  </si>
  <si>
    <t>Alaptevékenység finanszírozási egyenlege</t>
  </si>
  <si>
    <t>Alaptevékenység maradványa</t>
  </si>
  <si>
    <t>Alaptevékenység kötelezettség-vállalással terhelt maradványa</t>
  </si>
  <si>
    <t>ebből: a tárgyévi évi központi költségvetésből kapott támogatás elszámolásából eredő kötelezettség</t>
  </si>
  <si>
    <t>Alaptevékenység szabad maradványa</t>
  </si>
  <si>
    <t>Összesen:</t>
  </si>
  <si>
    <t>az Önkormányzat 2024. évi költségvetési maradványáról</t>
  </si>
  <si>
    <t>Előző év</t>
  </si>
  <si>
    <t>Előző évi korrekció (+/-)</t>
  </si>
  <si>
    <t>Tárgyév</t>
  </si>
  <si>
    <t>ESZKÖZÖK</t>
  </si>
  <si>
    <t>A/I/1        Vagyoni értékű jogok</t>
  </si>
  <si>
    <t>A/I/2        Szellemi termékek</t>
  </si>
  <si>
    <t>A/I/3        Immateriális javak értékhelyesbítése</t>
  </si>
  <si>
    <t>A/I        Immateriális javak (=A/I/1+A/I/2+A/I/3)</t>
  </si>
  <si>
    <t>A/II/1        Ingatlanok és a kapcsolódó vagyoni értékű jogok</t>
  </si>
  <si>
    <t>A/II/2        Gépek, berendezések, felszerelések, járművek</t>
  </si>
  <si>
    <t>A/II/3        Tenyészállatok</t>
  </si>
  <si>
    <t>A/II/4        Beruházások, felújítások</t>
  </si>
  <si>
    <t>A/II/5        Tárgyi eszközök értékhelyesbítése</t>
  </si>
  <si>
    <t>A/II        Tárgyi eszközök (=A/II/1+...+A/II/5)</t>
  </si>
  <si>
    <t>A/III/1        Tartós részesedések</t>
  </si>
  <si>
    <t>A/III/2        Tartós hitelviszonyt megtestesítő értékpapírok</t>
  </si>
  <si>
    <t>A/III/3        Befektetett pénzügyi eszközök értékhelyesbítése</t>
  </si>
  <si>
    <t>A/III        Befektetett pénzügyi eszközök (=A/III/1+A/III/2+A/III/3)</t>
  </si>
  <si>
    <t>A/IV/1        Koncesszióba, vagyonkezelésbe adott eszközök</t>
  </si>
  <si>
    <t>A/IV/2        Koncesszióba, vagyonkezelésbe adott eszközök értékhelyesbítése</t>
  </si>
  <si>
    <t>A/IV        Koncesszióba, vagyonkezelésbe adott eszközök (=A/IV/1+A/IV/2)</t>
  </si>
  <si>
    <t>A)        NEMZETI VAGYONBA TARTOZÓ BEFEKTETETT ESZKÖZÖK (=A/I+A/II+A/III+A/IV)</t>
  </si>
  <si>
    <t>B/I/1        Vásárolt készletek</t>
  </si>
  <si>
    <t>B/I/2        Átsorolt, követelés fejében átvett készletek</t>
  </si>
  <si>
    <t>B/I/3        Egyéb készletek</t>
  </si>
  <si>
    <t>B/I/4        Befejezetlen termelés, félkész termékek, késztermékek</t>
  </si>
  <si>
    <t>B/I/5        Növendék-, hízó és egyéb állatok</t>
  </si>
  <si>
    <t>B/I        Készletek (=B/I/1+…+B/I/5)</t>
  </si>
  <si>
    <t>B/II/1        Nem tartós részesedések</t>
  </si>
  <si>
    <t>B/II/2        Forgatási célú hitelviszonyt megtestesítő értékpapírok</t>
  </si>
  <si>
    <t>B/II        Értékpapírok (=B/II/1+B/II/2)</t>
  </si>
  <si>
    <t xml:space="preserve">B)        NEMZETI VAGYONBA TARTOZÓ FORGÓESZKÖZÖK     (= B/I+B/II) </t>
  </si>
  <si>
    <t>C/I          Lekötött bankbetétek</t>
  </si>
  <si>
    <t>C/II        Pénztárak, csekkek, betétkönyvek</t>
  </si>
  <si>
    <t>C/III       Forintszámlák</t>
  </si>
  <si>
    <t>C/IV       Devizaszámlák</t>
  </si>
  <si>
    <t>C)        PÉNZESZKÖZÖK (=C/I+C/II+C/III+C/IV)</t>
  </si>
  <si>
    <t>D/I/1              Költségvetési évben esedékes követelések működési célú támogatások bevételeire Áht.-on belülről</t>
  </si>
  <si>
    <t>D/I/2              Költségvetési évben esedékes követelések felhalm.i célú támogatások bevételeire Áht.-on belülről</t>
  </si>
  <si>
    <t>D/I/3        Költségvetési évben esedékes követelések közhatalmi bevételre</t>
  </si>
  <si>
    <t>D/I/4        Költségvetési évben esedékes követelések működési bevételre</t>
  </si>
  <si>
    <t>D/I/5        Költségvetési évben esedékes követelések felhalmozási bevételre</t>
  </si>
  <si>
    <t>D/I/6        Költségvetési évben esedékes követelések működési célú átvett pénzeszközre</t>
  </si>
  <si>
    <t>D/I/7        Költségvetési évben esedékes követelések felhalmozási célú átvett pénzeszközre</t>
  </si>
  <si>
    <t>D/I/7c                        - ebből: költségvetési évben esedékes követelések felhalm. célú visszatérítendő tám.ok, kölcsönök visszatérülésére Áht.-on kívülről</t>
  </si>
  <si>
    <t>D/I/8        Költségvetési évben esedékes követelések finanszírozási bevételekre</t>
  </si>
  <si>
    <t>D/I        Költségvetési évben esedékes követelések (=D/I/1+…+D/I/8)</t>
  </si>
  <si>
    <t>D/II/1                Költségvetési évet követően esedékes követelések működési célú támogatások bevételeire Áht.-on belülről</t>
  </si>
  <si>
    <t>D/II/2                Költségvetési évet követően esedékes követelések felhalm.i célú támogatások bevételeire Áht.-on belülről</t>
  </si>
  <si>
    <t>D/II/3        Költségvetési évet követően esedékes követelések közhatalmi bevételre</t>
  </si>
  <si>
    <t>D/II/4        Költségvetési évet követően esedékes követelések működési bevételre</t>
  </si>
  <si>
    <t>D/II/5        Költségvetési évet követően esedékes követelések felhalmozási bevételre</t>
  </si>
  <si>
    <t>D/II/6             Költségvetési évet követően esedékes követelések működési célú átvett pénzeszközre</t>
  </si>
  <si>
    <t>D/II/7             Költségvetési évet követően esedékes követelések felhalmozási célú átvett pénzeszközre</t>
  </si>
  <si>
    <t>D/II/7c                          - ebből: költségvetési évet követően esedékes követelések felhalm.i célú visszatérítendő tám., kölcsönök visszatérülésére Áht.-on kívülről</t>
  </si>
  <si>
    <t>D/II/8        Költségvetési évet követően esedékes követelések finanszírozási bevételekre</t>
  </si>
  <si>
    <t>D/II        Költségvetési évet követően esedékes követelések (=D/II/1+…+D/II/8)</t>
  </si>
  <si>
    <t>D/III/1        Adott előlegek (=D/III/1a+…+D/III/1f)</t>
  </si>
  <si>
    <t>D/III/1a          - ebből: immateriális javakra adott előlegek</t>
  </si>
  <si>
    <t>D/III/1b          - ebből: beruházásokra, felújításokra adott előlegek</t>
  </si>
  <si>
    <t>D/III/1c          - ebből: készletekre adott előlegek</t>
  </si>
  <si>
    <t>D/III/1d          - ebből: igénybe vett szolgáltatásokra adott előlegek</t>
  </si>
  <si>
    <t>D/III/1e          - ebből: foglalkoztatottaknak adott előlegek</t>
  </si>
  <si>
    <t>D/III/1f          - ebből: túlfizetések, téves és visszajáró kifizetések</t>
  </si>
  <si>
    <t>D/III/2        Továbbadási célból folyósított támogatások, ellátások elszámolása</t>
  </si>
  <si>
    <t>D/III/3        Más által beszedett bevételek elszámolása</t>
  </si>
  <si>
    <t>D/III/4        Forgótőke elszámolása</t>
  </si>
  <si>
    <t>D/III/5             Vagyonkezelésbe adott eszközökkel kapcsolatos visszapótlási követelés elszámolása</t>
  </si>
  <si>
    <t>D/III/6               Nem a társadalombiztosítás pénzügyi alapjait terhelő kifizetett ellátások megtérítésének elszámolása</t>
  </si>
  <si>
    <t>D/III/7               Folyósított, megelőlegezett társadalombiztosítási és családtámogatási ellátások elszámolása</t>
  </si>
  <si>
    <t>D/III/8       Részesedésszerzés esetén átadott eszközök</t>
  </si>
  <si>
    <t>D/III/9       Letétre, megőrzésre, fedezetkezelésre átadott pénzeszközök, biztosítékok</t>
  </si>
  <si>
    <t>D/III        Követelés jellegű sajátos elszámolások (=D/III/1+…+D/III/9)</t>
  </si>
  <si>
    <t>D)        KÖVETELÉSEK (=D/I+D/II+D/III)</t>
  </si>
  <si>
    <t>E/I              Előzetesen felszámított általános forgalmi adó elszámolása</t>
  </si>
  <si>
    <t>E/II             Fizetendő általános forgalmi adó elszámolása</t>
  </si>
  <si>
    <t>E/III            Egyéb sajátos eszközoldali elszámolások</t>
  </si>
  <si>
    <t>E)        EGYÉB SAJÁTOS ELSZÁMOLÁSOK (=E/I+E/II+E/III)</t>
  </si>
  <si>
    <t>F/1        Eredményszemléletű bevételek aktív időbeli elhatárolása</t>
  </si>
  <si>
    <t>F/2        Költségek, ráfordítások aktív időbeli elhatárolása</t>
  </si>
  <si>
    <t>F/3        Halasztott ráfordítások</t>
  </si>
  <si>
    <t>F)        AKTÍV IDŐBELI ELHATÁROLÁSOK (=F/1+F/2+F/3)</t>
  </si>
  <si>
    <t>ESZKÖZÖK ÖSSZESEN (=A+B+C+D+E+F)</t>
  </si>
  <si>
    <t>FORRÁSOK</t>
  </si>
  <si>
    <t>G/I          Nemzeti vagyon induláskori értéke</t>
  </si>
  <si>
    <t>G/II         Nemzeti vagyon változásai</t>
  </si>
  <si>
    <t>G/III       Egyéb eszközök induláskori értéke és változásai</t>
  </si>
  <si>
    <t>G/IV       Felhalmozott eredmény</t>
  </si>
  <si>
    <t>G/V        Eszközök értékhelyesbítésének forrása</t>
  </si>
  <si>
    <t>G/VI       Mérleg szerinti eredmény</t>
  </si>
  <si>
    <t>G)        SAJÁT TŐKE (=G/I+…+G/VI)</t>
  </si>
  <si>
    <t>H/I/1        Költségvetési évben esedékes kötelezettségek személyi juttatásokra</t>
  </si>
  <si>
    <t>H/I/2        Költségvetési évben esedékes kötelezettségek munkaad.terh.jár és szoc.hj.adóra</t>
  </si>
  <si>
    <t>H/I/3        Költségvetési évben esedékes kötelezettségek dologi kiadásokra</t>
  </si>
  <si>
    <t>H/I/4        Költségvetési évben esedékes kötelezettségek ellátottak pénzbeli juttatásaira</t>
  </si>
  <si>
    <t>H/I/5        Költségvetési évben esedékes kötelezettségek egyéb működési célú kiadásokra</t>
  </si>
  <si>
    <t>H/I/6        Költségvetési évben esedékes kötelezettségek beruházásokra</t>
  </si>
  <si>
    <t>H/I/7        Költségvetési évben esedékes kötelezettségek felújításokra</t>
  </si>
  <si>
    <t>H/I/8         Költségvetési évben esedékes kötelezettségek egyéb felhalmozási célú kiadásokra</t>
  </si>
  <si>
    <t>H/I/9        Költségvetési évben esedékes kötelezettségek finanszírozási kiadásokra</t>
  </si>
  <si>
    <t>H/I/9a          - ebből: költségvetési évben esedékes kötelezettségek hosszú lejár. hitelek, kölcs.törl.re</t>
  </si>
  <si>
    <t>H/I        Költségvetési évben esedékes kötelezettségek (=H/I/1+…H/I/9)</t>
  </si>
  <si>
    <t>H/II/1       Költségvetési évet követően esedékes kötelezettségek személyi juttatásokra</t>
  </si>
  <si>
    <t>H/II/2            Költségvetési évet követően esedékes kötelezett. munkaad.terh.jár. és szoc.hj. adóra</t>
  </si>
  <si>
    <t>H/II/3       Költségvetési évet követően esedékes kötelezettségek dologi kiadásokra</t>
  </si>
  <si>
    <t>H/II/4        Költségvetési évet követően esedékes kötelezettségek ellátottak pénzbeli juttatásaira</t>
  </si>
  <si>
    <t xml:space="preserve">H/II/5            Költségvetési évet követően esedékes kötelezettségek egyéb működési célú kiadásokra </t>
  </si>
  <si>
    <t>H/II/6       Költségvetési évet követően esedékes kötelezettségek beruházásokra</t>
  </si>
  <si>
    <t>H/II/7       Költségvetési évet követően esedékes kötelezettségek felújításokra</t>
  </si>
  <si>
    <t>H/II/8            Költségvetési évet követően esedékes kötelezettségek egyéb felhalmozási célú kiadásokra</t>
  </si>
  <si>
    <t>H/II/9       Költségvetési évet követően esedékes kötelezettségek finanszírozási kiadásokra</t>
  </si>
  <si>
    <t>H/II/9a        - ebből: költségvetési évet követően esedékes köt. hosszú lejár. hitelek, kölcs.tör.re</t>
  </si>
  <si>
    <t>H/II        Költségvetési évet követően esedékes kötelezettségek (=H/II/1+…H/II/9)</t>
  </si>
  <si>
    <t>H/III/1        Kapott előlegek</t>
  </si>
  <si>
    <t>H/III/2        Továbbadási célból folyósított támogatások, ellátások elszámolása</t>
  </si>
  <si>
    <t>H/III/3        Más szervezetet megillető bevételek elszámolása</t>
  </si>
  <si>
    <t>H/III/4        Forgótőke elszámolása (Kincstár)</t>
  </si>
  <si>
    <t>H/III/5        Nemzeti vagy.ba tart.befektet. eszk.kel kapcs. egyes köt.jellegű sajátos elszám.</t>
  </si>
  <si>
    <t>H/III/6        Nem társadalombizt.pénzügyi alapjait terh.kifizetett ellátások megtér.nek elszámolása</t>
  </si>
  <si>
    <t xml:space="preserve">H/III/7*        </t>
  </si>
  <si>
    <t>H/III/8        Letétre, megőrzésre, fedezetkezelésre átvett pénzeszközök, biztosítékok</t>
  </si>
  <si>
    <t>H/III/9        Nemzetközi támogatási programok pénzeszközei</t>
  </si>
  <si>
    <t>H/III/10      Államadósság Kezelő Központ Zrt.-nél elhelyezett fedezeti betétek</t>
  </si>
  <si>
    <t>H/III        Kötelezettség jellegű sajátos elszámolások (=H/III/1+…+H/III/10)</t>
  </si>
  <si>
    <t>H)        KÖTELEZETTSÉGEK (=H/I+H/II+H/III)</t>
  </si>
  <si>
    <t>I)        KINCSTÁRI SZÁMLAVEZETÉSSEL KAPCSOLATOS ELSZÁMOLÁSOK</t>
  </si>
  <si>
    <t>J/1        Eredményszemléletű bevételek passzív időbeli elhatárolása</t>
  </si>
  <si>
    <t>J/2        Költségek, ráfordítások passzív időbeli elhatárolása</t>
  </si>
  <si>
    <t>J/3        Halasztott eredményszemléletű bevételek</t>
  </si>
  <si>
    <t>J)        PASSZÍV IDŐBELI ELHATÁROLÁSOK (=J/1+J/2+J/3)</t>
  </si>
  <si>
    <t xml:space="preserve">FORRÁSOK ÖSSZESEN (=G+H+I+J+K) </t>
  </si>
  <si>
    <t>*Hatályon kívül helyezve: 380/2017. (XII.11.) Kormányrendelet alapján</t>
  </si>
  <si>
    <t>16. melléklet a .../2025. (IV. 24.) önkormányzati rendelethez</t>
  </si>
  <si>
    <t>2024. évi összesített mérlege</t>
  </si>
  <si>
    <t>hiteltörlesztésének, hitelállományának és egyéb kötelezettségeinek alakulásáról</t>
  </si>
  <si>
    <t>Hitel-állomány 2023.12.31</t>
  </si>
  <si>
    <t>Hitel- felvétel  2024</t>
  </si>
  <si>
    <t>Tőke-törlesztés 2025</t>
  </si>
  <si>
    <t>Tőke-törlesztés 2026</t>
  </si>
  <si>
    <t>Tőke-törlesztés 2027</t>
  </si>
  <si>
    <t>Tőke-törlesztés 2028</t>
  </si>
  <si>
    <t>Tőke-törlesztés 2029</t>
  </si>
  <si>
    <t>Tőke-törlesztés 2030</t>
  </si>
  <si>
    <t>Tőke-törlesztés 2031</t>
  </si>
  <si>
    <t>Tőke-törlesztés 2032</t>
  </si>
  <si>
    <t>Tőke-törlesztés 2033</t>
  </si>
  <si>
    <t>Tőke-törlesztés 2034</t>
  </si>
  <si>
    <t xml:space="preserve">MBH </t>
  </si>
  <si>
    <t>1. melléklet az .../2025. (V.29.) önkormányzati rendelethez</t>
  </si>
  <si>
    <t>2. melléklet az .../2025. (V.29.) önkormányzati rendelethez</t>
  </si>
  <si>
    <t>3. melléklet az .../2025. (V.29.) önkormányzati rendelethez</t>
  </si>
  <si>
    <t>4. melléklet az .../2025. (V.29.) önkormányzati rendelethez</t>
  </si>
  <si>
    <t>5. melléklet az .../2025. (V.29.) önkormányzati rendelethez</t>
  </si>
  <si>
    <t>6. melléklet az .../2025. (V.29.) önkormányzati rendelethez</t>
  </si>
  <si>
    <t>7. melléklet az .../2025. (V.29.) önkormányzati rendelethez</t>
  </si>
  <si>
    <t>8. melléklet az .../2025. (V.29.) önkormányzati rendelethez</t>
  </si>
  <si>
    <t>9. melléklet az .../2025. (V.29.) önkormányzati rendelethez</t>
  </si>
  <si>
    <t>10. melléklet az .../2025. (V.29.) önkormányzati rendelethez</t>
  </si>
  <si>
    <t>11. melléklet az .../2025. (V.29.) önkormányzati rendelethez</t>
  </si>
  <si>
    <t>12. melléklet az .../2025. (V.29.) önkormányzati rendelethez</t>
  </si>
  <si>
    <t>13. melléklet az .../2025. (V.29.) önkormányzati rendelethez</t>
  </si>
  <si>
    <t>1.</t>
  </si>
  <si>
    <t>4.</t>
  </si>
  <si>
    <t>.5</t>
  </si>
  <si>
    <t>14. melléklet az .../2025. (V.29.) önkormányzati rendelethez</t>
  </si>
  <si>
    <t>15. melléklet a .../2025. (V.29.) önkormányzati rendelethez</t>
  </si>
  <si>
    <t>Felhalmozási célú támogatás Áht-on belülről</t>
  </si>
  <si>
    <t>VMJV Polgármesteri Hivatala által ellátott kötelező és önként vállalt feladatok</t>
  </si>
  <si>
    <t>VMJV Polgármesteri Hivatala összesen:</t>
  </si>
  <si>
    <t>VMJV Polgármesteri Hivatala által ellátott kötelező és államigazgatási feladatok összesen</t>
  </si>
  <si>
    <t>Kisértékű tárgyi eszközök beszerzése (szőnyeg, gyerekasztal, gyerekszék, gyerekfektető és tartó, bútor csoportszobákba, fűnyíró, ütvefúró, fejlesztő játékok, lombfújó, szegélynyíró, tornatermi felszerelések, ütéscsillapító burkolat, informatikai eszközök, íróasztal, irodai székek, laptop, projektor, karnis, szúnyogháló, tálcakocsi, TV, gurulós TV tartó állvány, függöny, rozsdamentes szekrény, függőmappa tároló szekrény, mikrohullámú sütő, salgó polc, vákuumozó, akkumulátoros ceruzahegyező, mobiltelefon, mikroport, JBL Partybox hangfal, címkenyomtató, tepsitartó állvány, áruszállító kocsi)</t>
  </si>
  <si>
    <t>2. vk. támogatása - Veszprémi Bóbita Körzeti Óvoda - gyermek homokozók árnyékolásának megvalósítása, bejáratok fölé előtetők szerelése</t>
  </si>
  <si>
    <t>Kisértékű tárgyi eszközök beszerzése (gyerekasztal, gyerekszék, bútor csoportszobába, szőnyeg, karnis, szalagfüggöny, fejlesztő játékok, informatikai eszközök, irodai székek, tornaszobai felszerelések, lombfújó, szőnyeg, textilroló, íróasztal, saválló asztal, festményszárító állvány, szegélynyíró, rozsdamentes munkaasztal, vákuumozó, személymérleg, konyhai mérleg, akkumulátoros ceruzahegyező, konyhai mérleg, partybox hangfal, mikrofon, címkenyomtató, áruszállító kocsi)</t>
  </si>
  <si>
    <t>10. vk. Hársfa Tagóvoda támogatása - focipálya felújítás (műfüvezés)</t>
  </si>
  <si>
    <t>Focipálya műfüvezés</t>
  </si>
  <si>
    <t>Kisértékű tárgyi eszközök beszerzése (Krumplikoptató, tornatermi eszközök, laminálógép, botmixer, szeletelőgép, irodabútorok, iratmegsemmisítő, tornatermi eszközök, játékok, konyhai eszközök, kávéfőző)</t>
  </si>
  <si>
    <t>Kisértékű tárgyi eszközök beszerzése (konyhai és szakmai eszközök, porszívó, bútor, szárítógép, mosógép)</t>
  </si>
  <si>
    <t>8. vk. Hóvirág Bölcsőde számára száraz-nedves porszívó és porzsákok beszerzésére</t>
  </si>
  <si>
    <t>3 db udvari fajáték (kisvonat)</t>
  </si>
  <si>
    <t>Kisértékű tárgyi eszközök beszerzése (irodabútorok)</t>
  </si>
  <si>
    <t>Kisértékű tárgyi eszköz vásárlás Mikszáth Kálmán u. 13. - CSÁO (digitális lázmérő, légzésfigyelő, elektromos sterilizáló (cumisüveg), fertőtlenítő állomás, bébiőr,  hűtő/fagyasztó, bojler,  bútor, szőnyeg, függöny, mobiltelefon, mikró, kávéfőző, vízmelegítő, ventilátor/hősugárzó, külső winchester, router, iratmegsemmisítő, porszívó, mérleg, szárítógép)</t>
  </si>
  <si>
    <t>Kisértékű tárgyi eszköz vásárlás Rózsa u. 48. - CSÁO (digitális lázmérő, légzésfigyelő, elektromos sterilizáló (cumisüveg), fertőtlenítő állomás, bébiőr,  hűtő/fagyasztó, bojler,  bútor, szőnyeg, függöny, mobiltelefon, mikró, kávéfőző, vízmelegítő, ventilátor/hősugárzó, külső winchester, router, iratmegsemmisítő, porszívó, mérleg, szárítógép)</t>
  </si>
  <si>
    <t>1. vk. Kádártai Faluház támogatása - ping-pong asztal és csocsó asztal beszerzése</t>
  </si>
  <si>
    <t>Vármegyei Könyvtár kistelepülési könyvtári és közművelődési célú kiegészítő állami támogatás (informatikai, tárgyi eszközök, könyvtári dokumentumok)</t>
  </si>
  <si>
    <t>Tárgyi eszköz beszerzés (irodai forgószék, könyvtárosi munkaállomás, porszívó, vonalkód leolvasó, lamináló, vaku, hangfal, polc, fogas, létra, kerékpártároló, polc, lapvágó, diavetítő, hangfal, állvány, térképszekrény)</t>
  </si>
  <si>
    <t>Kazáncsere a Török Ignác u. 7. sz. alatti igazgatási épületben</t>
  </si>
  <si>
    <t>Vízbekötés tervezéssel, engedélyeztetéssel és kivitelezéssel felsőörsi raktárbázison</t>
  </si>
  <si>
    <t>Színháztechnikai berendezések (pályázathoz kapcsolódó 110 eFt)</t>
  </si>
  <si>
    <t>Tárgyi eszköz beszerzés (szerszámvásárlás, számítástechnikai eszközök beszerzése: merevlemez, dokkoló, képstabilizátor, Microsoft Office, Apple táblagép+pencil+tok, kulcstartó szekrény, lámpa, pendrive, hűtőszekrény, navigáció, bojler, notebook akkumulátor, futószőnyeg, sarokcsiszoló, árnyékoló, irodai szék)</t>
  </si>
  <si>
    <t>Hangtechnikai eszközök (Sennheiser SK 500 Mikroport zsebadó 10 db, DPA 4061 Microport kapszula 8 db, URSA strap Mikroport öv 19 db)</t>
  </si>
  <si>
    <t>VMJV  Polgármesteri Hivatala beruházási kiadásai összesen:</t>
  </si>
  <si>
    <t>Munk. a. terh. jár. és szoc.hj.adó</t>
  </si>
  <si>
    <t>Nemzeti ünnepek kiadásai</t>
  </si>
  <si>
    <t xml:space="preserve">          - Nemzeti ünnep - Október 23.</t>
  </si>
  <si>
    <t>Veszprémi Kistérség Többcélú Társulásának pénzeszköz átadás (Egyesített Szoc. Int.)</t>
  </si>
  <si>
    <t>VKSZ Zrt. jutaléka</t>
  </si>
  <si>
    <t>Veszprém-Balaton 2023 Zrt. törzstőke emelés</t>
  </si>
  <si>
    <t>Veszprém-Balaton 2023 Zrt. tőketartalékba helyezés</t>
  </si>
  <si>
    <t>Ingatlanrendezési ügyek (kisajátítások, más célú haszn., humuszvédelmi terv, erdővédelmi járulék)</t>
  </si>
  <si>
    <t>Veszprém 0393/1 hrsz.-ú ingatlanon tervezett Állatvédelmi Kompetenciaközpont megépítése érdekében szükséges, szabályozási tervben foglalt út funkciójú ingatlan kisajátítás</t>
  </si>
  <si>
    <t>GFT szennyvíz felújítás-pótlás: FI- 2014-379 Veszprém, Ördögárok utca, szennyvízcsatorna rekonstrukciója (396 fm NA300)</t>
  </si>
  <si>
    <t xml:space="preserve">        11. vk. Harmat utca-Dózsa György utca sarkán lévő 2D-3D alkotás körüli zöldterület rendezése (föld elterítése, füvesítés, fizikai korlátok)</t>
  </si>
  <si>
    <t xml:space="preserve">        11. vk. 2 db Közterületi pad elhelyezése (régi cseréje) - Kiskőrösi utca, kavicsfogú álteknős szobor mellett</t>
  </si>
  <si>
    <t xml:space="preserve">      1. vk. Kádártai utcanévtáblák beszerzése</t>
  </si>
  <si>
    <t xml:space="preserve">      1. vk. Kádárta Faluház sportpálya pad</t>
  </si>
  <si>
    <t xml:space="preserve">      1. vk. Játszótér - járdaépítés</t>
  </si>
  <si>
    <t xml:space="preserve">       2. vk.  6 db "Tiszántúli" szemétgyűjtő beszerzése és kihelyezése</t>
  </si>
  <si>
    <t xml:space="preserve">       2. vk.  Veszprémi Deák Ferenc Általános Iskola (2 db Kültéri IP kamera konzollal, acél feszítős UTP kábellel, 1 db Homokozó kialakítása és egy homokozó felújítása, sporteszközök)</t>
  </si>
  <si>
    <t xml:space="preserve">       2. vk.  VKTT Egyesített Szociális Intézmény I. sz. Idősek Otthonában kerti bútor beszerzése</t>
  </si>
  <si>
    <t xml:space="preserve">       4. vk.  Utcai kutyaürülék tároló 3 db</t>
  </si>
  <si>
    <t xml:space="preserve">       4. vk.  Gyalogátkelőhely kialakítás - Aradi vértanúk/Haszkovó utca kereszteződésében </t>
  </si>
  <si>
    <t xml:space="preserve">       4. vk.  Kültéri pingpong asztal + telepítés 2 db</t>
  </si>
  <si>
    <t xml:space="preserve">       4. vk.  Sakk asztal 2 paddal</t>
  </si>
  <si>
    <t xml:space="preserve">       4. vk.  Beton virágládák 10 db</t>
  </si>
  <si>
    <t xml:space="preserve">       4. vk.  Szemetes kültéri 4 db</t>
  </si>
  <si>
    <t xml:space="preserve">       4. vk.  Kültéri kártyaasztal 1 db</t>
  </si>
  <si>
    <t xml:space="preserve">       6. vk. Képviselői fa ültetése</t>
  </si>
  <si>
    <t xml:space="preserve">        8. vk. Kemence telepítése Szabadságpusztára</t>
  </si>
  <si>
    <t xml:space="preserve">        8. vk. Faültetés</t>
  </si>
  <si>
    <t xml:space="preserve">        11. vk. Malomkő utca 3. önkormányzati tulajdonú ingatlan elektromos hálózatfejlesztése</t>
  </si>
  <si>
    <t xml:space="preserve">       7. vk Ady Endre utca 77. szám alatti játszótér fészekhintája alatti ütéscsillapító gumilap telepítése</t>
  </si>
  <si>
    <t>Városgazdálkodás - Füredi úti megrongált kamera cseréje, Aradi vértanúk Körgyűrű kamera cseréje</t>
  </si>
  <si>
    <t>Közvilágítás bővítések (tervezés, kivitelezés) 2011. évi CLXXXIX. törvény</t>
  </si>
  <si>
    <t>Görgey Artúr utcában párhuzamos parkolóállások kialakítása Gábor Áron és Aradi vértanúk útja között, tervezés és engedélyezés</t>
  </si>
  <si>
    <t>Csikász Imre utca 2. szám előtt 4-5 db parkoló kialakítása</t>
  </si>
  <si>
    <t>GFT ivóvíz felújítás-pótlás: FI-2014-28 Veszprém, Hársfa utca, Ivóvízvezeték rekonstrukció I. ütem az Őrház utca - Petőfi Sándor utca közötti szakaszon (220 fm NA80 ac)</t>
  </si>
  <si>
    <t>Közvilágítás korszerűsítés (Haszkovó utca 39. déli oldala, Haszkovó utca 27. Gábor Áron utca 4. irányába)</t>
  </si>
  <si>
    <t>Jutasi út-Kopácsi utca, Jutasi út-Bagolyvári utca körforgalom</t>
  </si>
  <si>
    <t>Stadion utca 3-5. számú épületeknél parkoló tervezés</t>
  </si>
  <si>
    <t>Veszprém-Balaton 2023 Zrt. - EKF - II. Jutas Piknik pályázati támogatás (babzsákfotelek, öltözősátrak, router)</t>
  </si>
  <si>
    <t>Veszprém-Balaton 2023 Zrt. - EKF Turisztikai Látogatóbarát Pályázat (hulladékgyűjtő, televízió, tablet, gyermek és családsegítő eszközök, kiállítási eszközök, zöld sarok kiállítás eszközök)</t>
  </si>
  <si>
    <t>Veszprém-Balaton 2023 Zrt. - EKF támogatás - Jutas piknik III. eszköz</t>
  </si>
  <si>
    <t>Veszprém-Balaton 2023. Zrt. - EKF támogatás - Nemzetiségi fesztivál -DCI gép, Gizella óriásbábok, fényfüzér</t>
  </si>
  <si>
    <t>Veszprém-Balaton 2023 Zrt. - EKF támogatás (Simoga projekt)</t>
  </si>
  <si>
    <t>Veszprém-Balaton 2023 Zrt. - EKF támogatás (Fixir projekt)</t>
  </si>
  <si>
    <t>Veszprém-Balaton 2023 Zrt. - EKF támogatás (8x8 projekt)</t>
  </si>
  <si>
    <t>Veszprém-Balaton 2023 Zrt. - Radio Freguency Identification rendszer - eszközbeszerzés</t>
  </si>
  <si>
    <t>Veszprém-Balaton 2023 Zrt. pályázat - család- és látogatóbarát eszközbeszerzés</t>
  </si>
  <si>
    <t>Veszprém-Balaton 2023 Zrt. Pályázat - Lovagterem pályázat</t>
  </si>
  <si>
    <t>Veszprém-Balaton 2023 Zrt. támogatás - látogatóbarát eszközök beszerzése</t>
  </si>
  <si>
    <t>Veszprém-Balaton 2023 Zrt. támogatás - Egry József 140 III. ütem eszközök beszerzése</t>
  </si>
  <si>
    <t>Veszprém-Balaton 2023 Zrt. támogatás - "Emlékgép" Állandó kiállítás (vitrinek, bútorok, hardver eszközök, fényképezőgép, Szamizdat hagyaték, kisértékű restaurátor eszközök, jogdíjak, közlési díjak)</t>
  </si>
  <si>
    <t>2 db Légkondicionáló cseréje</t>
  </si>
  <si>
    <t>Aprófalvi Bölcsőde (Lóczy u. 22.)</t>
  </si>
  <si>
    <t>TOP-6.4.1-16-VP1-17-00001 Szabadságpuszta településrész és Felsőörs község közötti kerékpárút beruházása</t>
  </si>
  <si>
    <t>Karbonsemleges Veszprém 2030 c. stratégia elkészítése</t>
  </si>
  <si>
    <t>Köz-wc és ivókutak</t>
  </si>
  <si>
    <t>Veszprém Megyei Jogú Város Önkormányzata támogatási szerződéssel rendelkező</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</si>
</sst>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F_t_-;\-* #,##0.00\ _F_t_-;_-* &quot;-&quot;??\ _F_t_-;_-@_-"/>
    <numFmt numFmtId="164" formatCode="_-* #,##0.00\ _F_t_-;\-* #,##0.00\ _F_t_-;_-* \-??\ _F_t_-;_-@_-"/>
    <numFmt numFmtId="165" formatCode="0.0%"/>
  </numFmts>
  <fonts count="52">
    <font>
      <sz val="10"/>
      <name val="Arial CE"/>
      <charset val="238"/>
    </font>
    <font>
      <sz val="11"/>
      <color theme="1"/>
      <name val="Aptos Narrow"/>
      <family val="2"/>
      <charset val="238"/>
      <scheme val="minor"/>
    </font>
    <font>
      <sz val="11"/>
      <color theme="1"/>
      <name val="Aptos Narrow"/>
      <family val="2"/>
      <charset val="238"/>
      <scheme val="minor"/>
    </font>
    <font>
      <sz val="11"/>
      <color rgb="FF000000"/>
      <name val="Calibri"/>
      <family val="2"/>
      <charset val="238"/>
    </font>
    <font>
      <sz val="10"/>
      <name val="Arial"/>
      <family val="2"/>
      <charset val="238"/>
    </font>
    <font>
      <sz val="8"/>
      <name val="Arial CE"/>
      <charset val="238"/>
    </font>
    <font>
      <sz val="12"/>
      <name val="Times New Roman"/>
      <family val="1"/>
      <charset val="238"/>
    </font>
    <font>
      <sz val="11"/>
      <name val="Palatino Linotype"/>
      <family val="1"/>
      <charset val="238"/>
    </font>
    <font>
      <b/>
      <sz val="11"/>
      <name val="Palatino Linotype"/>
      <family val="1"/>
      <charset val="238"/>
    </font>
    <font>
      <b/>
      <i/>
      <sz val="11"/>
      <name val="Palatino Linotype"/>
      <family val="1"/>
      <charset val="238"/>
    </font>
    <font>
      <b/>
      <i/>
      <sz val="10"/>
      <name val="Palatino Linotype"/>
      <family val="1"/>
      <charset val="238"/>
    </font>
    <font>
      <i/>
      <sz val="11"/>
      <name val="Palatino Linotype"/>
      <family val="1"/>
      <charset val="238"/>
    </font>
    <font>
      <b/>
      <u/>
      <sz val="11"/>
      <name val="Palatino Linotype"/>
      <family val="1"/>
      <charset val="238"/>
    </font>
    <font>
      <sz val="9"/>
      <name val="Palatino Linotype"/>
      <family val="1"/>
      <charset val="238"/>
    </font>
    <font>
      <sz val="10"/>
      <name val="Palatino Linotype"/>
      <family val="1"/>
      <charset val="238"/>
    </font>
    <font>
      <i/>
      <sz val="10"/>
      <name val="Palatino Linotype"/>
      <family val="1"/>
      <charset val="238"/>
    </font>
    <font>
      <i/>
      <sz val="9"/>
      <name val="Palatino Linotype"/>
      <family val="1"/>
      <charset val="238"/>
    </font>
    <font>
      <b/>
      <sz val="9"/>
      <name val="Palatino Linotype"/>
      <family val="1"/>
      <charset val="238"/>
    </font>
    <font>
      <sz val="9"/>
      <name val="Arial CE"/>
      <charset val="238"/>
    </font>
    <font>
      <i/>
      <sz val="10"/>
      <name val="Arial CE"/>
      <charset val="238"/>
    </font>
    <font>
      <sz val="11"/>
      <name val="Arial CE"/>
      <charset val="238"/>
    </font>
    <font>
      <b/>
      <sz val="10"/>
      <name val="Palatino Linotype"/>
      <family val="1"/>
      <charset val="238"/>
    </font>
    <font>
      <i/>
      <u/>
      <sz val="10"/>
      <name val="Palatino Linotype"/>
      <family val="1"/>
      <charset val="238"/>
    </font>
    <font>
      <b/>
      <sz val="10"/>
      <color rgb="FF632523"/>
      <name val="Palatino Linotype"/>
      <family val="1"/>
      <charset val="238"/>
    </font>
    <font>
      <b/>
      <i/>
      <sz val="10"/>
      <color rgb="FF632523"/>
      <name val="Palatino Linotype"/>
      <family val="1"/>
      <charset val="238"/>
    </font>
    <font>
      <b/>
      <sz val="10"/>
      <color rgb="FF632523"/>
      <name val="Arial CE"/>
      <charset val="238"/>
    </font>
    <font>
      <b/>
      <i/>
      <sz val="10"/>
      <color rgb="FF632523"/>
      <name val="Arial CE"/>
      <charset val="238"/>
    </font>
    <font>
      <sz val="10"/>
      <color rgb="FF632523"/>
      <name val="Palatino Linotype"/>
      <family val="1"/>
      <charset val="238"/>
    </font>
    <font>
      <i/>
      <sz val="10"/>
      <color rgb="FF632523"/>
      <name val="Palatino Linotype"/>
      <family val="1"/>
      <charset val="238"/>
    </font>
    <font>
      <b/>
      <u/>
      <sz val="10"/>
      <name val="Palatino Linotype"/>
      <family val="1"/>
      <charset val="238"/>
    </font>
    <font>
      <u/>
      <sz val="10"/>
      <name val="Palatino Linotype"/>
      <family val="1"/>
      <charset val="238"/>
    </font>
    <font>
      <sz val="10"/>
      <color rgb="FFFF0000"/>
      <name val="Palatino Linotype"/>
      <family val="1"/>
      <charset val="238"/>
    </font>
    <font>
      <sz val="7"/>
      <name val="Palatino Linotype"/>
      <family val="1"/>
      <charset val="238"/>
    </font>
    <font>
      <b/>
      <sz val="11"/>
      <color rgb="FF632523"/>
      <name val="Palatino Linotype"/>
      <family val="1"/>
      <charset val="238"/>
    </font>
    <font>
      <b/>
      <i/>
      <sz val="11"/>
      <color rgb="FF632523"/>
      <name val="Palatino Linotype"/>
      <family val="1"/>
      <charset val="238"/>
    </font>
    <font>
      <sz val="11"/>
      <color rgb="FF632523"/>
      <name val="Palatino Linotype"/>
      <family val="1"/>
      <charset val="238"/>
    </font>
    <font>
      <b/>
      <sz val="11"/>
      <color rgb="FF800000"/>
      <name val="Palatino Linotype"/>
      <family val="1"/>
      <charset val="238"/>
    </font>
    <font>
      <sz val="11"/>
      <color rgb="FFFF0000"/>
      <name val="Palatino Linotype"/>
      <family val="1"/>
      <charset val="238"/>
    </font>
    <font>
      <b/>
      <u/>
      <sz val="12"/>
      <name val="Palatino Linotype"/>
      <family val="1"/>
      <charset val="238"/>
    </font>
    <font>
      <sz val="11"/>
      <color rgb="FF800000"/>
      <name val="Palatino Linotype"/>
      <family val="1"/>
      <charset val="238"/>
    </font>
    <font>
      <sz val="10.5"/>
      <name val="Palatino Linotype"/>
      <family val="1"/>
      <charset val="238"/>
    </font>
    <font>
      <sz val="10"/>
      <name val="Arial CE"/>
      <charset val="238"/>
    </font>
    <font>
      <b/>
      <sz val="10"/>
      <color rgb="FF984807"/>
      <name val="Palatino Linotype"/>
      <family val="1"/>
      <charset val="238"/>
    </font>
    <font>
      <sz val="11"/>
      <color rgb="FF000000"/>
      <name val="Palatino Linotype"/>
      <family val="1"/>
      <charset val="238"/>
    </font>
    <font>
      <sz val="12"/>
      <name val="Palatino Linotype"/>
      <family val="1"/>
      <charset val="238"/>
    </font>
    <font>
      <b/>
      <u/>
      <sz val="11"/>
      <color rgb="FF000000"/>
      <name val="Palatino Linotype"/>
      <family val="1"/>
      <charset val="238"/>
    </font>
    <font>
      <b/>
      <i/>
      <u/>
      <sz val="11"/>
      <color rgb="FF000000"/>
      <name val="Palatino Linotype"/>
      <family val="1"/>
      <charset val="238"/>
    </font>
    <font>
      <b/>
      <i/>
      <sz val="11"/>
      <color rgb="FF000000"/>
      <name val="Palatino Linotype"/>
      <family val="1"/>
      <charset val="238"/>
    </font>
    <font>
      <sz val="10"/>
      <name val="Times New Roman"/>
      <family val="1"/>
      <charset val="238"/>
    </font>
    <font>
      <sz val="16"/>
      <name val="Palatino Linotype"/>
      <family val="1"/>
      <charset val="238"/>
    </font>
    <font>
      <sz val="7.5"/>
      <name val="Palatino Linotype"/>
      <family val="1"/>
      <charset val="238"/>
    </font>
    <font>
      <b/>
      <sz val="7.5"/>
      <name val="Palatino Linotype"/>
      <family val="1"/>
      <charset val="238"/>
    </font>
  </fonts>
  <fills count="3">
    <fill>
      <patternFill patternType="none"/>
    </fill>
    <fill>
      <patternFill patternType="gray125"/>
    </fill>
    <fill>
      <patternFill patternType="solid">
        <fgColor theme="3" tint="0.89999084444715716"/>
        <bgColor indexed="64"/>
      </patternFill>
    </fill>
  </fills>
  <borders count="239">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style="thin">
        <color auto="1"/>
      </left>
      <right style="medium">
        <color auto="1"/>
      </right>
      <top style="medium">
        <color auto="1"/>
      </top>
      <bottom style="medium">
        <color auto="1"/>
      </bottom>
      <diagonal/>
    </border>
    <border>
      <left/>
      <right/>
      <top/>
      <bottom style="thin">
        <color auto="1"/>
      </bottom>
      <diagonal/>
    </border>
    <border>
      <left/>
      <right style="medium">
        <color auto="1"/>
      </right>
      <top style="medium">
        <color auto="1"/>
      </top>
      <bottom style="medium">
        <color auto="1"/>
      </bottom>
      <diagonal/>
    </border>
    <border>
      <left/>
      <right/>
      <top style="thin">
        <color auto="1"/>
      </top>
      <bottom style="double">
        <color auto="1"/>
      </bottom>
      <diagonal/>
    </border>
    <border>
      <left/>
      <right/>
      <top style="double">
        <color auto="1"/>
      </top>
      <bottom/>
      <diagonal/>
    </border>
    <border>
      <left/>
      <right/>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style="double">
        <color auto="1"/>
      </left>
      <right/>
      <top style="medium">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style="double">
        <color auto="1"/>
      </left>
      <right/>
      <top style="medium">
        <color auto="1"/>
      </top>
      <bottom style="thin">
        <color auto="1"/>
      </bottom>
      <diagonal/>
    </border>
    <border>
      <left/>
      <right style="medium">
        <color auto="1"/>
      </right>
      <top style="medium">
        <color auto="1"/>
      </top>
      <bottom style="thin">
        <color auto="1"/>
      </bottom>
      <diagonal/>
    </border>
    <border>
      <left style="medium">
        <color auto="1"/>
      </left>
      <right/>
      <top/>
      <bottom/>
      <diagonal/>
    </border>
    <border>
      <left style="double">
        <color auto="1"/>
      </left>
      <right/>
      <top/>
      <bottom/>
      <diagonal/>
    </border>
    <border>
      <left/>
      <right style="medium">
        <color auto="1"/>
      </right>
      <top/>
      <bottom/>
      <diagonal/>
    </border>
    <border>
      <left style="double">
        <color auto="1"/>
      </left>
      <right/>
      <top/>
      <bottom style="thin">
        <color auto="1"/>
      </bottom>
      <diagonal/>
    </border>
    <border>
      <left style="medium">
        <color auto="1"/>
      </left>
      <right/>
      <top style="thin">
        <color auto="1"/>
      </top>
      <bottom style="thin">
        <color auto="1"/>
      </bottom>
      <diagonal/>
    </border>
    <border>
      <left/>
      <right style="double">
        <color auto="1"/>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double">
        <color auto="1"/>
      </left>
      <right/>
      <top style="thin">
        <color auto="1"/>
      </top>
      <bottom style="thin">
        <color auto="1"/>
      </bottom>
      <diagonal/>
    </border>
    <border>
      <left style="medium">
        <color auto="1"/>
      </left>
      <right/>
      <top style="thin">
        <color auto="1"/>
      </top>
      <bottom style="double">
        <color auto="1"/>
      </bottom>
      <diagonal/>
    </border>
    <border>
      <left style="double">
        <color auto="1"/>
      </left>
      <right/>
      <top style="thin">
        <color auto="1"/>
      </top>
      <bottom style="double">
        <color auto="1"/>
      </bottom>
      <diagonal/>
    </border>
    <border>
      <left style="medium">
        <color auto="1"/>
      </left>
      <right/>
      <top style="double">
        <color auto="1"/>
      </top>
      <bottom style="medium">
        <color auto="1"/>
      </bottom>
      <diagonal/>
    </border>
    <border>
      <left/>
      <right/>
      <top style="double">
        <color auto="1"/>
      </top>
      <bottom style="medium">
        <color auto="1"/>
      </bottom>
      <diagonal/>
    </border>
    <border>
      <left style="double">
        <color auto="1"/>
      </left>
      <right/>
      <top style="double">
        <color auto="1"/>
      </top>
      <bottom style="medium">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style="double">
        <color auto="1"/>
      </left>
      <right/>
      <top style="thin">
        <color auto="1"/>
      </top>
      <bottom style="medium">
        <color auto="1"/>
      </bottom>
      <diagonal/>
    </border>
    <border>
      <left style="thin">
        <color auto="1"/>
      </left>
      <right style="double">
        <color auto="1"/>
      </right>
      <top style="medium">
        <color auto="1"/>
      </top>
      <bottom style="medium">
        <color auto="1"/>
      </bottom>
      <diagonal/>
    </border>
    <border>
      <left style="double">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style="medium">
        <color auto="1"/>
      </left>
      <right style="hair">
        <color auto="1"/>
      </right>
      <top/>
      <bottom style="hair">
        <color auto="1"/>
      </bottom>
      <diagonal/>
    </border>
    <border>
      <left style="hair">
        <color auto="1"/>
      </left>
      <right style="hair">
        <color auto="1"/>
      </right>
      <top/>
      <bottom style="hair">
        <color auto="1"/>
      </bottom>
      <diagonal/>
    </border>
    <border>
      <left/>
      <right/>
      <top/>
      <bottom style="hair">
        <color auto="1"/>
      </bottom>
      <diagonal/>
    </border>
    <border>
      <left/>
      <right style="hair">
        <color auto="1"/>
      </right>
      <top/>
      <bottom style="hair">
        <color auto="1"/>
      </bottom>
      <diagonal/>
    </border>
    <border>
      <left style="hair">
        <color auto="1"/>
      </left>
      <right style="double">
        <color auto="1"/>
      </right>
      <top/>
      <bottom style="hair">
        <color auto="1"/>
      </bottom>
      <diagonal/>
    </border>
    <border>
      <left style="hair">
        <color auto="1"/>
      </left>
      <right style="medium">
        <color auto="1"/>
      </right>
      <top/>
      <bottom style="hair">
        <color auto="1"/>
      </bottom>
      <diagonal/>
    </border>
    <border>
      <left style="medium">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style="double">
        <color auto="1"/>
      </right>
      <top style="hair">
        <color auto="1"/>
      </top>
      <bottom style="hair">
        <color auto="1"/>
      </bottom>
      <diagonal/>
    </border>
    <border>
      <left style="hair">
        <color auto="1"/>
      </left>
      <right style="medium">
        <color auto="1"/>
      </right>
      <top style="hair">
        <color auto="1"/>
      </top>
      <bottom style="hair">
        <color auto="1"/>
      </bottom>
      <diagonal/>
    </border>
    <border>
      <left style="hair">
        <color auto="1"/>
      </left>
      <right/>
      <top/>
      <bottom style="hair">
        <color auto="1"/>
      </bottom>
      <diagonal/>
    </border>
    <border>
      <left style="hair">
        <color auto="1"/>
      </left>
      <right/>
      <top style="hair">
        <color auto="1"/>
      </top>
      <bottom style="hair">
        <color auto="1"/>
      </bottom>
      <diagonal/>
    </border>
    <border>
      <left style="hair">
        <color auto="1"/>
      </left>
      <right style="hair">
        <color auto="1"/>
      </right>
      <top style="hair">
        <color auto="1"/>
      </top>
      <bottom style="double">
        <color auto="1"/>
      </bottom>
      <diagonal/>
    </border>
    <border>
      <left style="hair">
        <color auto="1"/>
      </left>
      <right style="hair">
        <color auto="1"/>
      </right>
      <top style="double">
        <color auto="1"/>
      </top>
      <bottom style="hair">
        <color auto="1"/>
      </bottom>
      <diagonal/>
    </border>
    <border>
      <left style="hair">
        <color auto="1"/>
      </left>
      <right style="double">
        <color auto="1"/>
      </right>
      <top style="double">
        <color auto="1"/>
      </top>
      <bottom style="hair">
        <color auto="1"/>
      </bottom>
      <diagonal/>
    </border>
    <border>
      <left/>
      <right style="hair">
        <color auto="1"/>
      </right>
      <top style="double">
        <color auto="1"/>
      </top>
      <bottom style="hair">
        <color auto="1"/>
      </bottom>
      <diagonal/>
    </border>
    <border>
      <left style="hair">
        <color auto="1"/>
      </left>
      <right style="medium">
        <color auto="1"/>
      </right>
      <top style="double">
        <color auto="1"/>
      </top>
      <bottom style="hair">
        <color auto="1"/>
      </bottom>
      <diagonal/>
    </border>
    <border>
      <left style="hair">
        <color auto="1"/>
      </left>
      <right style="hair">
        <color auto="1"/>
      </right>
      <top style="hair">
        <color auto="1"/>
      </top>
      <bottom/>
      <diagonal/>
    </border>
    <border>
      <left/>
      <right/>
      <top style="hair">
        <color auto="1"/>
      </top>
      <bottom/>
      <diagonal/>
    </border>
    <border>
      <left style="hair">
        <color auto="1"/>
      </left>
      <right style="double">
        <color auto="1"/>
      </right>
      <top style="hair">
        <color auto="1"/>
      </top>
      <bottom/>
      <diagonal/>
    </border>
    <border>
      <left/>
      <right style="hair">
        <color auto="1"/>
      </right>
      <top style="hair">
        <color auto="1"/>
      </top>
      <bottom/>
      <diagonal/>
    </border>
    <border>
      <left style="hair">
        <color auto="1"/>
      </left>
      <right style="medium">
        <color auto="1"/>
      </right>
      <top style="hair">
        <color auto="1"/>
      </top>
      <bottom/>
      <diagonal/>
    </border>
    <border>
      <left/>
      <right style="medium">
        <color auto="1"/>
      </right>
      <top style="hair">
        <color auto="1"/>
      </top>
      <bottom style="hair">
        <color auto="1"/>
      </bottom>
      <diagonal/>
    </border>
    <border>
      <left style="hair">
        <color auto="1"/>
      </left>
      <right/>
      <top style="hair">
        <color auto="1"/>
      </top>
      <bottom/>
      <diagonal/>
    </border>
    <border>
      <left style="hair">
        <color auto="1"/>
      </left>
      <right/>
      <top style="hair">
        <color auto="1"/>
      </top>
      <bottom style="double">
        <color auto="1"/>
      </bottom>
      <diagonal/>
    </border>
    <border>
      <left style="hair">
        <color auto="1"/>
      </left>
      <right style="double">
        <color auto="1"/>
      </right>
      <top style="hair">
        <color auto="1"/>
      </top>
      <bottom style="double">
        <color auto="1"/>
      </bottom>
      <diagonal/>
    </border>
    <border>
      <left style="hair">
        <color auto="1"/>
      </left>
      <right style="medium">
        <color auto="1"/>
      </right>
      <top style="hair">
        <color auto="1"/>
      </top>
      <bottom style="double">
        <color auto="1"/>
      </bottom>
      <diagonal/>
    </border>
    <border>
      <left style="hair">
        <color auto="1"/>
      </left>
      <right style="hair">
        <color auto="1"/>
      </right>
      <top/>
      <bottom/>
      <diagonal/>
    </border>
    <border>
      <left style="hair">
        <color auto="1"/>
      </left>
      <right style="double">
        <color auto="1"/>
      </right>
      <top/>
      <bottom/>
      <diagonal/>
    </border>
    <border>
      <left/>
      <right/>
      <top style="hair">
        <color auto="1"/>
      </top>
      <bottom style="double">
        <color auto="1"/>
      </bottom>
      <diagonal/>
    </border>
    <border>
      <left style="hair">
        <color auto="1"/>
      </left>
      <right style="hair">
        <color auto="1"/>
      </right>
      <top style="hair">
        <color auto="1"/>
      </top>
      <bottom style="medium">
        <color auto="1"/>
      </bottom>
      <diagonal/>
    </border>
    <border>
      <left style="double">
        <color auto="1"/>
      </left>
      <right style="hair">
        <color auto="1"/>
      </right>
      <top style="hair">
        <color auto="1"/>
      </top>
      <bottom style="medium">
        <color auto="1"/>
      </bottom>
      <diagonal/>
    </border>
    <border>
      <left style="medium">
        <color auto="1"/>
      </left>
      <right style="hair">
        <color auto="1"/>
      </right>
      <top style="medium">
        <color auto="1"/>
      </top>
      <bottom style="hair">
        <color auto="1"/>
      </bottom>
      <diagonal/>
    </border>
    <border>
      <left style="hair">
        <color auto="1"/>
      </left>
      <right style="hair">
        <color auto="1"/>
      </right>
      <top style="medium">
        <color auto="1"/>
      </top>
      <bottom style="hair">
        <color auto="1"/>
      </bottom>
      <diagonal/>
    </border>
    <border>
      <left style="hair">
        <color auto="1"/>
      </left>
      <right style="double">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top style="medium">
        <color auto="1"/>
      </top>
      <bottom style="hair">
        <color auto="1"/>
      </bottom>
      <diagonal/>
    </border>
    <border>
      <left/>
      <right/>
      <top style="medium">
        <color auto="1"/>
      </top>
      <bottom style="hair">
        <color auto="1"/>
      </bottom>
      <diagonal/>
    </border>
    <border>
      <left/>
      <right style="hair">
        <color auto="1"/>
      </right>
      <top style="medium">
        <color auto="1"/>
      </top>
      <bottom style="hair">
        <color auto="1"/>
      </bottom>
      <diagonal/>
    </border>
    <border>
      <left style="medium">
        <color auto="1"/>
      </left>
      <right style="hair">
        <color auto="1"/>
      </right>
      <top style="hair">
        <color auto="1"/>
      </top>
      <bottom/>
      <diagonal/>
    </border>
    <border>
      <left style="medium">
        <color auto="1"/>
      </left>
      <right/>
      <top style="hair">
        <color auto="1"/>
      </top>
      <bottom/>
      <diagonal/>
    </border>
    <border>
      <left style="medium">
        <color auto="1"/>
      </left>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style="double">
        <color auto="1"/>
      </left>
      <right style="hair">
        <color auto="1"/>
      </right>
      <top/>
      <bottom style="hair">
        <color auto="1"/>
      </bottom>
      <diagonal/>
    </border>
    <border>
      <left style="double">
        <color auto="1"/>
      </left>
      <right style="hair">
        <color auto="1"/>
      </right>
      <top style="hair">
        <color auto="1"/>
      </top>
      <bottom style="hair">
        <color auto="1"/>
      </bottom>
      <diagonal/>
    </border>
    <border>
      <left style="hair">
        <color auto="1"/>
      </left>
      <right/>
      <top style="double">
        <color auto="1"/>
      </top>
      <bottom style="hair">
        <color auto="1"/>
      </bottom>
      <diagonal/>
    </border>
    <border>
      <left style="double">
        <color auto="1"/>
      </left>
      <right style="hair">
        <color auto="1"/>
      </right>
      <top style="double">
        <color auto="1"/>
      </top>
      <bottom style="hair">
        <color auto="1"/>
      </bottom>
      <diagonal/>
    </border>
    <border>
      <left style="double">
        <color auto="1"/>
      </left>
      <right style="hair">
        <color auto="1"/>
      </right>
      <top style="hair">
        <color auto="1"/>
      </top>
      <bottom/>
      <diagonal/>
    </border>
    <border>
      <left/>
      <right style="hair">
        <color auto="1"/>
      </right>
      <top style="hair">
        <color auto="1"/>
      </top>
      <bottom style="double">
        <color auto="1"/>
      </bottom>
      <diagonal/>
    </border>
    <border>
      <left style="double">
        <color auto="1"/>
      </left>
      <right style="hair">
        <color auto="1"/>
      </right>
      <top style="hair">
        <color auto="1"/>
      </top>
      <bottom style="double">
        <color auto="1"/>
      </bottom>
      <diagonal/>
    </border>
    <border>
      <left style="hair">
        <color auto="1"/>
      </left>
      <right style="double">
        <color auto="1"/>
      </right>
      <top style="hair">
        <color auto="1"/>
      </top>
      <bottom style="medium">
        <color auto="1"/>
      </bottom>
      <diagonal/>
    </border>
    <border>
      <left/>
      <right style="hair">
        <color auto="1"/>
      </right>
      <top/>
      <bottom/>
      <diagonal/>
    </border>
    <border>
      <left style="hair">
        <color auto="1"/>
      </left>
      <right/>
      <top/>
      <bottom/>
      <diagonal/>
    </border>
    <border>
      <left style="double">
        <color auto="1"/>
      </left>
      <right style="hair">
        <color auto="1"/>
      </right>
      <top style="medium">
        <color auto="1"/>
      </top>
      <bottom style="hair">
        <color auto="1"/>
      </bottom>
      <diagonal/>
    </border>
    <border>
      <left style="medium">
        <color auto="1"/>
      </left>
      <right/>
      <top/>
      <bottom style="hair">
        <color auto="1"/>
      </bottom>
      <diagonal/>
    </border>
    <border>
      <left/>
      <right style="double">
        <color auto="1"/>
      </right>
      <top style="hair">
        <color auto="1"/>
      </top>
      <bottom/>
      <diagonal/>
    </border>
    <border>
      <left/>
      <right style="double">
        <color auto="1"/>
      </right>
      <top style="hair">
        <color auto="1"/>
      </top>
      <bottom style="hair">
        <color auto="1"/>
      </bottom>
      <diagonal/>
    </border>
    <border>
      <left style="medium">
        <color auto="1"/>
      </left>
      <right/>
      <top/>
      <bottom style="medium">
        <color auto="1"/>
      </bottom>
      <diagonal/>
    </border>
    <border>
      <left/>
      <right style="double">
        <color auto="1"/>
      </right>
      <top/>
      <bottom style="medium">
        <color auto="1"/>
      </bottom>
      <diagonal/>
    </border>
    <border>
      <left/>
      <right style="medium">
        <color auto="1"/>
      </right>
      <top/>
      <bottom style="medium">
        <color auto="1"/>
      </bottom>
      <diagonal/>
    </border>
    <border>
      <left/>
      <right/>
      <top style="medium">
        <color auto="1"/>
      </top>
      <bottom/>
      <diagonal/>
    </border>
    <border>
      <left style="double">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hair">
        <color auto="1"/>
      </left>
      <right style="medium">
        <color auto="1"/>
      </right>
      <top style="medium">
        <color auto="1"/>
      </top>
      <bottom style="medium">
        <color auto="1"/>
      </bottom>
      <diagonal/>
    </border>
    <border>
      <left style="medium">
        <color auto="1"/>
      </left>
      <right/>
      <top style="hair">
        <color auto="1"/>
      </top>
      <bottom style="double">
        <color auto="1"/>
      </bottom>
      <diagonal/>
    </border>
    <border>
      <left style="double">
        <color auto="1"/>
      </left>
      <right/>
      <top style="hair">
        <color auto="1"/>
      </top>
      <bottom style="double">
        <color auto="1"/>
      </bottom>
      <diagonal/>
    </border>
    <border>
      <left style="medium">
        <color auto="1"/>
      </left>
      <right style="hair">
        <color auto="1"/>
      </right>
      <top style="double">
        <color auto="1"/>
      </top>
      <bottom style="medium">
        <color auto="1"/>
      </bottom>
      <diagonal/>
    </border>
    <border>
      <left style="hair">
        <color auto="1"/>
      </left>
      <right style="hair">
        <color auto="1"/>
      </right>
      <top style="double">
        <color auto="1"/>
      </top>
      <bottom style="medium">
        <color auto="1"/>
      </bottom>
      <diagonal/>
    </border>
    <border>
      <left style="hair">
        <color auto="1"/>
      </left>
      <right/>
      <top style="double">
        <color auto="1"/>
      </top>
      <bottom style="medium">
        <color auto="1"/>
      </bottom>
      <diagonal/>
    </border>
    <border>
      <left style="medium">
        <color auto="1"/>
      </left>
      <right style="hair">
        <color auto="1"/>
      </right>
      <top style="medium">
        <color auto="1"/>
      </top>
      <bottom style="medium">
        <color auto="1"/>
      </bottom>
      <diagonal/>
    </border>
    <border>
      <left style="hair">
        <color auto="1"/>
      </left>
      <right/>
      <top style="medium">
        <color auto="1"/>
      </top>
      <bottom style="medium">
        <color auto="1"/>
      </bottom>
      <diagonal/>
    </border>
    <border>
      <left/>
      <right style="hair">
        <color auto="1"/>
      </right>
      <top style="hair">
        <color auto="1"/>
      </top>
      <bottom style="medium">
        <color auto="1"/>
      </bottom>
      <diagonal/>
    </border>
    <border>
      <left/>
      <right style="double">
        <color auto="1"/>
      </right>
      <top style="medium">
        <color auto="1"/>
      </top>
      <bottom style="medium">
        <color auto="1"/>
      </bottom>
      <diagonal/>
    </border>
    <border>
      <left/>
      <right style="thin">
        <color auto="1"/>
      </right>
      <top style="medium">
        <color auto="1"/>
      </top>
      <bottom style="medium">
        <color auto="1"/>
      </bottom>
      <diagonal/>
    </border>
    <border>
      <left style="thin">
        <color auto="1"/>
      </left>
      <right style="medium">
        <color auto="1"/>
      </right>
      <top style="medium">
        <color auto="1"/>
      </top>
      <bottom style="hair">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double">
        <color auto="1"/>
      </left>
      <right/>
      <top/>
      <bottom style="hair">
        <color auto="1"/>
      </bottom>
      <diagonal/>
    </border>
    <border>
      <left style="double">
        <color auto="1"/>
      </left>
      <right/>
      <top style="hair">
        <color auto="1"/>
      </top>
      <bottom style="hair">
        <color auto="1"/>
      </bottom>
      <diagonal/>
    </border>
    <border>
      <left/>
      <right style="medium">
        <color auto="1"/>
      </right>
      <top/>
      <bottom style="hair">
        <color auto="1"/>
      </bottom>
      <diagonal/>
    </border>
    <border>
      <left/>
      <right style="medium">
        <color auto="1"/>
      </right>
      <top style="hair">
        <color auto="1"/>
      </top>
      <bottom/>
      <diagonal/>
    </border>
    <border>
      <left style="medium">
        <color auto="1"/>
      </left>
      <right/>
      <top style="hair">
        <color auto="1"/>
      </top>
      <bottom style="medium">
        <color auto="1"/>
      </bottom>
      <diagonal/>
    </border>
    <border>
      <left/>
      <right style="double">
        <color auto="1"/>
      </right>
      <top style="hair">
        <color auto="1"/>
      </top>
      <bottom style="medium">
        <color auto="1"/>
      </bottom>
      <diagonal/>
    </border>
    <border>
      <left/>
      <right/>
      <top style="hair">
        <color auto="1"/>
      </top>
      <bottom style="medium">
        <color auto="1"/>
      </bottom>
      <diagonal/>
    </border>
    <border>
      <left/>
      <right style="medium">
        <color auto="1"/>
      </right>
      <top style="hair">
        <color auto="1"/>
      </top>
      <bottom style="medium">
        <color auto="1"/>
      </bottom>
      <diagonal/>
    </border>
    <border>
      <left style="double">
        <color auto="1"/>
      </left>
      <right/>
      <top style="hair">
        <color auto="1"/>
      </top>
      <bottom/>
      <diagonal/>
    </border>
    <border>
      <left style="medium">
        <color auto="1"/>
      </left>
      <right style="hair">
        <color auto="1"/>
      </right>
      <top style="double">
        <color auto="1"/>
      </top>
      <bottom style="hair">
        <color auto="1"/>
      </bottom>
      <diagonal/>
    </border>
    <border>
      <left/>
      <right style="double">
        <color auto="1"/>
      </right>
      <top style="double">
        <color auto="1"/>
      </top>
      <bottom style="hair">
        <color auto="1"/>
      </bottom>
      <diagonal/>
    </border>
    <border>
      <left style="double">
        <color auto="1"/>
      </left>
      <right/>
      <top style="double">
        <color auto="1"/>
      </top>
      <bottom style="hair">
        <color auto="1"/>
      </bottom>
      <diagonal/>
    </border>
    <border>
      <left/>
      <right style="medium">
        <color auto="1"/>
      </right>
      <top style="double">
        <color auto="1"/>
      </top>
      <bottom style="hair">
        <color auto="1"/>
      </bottom>
      <diagonal/>
    </border>
    <border>
      <left/>
      <right style="double">
        <color auto="1"/>
      </right>
      <top/>
      <bottom style="hair">
        <color auto="1"/>
      </bottom>
      <diagonal/>
    </border>
    <border>
      <left style="double">
        <color auto="1"/>
      </left>
      <right style="thin">
        <color auto="1"/>
      </right>
      <top style="medium">
        <color auto="1"/>
      </top>
      <bottom style="medium">
        <color auto="1"/>
      </bottom>
      <diagonal/>
    </border>
    <border>
      <left style="double">
        <color auto="1"/>
      </left>
      <right style="medium">
        <color auto="1"/>
      </right>
      <top/>
      <bottom style="hair">
        <color auto="1"/>
      </bottom>
      <diagonal/>
    </border>
    <border>
      <left style="double">
        <color auto="1"/>
      </left>
      <right style="medium">
        <color auto="1"/>
      </right>
      <top style="hair">
        <color auto="1"/>
      </top>
      <bottom style="hair">
        <color auto="1"/>
      </bottom>
      <diagonal/>
    </border>
    <border>
      <left/>
      <right style="medium">
        <color auto="1"/>
      </right>
      <top style="hair">
        <color auto="1"/>
      </top>
      <bottom style="double">
        <color auto="1"/>
      </bottom>
      <diagonal/>
    </border>
    <border>
      <left style="double">
        <color auto="1"/>
      </left>
      <right style="medium">
        <color auto="1"/>
      </right>
      <top/>
      <bottom/>
      <diagonal/>
    </border>
    <border>
      <left style="double">
        <color auto="1"/>
      </left>
      <right style="medium">
        <color auto="1"/>
      </right>
      <top style="hair">
        <color auto="1"/>
      </top>
      <bottom/>
      <diagonal/>
    </border>
    <border>
      <left style="double">
        <color auto="1"/>
      </left>
      <right style="medium">
        <color auto="1"/>
      </right>
      <top style="double">
        <color auto="1"/>
      </top>
      <bottom style="hair">
        <color auto="1"/>
      </bottom>
      <diagonal/>
    </border>
    <border>
      <left/>
      <right style="double">
        <color auto="1"/>
      </right>
      <top style="medium">
        <color auto="1"/>
      </top>
      <bottom style="thin">
        <color auto="1"/>
      </bottom>
      <diagonal/>
    </border>
    <border>
      <left/>
      <right/>
      <top style="thin">
        <color auto="1"/>
      </top>
      <bottom/>
      <diagonal/>
    </border>
    <border>
      <left style="medium">
        <color auto="1"/>
      </left>
      <right style="medium">
        <color auto="1"/>
      </right>
      <top style="thin">
        <color auto="1"/>
      </top>
      <bottom/>
      <diagonal/>
    </border>
    <border>
      <left/>
      <right style="double">
        <color auto="1"/>
      </right>
      <top style="thin">
        <color auto="1"/>
      </top>
      <bottom style="medium">
        <color auto="1"/>
      </bottom>
      <diagonal/>
    </border>
    <border>
      <left/>
      <right style="hair">
        <color auto="1"/>
      </right>
      <top style="medium">
        <color auto="1"/>
      </top>
      <bottom/>
      <diagonal/>
    </border>
    <border>
      <left style="hair">
        <color auto="1"/>
      </left>
      <right style="hair">
        <color auto="1"/>
      </right>
      <top style="medium">
        <color auto="1"/>
      </top>
      <bottom/>
      <diagonal/>
    </border>
    <border>
      <left style="hair">
        <color auto="1"/>
      </left>
      <right style="double">
        <color auto="1"/>
      </right>
      <top style="medium">
        <color auto="1"/>
      </top>
      <bottom/>
      <diagonal/>
    </border>
    <border>
      <left style="medium">
        <color auto="1"/>
      </left>
      <right style="double">
        <color auto="1"/>
      </right>
      <top style="double">
        <color auto="1"/>
      </top>
      <bottom style="hair">
        <color auto="1"/>
      </bottom>
      <diagonal/>
    </border>
    <border>
      <left style="double">
        <color auto="1"/>
      </left>
      <right style="hair">
        <color auto="1"/>
      </right>
      <top/>
      <bottom/>
      <diagonal/>
    </border>
    <border>
      <left style="medium">
        <color auto="1"/>
      </left>
      <right style="double">
        <color auto="1"/>
      </right>
      <top style="medium">
        <color auto="1"/>
      </top>
      <bottom style="hair">
        <color auto="1"/>
      </bottom>
      <diagonal/>
    </border>
    <border>
      <left style="double">
        <color auto="1"/>
      </left>
      <right style="medium">
        <color auto="1"/>
      </right>
      <top style="medium">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double">
        <color auto="1"/>
      </right>
      <top style="hair">
        <color auto="1"/>
      </top>
      <bottom style="thin">
        <color auto="1"/>
      </bottom>
      <diagonal/>
    </border>
    <border>
      <left/>
      <right style="medium">
        <color auto="1"/>
      </right>
      <top style="hair">
        <color auto="1"/>
      </top>
      <bottom style="thin">
        <color auto="1"/>
      </bottom>
      <diagonal/>
    </border>
    <border>
      <left style="hair">
        <color auto="1"/>
      </left>
      <right style="hair">
        <color auto="1"/>
      </right>
      <top style="double">
        <color auto="1"/>
      </top>
      <bottom/>
      <diagonal/>
    </border>
    <border>
      <left style="double">
        <color auto="1"/>
      </left>
      <right style="medium">
        <color auto="1"/>
      </right>
      <top style="hair">
        <color auto="1"/>
      </top>
      <bottom style="double">
        <color auto="1"/>
      </bottom>
      <diagonal/>
    </border>
    <border>
      <left/>
      <right style="double">
        <color auto="1"/>
      </right>
      <top style="hair">
        <color auto="1"/>
      </top>
      <bottom style="double">
        <color auto="1"/>
      </bottom>
      <diagonal/>
    </border>
    <border>
      <left style="hair">
        <color auto="1"/>
      </left>
      <right style="double">
        <color auto="1"/>
      </right>
      <top style="double">
        <color auto="1"/>
      </top>
      <bottom/>
      <diagonal/>
    </border>
    <border>
      <left/>
      <right style="medium">
        <color auto="1"/>
      </right>
      <top style="double">
        <color auto="1"/>
      </top>
      <bottom/>
      <diagonal/>
    </border>
    <border>
      <left style="double">
        <color auto="1"/>
      </left>
      <right style="medium">
        <color auto="1"/>
      </right>
      <top style="hair">
        <color auto="1"/>
      </top>
      <bottom style="medium">
        <color auto="1"/>
      </bottom>
      <diagonal/>
    </border>
    <border>
      <left style="medium">
        <color auto="1"/>
      </left>
      <right style="double">
        <color auto="1"/>
      </right>
      <top/>
      <bottom style="hair">
        <color auto="1"/>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double">
        <color auto="1"/>
      </right>
      <top style="medium">
        <color auto="1"/>
      </top>
      <bottom style="thin">
        <color auto="1"/>
      </bottom>
      <diagonal/>
    </border>
    <border>
      <left style="thin">
        <color auto="1"/>
      </left>
      <right/>
      <top/>
      <bottom/>
      <diagonal/>
    </border>
    <border>
      <left style="thin">
        <color auto="1"/>
      </left>
      <right style="double">
        <color auto="1"/>
      </right>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thin">
        <color auto="1"/>
      </left>
      <right style="thin">
        <color auto="1"/>
      </right>
      <top/>
      <bottom/>
      <diagonal/>
    </border>
    <border>
      <left style="thin">
        <color auto="1"/>
      </left>
      <right style="medium">
        <color auto="1"/>
      </right>
      <top/>
      <bottom/>
      <diagonal/>
    </border>
    <border>
      <left style="thin">
        <color auto="1"/>
      </left>
      <right/>
      <top style="thin">
        <color auto="1"/>
      </top>
      <bottom style="thin">
        <color auto="1"/>
      </bottom>
      <diagonal/>
    </border>
    <border>
      <left style="thin">
        <color auto="1"/>
      </left>
      <right style="double">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style="double">
        <color auto="1"/>
      </bottom>
      <diagonal/>
    </border>
    <border>
      <left style="thin">
        <color auto="1"/>
      </left>
      <right style="double">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medium">
        <color auto="1"/>
      </right>
      <top style="thin">
        <color auto="1"/>
      </top>
      <bottom style="double">
        <color auto="1"/>
      </bottom>
      <diagonal/>
    </border>
    <border>
      <left style="medium">
        <color auto="1"/>
      </left>
      <right/>
      <top style="double">
        <color auto="1"/>
      </top>
      <bottom style="double">
        <color auto="1"/>
      </bottom>
      <diagonal/>
    </border>
    <border>
      <left/>
      <right/>
      <top style="double">
        <color auto="1"/>
      </top>
      <bottom style="double">
        <color auto="1"/>
      </bottom>
      <diagonal/>
    </border>
    <border>
      <left/>
      <right style="thin">
        <color auto="1"/>
      </right>
      <top style="double">
        <color auto="1"/>
      </top>
      <bottom style="double">
        <color auto="1"/>
      </bottom>
      <diagonal/>
    </border>
    <border>
      <left style="thin">
        <color auto="1"/>
      </left>
      <right style="double">
        <color auto="1"/>
      </right>
      <top style="double">
        <color auto="1"/>
      </top>
      <bottom style="double">
        <color auto="1"/>
      </bottom>
      <diagonal/>
    </border>
    <border>
      <left style="thin">
        <color auto="1"/>
      </left>
      <right/>
      <top style="double">
        <color auto="1"/>
      </top>
      <bottom style="double">
        <color auto="1"/>
      </bottom>
      <diagonal/>
    </border>
    <border>
      <left style="thin">
        <color auto="1"/>
      </left>
      <right/>
      <top/>
      <bottom style="double">
        <color auto="1"/>
      </bottom>
      <diagonal/>
    </border>
    <border>
      <left style="thin">
        <color auto="1"/>
      </left>
      <right style="thin">
        <color auto="1"/>
      </right>
      <top/>
      <bottom style="double">
        <color auto="1"/>
      </bottom>
      <diagonal/>
    </border>
    <border>
      <left style="thin">
        <color auto="1"/>
      </left>
      <right style="medium">
        <color auto="1"/>
      </right>
      <top/>
      <bottom style="double">
        <color auto="1"/>
      </bottom>
      <diagonal/>
    </border>
    <border>
      <left style="medium">
        <color auto="1"/>
      </left>
      <right/>
      <top style="double">
        <color auto="1"/>
      </top>
      <bottom/>
      <diagonal/>
    </border>
    <border>
      <left style="thin">
        <color auto="1"/>
      </left>
      <right/>
      <top style="double">
        <color auto="1"/>
      </top>
      <bottom/>
      <diagonal/>
    </border>
    <border>
      <left style="thin">
        <color auto="1"/>
      </left>
      <right style="double">
        <color auto="1"/>
      </right>
      <top style="double">
        <color auto="1"/>
      </top>
      <bottom/>
      <diagonal/>
    </border>
    <border>
      <left/>
      <right style="thin">
        <color auto="1"/>
      </right>
      <top/>
      <bottom/>
      <diagonal/>
    </border>
    <border>
      <left style="medium">
        <color auto="1"/>
      </left>
      <right/>
      <top/>
      <bottom style="thin">
        <color auto="1"/>
      </bottom>
      <diagonal/>
    </border>
    <border>
      <left style="thin">
        <color auto="1"/>
      </left>
      <right/>
      <top/>
      <bottom style="thin">
        <color auto="1"/>
      </bottom>
      <diagonal/>
    </border>
    <border>
      <left style="thin">
        <color auto="1"/>
      </left>
      <right style="double">
        <color auto="1"/>
      </right>
      <top/>
      <bottom style="thin">
        <color auto="1"/>
      </bottom>
      <diagonal/>
    </border>
    <border>
      <left style="thin">
        <color auto="1"/>
      </left>
      <right style="thin">
        <color auto="1"/>
      </right>
      <top/>
      <bottom style="thin">
        <color auto="1"/>
      </bottom>
      <diagonal/>
    </border>
    <border>
      <left style="thin">
        <color auto="1"/>
      </left>
      <right/>
      <top/>
      <bottom style="medium">
        <color auto="1"/>
      </bottom>
      <diagonal/>
    </border>
    <border>
      <left style="thin">
        <color auto="1"/>
      </left>
      <right style="double">
        <color auto="1"/>
      </right>
      <top/>
      <bottom style="medium">
        <color auto="1"/>
      </bottom>
      <diagonal/>
    </border>
    <border>
      <left/>
      <right style="double">
        <color auto="1"/>
      </right>
      <top style="medium">
        <color auto="1"/>
      </top>
      <bottom/>
      <diagonal/>
    </border>
    <border>
      <left style="medium">
        <color auto="1"/>
      </left>
      <right style="medium">
        <color auto="1"/>
      </right>
      <top/>
      <bottom/>
      <diagonal/>
    </border>
    <border>
      <left style="medium">
        <color auto="1"/>
      </left>
      <right/>
      <top style="double">
        <color auto="1"/>
      </top>
      <bottom style="hair">
        <color auto="1"/>
      </bottom>
      <diagonal/>
    </border>
    <border>
      <left style="medium">
        <color auto="1"/>
      </left>
      <right style="hair">
        <color auto="1"/>
      </right>
      <top style="hair">
        <color auto="1"/>
      </top>
      <bottom style="double">
        <color auto="1"/>
      </bottom>
      <diagonal/>
    </border>
    <border>
      <left style="medium">
        <color indexed="64"/>
      </left>
      <right/>
      <top style="medium">
        <color indexed="64"/>
      </top>
      <bottom style="double">
        <color indexed="64"/>
      </bottom>
      <diagonal/>
    </border>
    <border>
      <left style="double">
        <color indexed="64"/>
      </left>
      <right style="double">
        <color indexed="64"/>
      </right>
      <top style="medium">
        <color indexed="64"/>
      </top>
      <bottom/>
      <diagonal/>
    </border>
    <border>
      <left/>
      <right style="thin">
        <color indexed="64"/>
      </right>
      <top style="medium">
        <color indexed="64"/>
      </top>
      <bottom/>
      <diagonal/>
    </border>
    <border>
      <left style="double">
        <color indexed="64"/>
      </left>
      <right style="double">
        <color indexed="64"/>
      </right>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style="double">
        <color indexed="64"/>
      </left>
      <right style="hair">
        <color indexed="64"/>
      </right>
      <top style="medium">
        <color indexed="64"/>
      </top>
      <bottom/>
      <diagonal/>
    </border>
    <border>
      <left style="hair">
        <color indexed="64"/>
      </left>
      <right/>
      <top style="medium">
        <color indexed="64"/>
      </top>
      <bottom/>
      <diagonal/>
    </border>
    <border>
      <left style="double">
        <color indexed="64"/>
      </left>
      <right style="double">
        <color indexed="64"/>
      </right>
      <top style="hair">
        <color indexed="64"/>
      </top>
      <bottom style="hair">
        <color indexed="64"/>
      </bottom>
      <diagonal/>
    </border>
    <border>
      <left style="double">
        <color indexed="64"/>
      </left>
      <right style="double">
        <color indexed="64"/>
      </right>
      <top style="medium">
        <color indexed="64"/>
      </top>
      <bottom style="medium">
        <color indexed="64"/>
      </bottom>
      <diagonal/>
    </border>
    <border>
      <left/>
      <right style="hair">
        <color indexed="64"/>
      </right>
      <top style="medium">
        <color indexed="64"/>
      </top>
      <bottom style="medium">
        <color indexed="64"/>
      </bottom>
      <diagonal/>
    </border>
    <border>
      <left style="hair">
        <color auto="1"/>
      </left>
      <right/>
      <top style="hair">
        <color auto="1"/>
      </top>
      <bottom style="medium">
        <color auto="1"/>
      </bottom>
      <diagonal/>
    </border>
    <border>
      <left style="hair">
        <color auto="1"/>
      </left>
      <right style="medium">
        <color auto="1"/>
      </right>
      <top style="double">
        <color auto="1"/>
      </top>
      <bottom style="medium">
        <color auto="1"/>
      </bottom>
      <diagonal/>
    </border>
    <border>
      <left/>
      <right/>
      <top style="hair">
        <color auto="1"/>
      </top>
      <bottom style="thin">
        <color indexed="64"/>
      </bottom>
      <diagonal/>
    </border>
    <border>
      <left style="thin">
        <color auto="1"/>
      </left>
      <right/>
      <top style="medium">
        <color auto="1"/>
      </top>
      <bottom/>
      <diagonal/>
    </border>
    <border>
      <left style="thin">
        <color auto="1"/>
      </left>
      <right/>
      <top style="thin">
        <color auto="1"/>
      </top>
      <bottom/>
      <diagonal/>
    </border>
    <border>
      <left style="thin">
        <color auto="1"/>
      </left>
      <right style="medium">
        <color auto="1"/>
      </right>
      <top style="medium">
        <color auto="1"/>
      </top>
      <bottom style="thin">
        <color auto="1"/>
      </bottom>
      <diagonal/>
    </border>
    <border>
      <left style="double">
        <color indexed="64"/>
      </left>
      <right style="double">
        <color indexed="64"/>
      </right>
      <top/>
      <bottom style="medium">
        <color indexed="64"/>
      </bottom>
      <diagonal/>
    </border>
    <border>
      <left style="double">
        <color indexed="64"/>
      </left>
      <right style="double">
        <color indexed="64"/>
      </right>
      <top style="hair">
        <color auto="1"/>
      </top>
      <bottom/>
      <diagonal/>
    </border>
    <border>
      <left style="double">
        <color indexed="64"/>
      </left>
      <right style="medium">
        <color auto="1"/>
      </right>
      <top style="medium">
        <color auto="1"/>
      </top>
      <bottom/>
      <diagonal/>
    </border>
    <border>
      <left style="double">
        <color indexed="64"/>
      </left>
      <right style="medium">
        <color auto="1"/>
      </right>
      <top/>
      <bottom style="medium">
        <color indexed="64"/>
      </bottom>
      <diagonal/>
    </border>
    <border>
      <left/>
      <right style="medium">
        <color auto="1"/>
      </right>
      <top style="thin">
        <color auto="1"/>
      </top>
      <bottom style="double">
        <color auto="1"/>
      </bottom>
      <diagonal/>
    </border>
    <border>
      <left/>
      <right style="medium">
        <color auto="1"/>
      </right>
      <top style="double">
        <color auto="1"/>
      </top>
      <bottom style="medium">
        <color auto="1"/>
      </bottom>
      <diagonal/>
    </border>
    <border>
      <left/>
      <right style="medium">
        <color auto="1"/>
      </right>
      <top style="thin">
        <color auto="1"/>
      </top>
      <bottom style="medium">
        <color auto="1"/>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auto="1"/>
      </right>
      <top style="double">
        <color auto="1"/>
      </top>
      <bottom style="double">
        <color auto="1"/>
      </bottom>
      <diagonal/>
    </border>
    <border>
      <left style="medium">
        <color indexed="64"/>
      </left>
      <right/>
      <top/>
      <bottom style="double">
        <color indexed="64"/>
      </bottom>
      <diagonal/>
    </border>
    <border>
      <left/>
      <right/>
      <top/>
      <bottom style="double">
        <color auto="1"/>
      </bottom>
      <diagonal/>
    </border>
    <border>
      <left/>
      <right style="medium">
        <color auto="1"/>
      </right>
      <top/>
      <bottom style="double">
        <color auto="1"/>
      </bottom>
      <diagonal/>
    </border>
    <border>
      <left/>
      <right style="medium">
        <color auto="1"/>
      </right>
      <top style="medium">
        <color auto="1"/>
      </top>
      <bottom style="double">
        <color auto="1"/>
      </bottom>
      <diagonal/>
    </border>
    <border>
      <left style="medium">
        <color auto="1"/>
      </left>
      <right style="medium">
        <color auto="1"/>
      </right>
      <top style="medium">
        <color auto="1"/>
      </top>
      <bottom style="double">
        <color auto="1"/>
      </bottom>
      <diagonal/>
    </border>
    <border>
      <left style="medium">
        <color auto="1"/>
      </left>
      <right style="hair">
        <color auto="1"/>
      </right>
      <top/>
      <bottom/>
      <diagonal/>
    </border>
    <border>
      <left style="hair">
        <color auto="1"/>
      </left>
      <right style="medium">
        <color auto="1"/>
      </right>
      <top/>
      <bottom/>
      <diagonal/>
    </border>
  </borders>
  <cellStyleXfs count="60">
    <xf numFmtId="0" fontId="0" fillId="0" borderId="0"/>
    <xf numFmtId="9" fontId="41" fillId="0" borderId="0" applyBorder="0" applyProtection="0"/>
    <xf numFmtId="164" fontId="41" fillId="0" borderId="0" applyBorder="0" applyProtection="0"/>
    <xf numFmtId="164" fontId="41" fillId="0" borderId="0" applyBorder="0" applyProtection="0"/>
    <xf numFmtId="164" fontId="41" fillId="0" borderId="0" applyBorder="0" applyProtection="0"/>
    <xf numFmtId="164" fontId="41" fillId="0" borderId="0" applyBorder="0" applyProtection="0"/>
    <xf numFmtId="164" fontId="41" fillId="0" borderId="0" applyBorder="0" applyProtection="0"/>
    <xf numFmtId="164" fontId="41" fillId="0" borderId="0" applyBorder="0" applyProtection="0"/>
    <xf numFmtId="164" fontId="41" fillId="0" borderId="0" applyBorder="0" applyProtection="0"/>
    <xf numFmtId="164" fontId="41" fillId="0" borderId="0" applyBorder="0" applyProtection="0"/>
    <xf numFmtId="0" fontId="3"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1" fillId="0" borderId="0"/>
    <xf numFmtId="0" fontId="41" fillId="0" borderId="0"/>
    <xf numFmtId="0" fontId="4" fillId="0" borderId="0"/>
    <xf numFmtId="0" fontId="4" fillId="0" borderId="0"/>
    <xf numFmtId="0" fontId="41" fillId="0" borderId="0"/>
    <xf numFmtId="0" fontId="4" fillId="0" borderId="0"/>
    <xf numFmtId="0" fontId="4" fillId="0" borderId="0"/>
    <xf numFmtId="9" fontId="41" fillId="0" borderId="0" applyBorder="0" applyProtection="0"/>
    <xf numFmtId="9" fontId="41" fillId="0" borderId="0" applyBorder="0" applyProtection="0"/>
    <xf numFmtId="9" fontId="41" fillId="0" borderId="0" applyBorder="0" applyProtection="0"/>
    <xf numFmtId="0" fontId="48" fillId="0" borderId="0"/>
    <xf numFmtId="0" fontId="48" fillId="0" borderId="0"/>
    <xf numFmtId="0" fontId="48" fillId="0" borderId="0"/>
    <xf numFmtId="43" fontId="2" fillId="0" borderId="0" applyFont="0" applyFill="0" applyBorder="0" applyAlignment="0" applyProtection="0"/>
    <xf numFmtId="0" fontId="1" fillId="0" borderId="0"/>
  </cellStyleXfs>
  <cellXfs count="2038">
    <xf numFmtId="0" fontId="0" fillId="0" borderId="0" xfId="0"/>
    <xf numFmtId="3" fontId="7" fillId="0" borderId="0" xfId="45" applyNumberFormat="1" applyFont="1" applyAlignment="1">
      <alignment horizontal="left"/>
    </xf>
    <xf numFmtId="0" fontId="8" fillId="0" borderId="0" xfId="0" applyFont="1" applyAlignment="1">
      <alignment horizontal="center" vertical="center"/>
    </xf>
    <xf numFmtId="0" fontId="7" fillId="0" borderId="0" xfId="0" applyFont="1" applyAlignment="1">
      <alignment horizontal="left"/>
    </xf>
    <xf numFmtId="0" fontId="7" fillId="0" borderId="0" xfId="0" applyFont="1" applyAlignment="1">
      <alignment horizontal="center" vertical="center"/>
    </xf>
    <xf numFmtId="0" fontId="8" fillId="0" borderId="0" xfId="0" applyFont="1" applyAlignment="1">
      <alignment horizontal="center"/>
    </xf>
    <xf numFmtId="0" fontId="7" fillId="0" borderId="0" xfId="0" applyFont="1"/>
    <xf numFmtId="0" fontId="7" fillId="0" borderId="0" xfId="0" applyFont="1" applyAlignment="1">
      <alignment vertical="top"/>
    </xf>
    <xf numFmtId="0" fontId="7" fillId="0" borderId="0" xfId="0" applyFont="1" applyAlignment="1">
      <alignment wrapText="1"/>
    </xf>
    <xf numFmtId="3" fontId="7" fillId="0" borderId="0" xfId="0" applyNumberFormat="1" applyFont="1"/>
    <xf numFmtId="0" fontId="7" fillId="0" borderId="0" xfId="0" applyFont="1" applyAlignment="1">
      <alignment vertical="center"/>
    </xf>
    <xf numFmtId="3" fontId="7" fillId="0" borderId="0" xfId="0" applyNumberFormat="1" applyFont="1" applyAlignment="1">
      <alignment horizontal="right"/>
    </xf>
    <xf numFmtId="0" fontId="7" fillId="0" borderId="0" xfId="0" applyFont="1" applyAlignment="1">
      <alignment horizontal="center"/>
    </xf>
    <xf numFmtId="3" fontId="7" fillId="0" borderId="0" xfId="0" applyNumberFormat="1" applyFont="1" applyAlignment="1">
      <alignment horizontal="center"/>
    </xf>
    <xf numFmtId="0" fontId="8" fillId="0" borderId="0" xfId="0" applyFont="1" applyAlignment="1">
      <alignment vertical="center"/>
    </xf>
    <xf numFmtId="0" fontId="8" fillId="0" borderId="0" xfId="0" applyFont="1"/>
    <xf numFmtId="3" fontId="11" fillId="0" borderId="0" xfId="0" applyNumberFormat="1" applyFont="1"/>
    <xf numFmtId="3" fontId="7" fillId="0" borderId="4" xfId="0" applyNumberFormat="1" applyFont="1" applyBorder="1"/>
    <xf numFmtId="0" fontId="7" fillId="0" borderId="6" xfId="0" applyFont="1" applyBorder="1" applyAlignment="1">
      <alignment vertical="center"/>
    </xf>
    <xf numFmtId="0" fontId="13" fillId="0" borderId="0" xfId="0" applyFont="1" applyAlignment="1">
      <alignment horizontal="center"/>
    </xf>
    <xf numFmtId="0" fontId="7" fillId="0" borderId="0" xfId="0" applyFont="1" applyAlignment="1">
      <alignment horizontal="right"/>
    </xf>
    <xf numFmtId="0" fontId="14" fillId="0" borderId="0" xfId="0" applyFont="1" applyAlignment="1">
      <alignment horizontal="center"/>
    </xf>
    <xf numFmtId="3" fontId="14" fillId="0" borderId="0" xfId="0" applyNumberFormat="1" applyFont="1" applyAlignment="1">
      <alignment horizontal="center"/>
    </xf>
    <xf numFmtId="3" fontId="14" fillId="0" borderId="0" xfId="0" applyNumberFormat="1" applyFont="1"/>
    <xf numFmtId="3" fontId="15" fillId="0" borderId="0" xfId="0" applyNumberFormat="1" applyFont="1" applyAlignment="1">
      <alignment horizontal="right"/>
    </xf>
    <xf numFmtId="0" fontId="14" fillId="0" borderId="0" xfId="0" applyFont="1"/>
    <xf numFmtId="0" fontId="13" fillId="0" borderId="8" xfId="0" applyFont="1" applyBorder="1" applyAlignment="1">
      <alignment horizontal="center"/>
    </xf>
    <xf numFmtId="3" fontId="13" fillId="0" borderId="8" xfId="0" applyNumberFormat="1" applyFont="1" applyBorder="1" applyAlignment="1">
      <alignment horizontal="center"/>
    </xf>
    <xf numFmtId="3" fontId="13" fillId="0" borderId="0" xfId="0" applyNumberFormat="1" applyFont="1" applyAlignment="1">
      <alignment horizontal="center"/>
    </xf>
    <xf numFmtId="3" fontId="16" fillId="0" borderId="0" xfId="0" applyNumberFormat="1" applyFont="1" applyAlignment="1">
      <alignment horizontal="center" vertical="center"/>
    </xf>
    <xf numFmtId="0" fontId="13" fillId="0" borderId="0" xfId="0" applyFont="1" applyAlignment="1">
      <alignment horizontal="center" vertical="center"/>
    </xf>
    <xf numFmtId="0" fontId="13" fillId="0" borderId="0" xfId="0" applyFont="1"/>
    <xf numFmtId="3" fontId="13" fillId="0" borderId="0" xfId="45" applyNumberFormat="1" applyFont="1" applyAlignment="1">
      <alignment horizontal="center"/>
    </xf>
    <xf numFmtId="3" fontId="7" fillId="0" borderId="9" xfId="45" applyNumberFormat="1" applyFont="1" applyBorder="1" applyAlignment="1">
      <alignment horizontal="center" vertical="center" textRotation="90" wrapText="1"/>
    </xf>
    <xf numFmtId="3" fontId="7" fillId="0" borderId="10" xfId="45" applyNumberFormat="1" applyFont="1" applyBorder="1" applyAlignment="1">
      <alignment horizontal="center" vertical="center" textRotation="90" wrapText="1"/>
    </xf>
    <xf numFmtId="3" fontId="14" fillId="0" borderId="10" xfId="45" applyNumberFormat="1" applyFont="1" applyBorder="1" applyAlignment="1">
      <alignment horizontal="center" vertical="center" wrapText="1"/>
    </xf>
    <xf numFmtId="3" fontId="8" fillId="0" borderId="10" xfId="45" applyNumberFormat="1" applyFont="1" applyBorder="1" applyAlignment="1">
      <alignment horizontal="center" vertical="center" wrapText="1"/>
    </xf>
    <xf numFmtId="3" fontId="7" fillId="0" borderId="11" xfId="45" applyNumberFormat="1" applyFont="1" applyBorder="1" applyAlignment="1">
      <alignment horizontal="center" vertical="center" wrapText="1"/>
    </xf>
    <xf numFmtId="3" fontId="7" fillId="0" borderId="10" xfId="45" applyNumberFormat="1" applyFont="1" applyBorder="1" applyAlignment="1">
      <alignment horizontal="center" vertical="center" wrapText="1"/>
    </xf>
    <xf numFmtId="3" fontId="7" fillId="0" borderId="2" xfId="45" applyNumberFormat="1" applyFont="1" applyBorder="1" applyAlignment="1">
      <alignment horizontal="center" vertical="center" wrapText="1"/>
    </xf>
    <xf numFmtId="3" fontId="8" fillId="0" borderId="12" xfId="45" applyNumberFormat="1" applyFont="1" applyBorder="1" applyAlignment="1">
      <alignment horizontal="center" vertical="center" wrapText="1"/>
    </xf>
    <xf numFmtId="3" fontId="7" fillId="0" borderId="0" xfId="45" applyNumberFormat="1" applyFont="1"/>
    <xf numFmtId="3" fontId="7" fillId="0" borderId="13" xfId="45" applyNumberFormat="1" applyFont="1" applyBorder="1" applyAlignment="1">
      <alignment horizontal="center" textRotation="90" wrapText="1"/>
    </xf>
    <xf numFmtId="3" fontId="8" fillId="0" borderId="14" xfId="45" applyNumberFormat="1" applyFont="1" applyBorder="1" applyAlignment="1">
      <alignment horizontal="left" textRotation="90" wrapText="1"/>
    </xf>
    <xf numFmtId="3" fontId="7" fillId="0" borderId="14" xfId="45" applyNumberFormat="1" applyFont="1" applyBorder="1" applyAlignment="1">
      <alignment horizontal="center" wrapText="1"/>
    </xf>
    <xf numFmtId="3" fontId="8" fillId="0" borderId="14" xfId="45" applyNumberFormat="1" applyFont="1" applyBorder="1" applyAlignment="1">
      <alignment horizontal="left" wrapText="1"/>
    </xf>
    <xf numFmtId="3" fontId="8" fillId="0" borderId="14" xfId="45" applyNumberFormat="1" applyFont="1" applyBorder="1" applyAlignment="1">
      <alignment horizontal="right" wrapText="1"/>
    </xf>
    <xf numFmtId="3" fontId="8" fillId="0" borderId="15" xfId="45" applyNumberFormat="1" applyFont="1" applyBorder="1" applyAlignment="1">
      <alignment horizontal="right" wrapText="1"/>
    </xf>
    <xf numFmtId="3" fontId="8" fillId="0" borderId="0" xfId="45" applyNumberFormat="1" applyFont="1" applyAlignment="1">
      <alignment horizontal="left"/>
    </xf>
    <xf numFmtId="3" fontId="7" fillId="0" borderId="17" xfId="45" applyNumberFormat="1" applyFont="1" applyBorder="1" applyAlignment="1">
      <alignment horizontal="center" wrapText="1"/>
    </xf>
    <xf numFmtId="3" fontId="8" fillId="0" borderId="18" xfId="45" applyNumberFormat="1" applyFont="1" applyBorder="1" applyAlignment="1">
      <alignment horizontal="right" wrapText="1"/>
    </xf>
    <xf numFmtId="0" fontId="7" fillId="0" borderId="17" xfId="0" applyFont="1" applyBorder="1" applyAlignment="1">
      <alignment horizontal="center"/>
    </xf>
    <xf numFmtId="3" fontId="8" fillId="0" borderId="18" xfId="0" applyNumberFormat="1" applyFont="1" applyBorder="1" applyAlignment="1">
      <alignment horizontal="right"/>
    </xf>
    <xf numFmtId="0" fontId="7" fillId="0" borderId="17" xfId="0" applyFont="1" applyBorder="1" applyAlignment="1">
      <alignment horizontal="center" vertical="top"/>
    </xf>
    <xf numFmtId="3" fontId="7" fillId="0" borderId="18" xfId="0" applyNumberFormat="1" applyFont="1" applyBorder="1" applyAlignment="1">
      <alignment horizontal="right"/>
    </xf>
    <xf numFmtId="3" fontId="7" fillId="0" borderId="0" xfId="0" applyNumberFormat="1" applyFont="1" applyAlignment="1">
      <alignment vertical="center"/>
    </xf>
    <xf numFmtId="3" fontId="7" fillId="0" borderId="18" xfId="0" applyNumberFormat="1" applyFont="1" applyBorder="1" applyAlignment="1">
      <alignment horizontal="right" vertical="center"/>
    </xf>
    <xf numFmtId="3" fontId="7" fillId="0" borderId="0" xfId="0" applyNumberFormat="1" applyFont="1" applyAlignment="1">
      <alignment horizontal="right" vertical="center"/>
    </xf>
    <xf numFmtId="49" fontId="7" fillId="0" borderId="17" xfId="0" applyNumberFormat="1" applyFont="1" applyBorder="1" applyAlignment="1">
      <alignment horizontal="center" vertical="center"/>
    </xf>
    <xf numFmtId="3" fontId="9" fillId="0" borderId="18" xfId="0" applyNumberFormat="1" applyFont="1" applyBorder="1" applyAlignment="1">
      <alignment horizontal="right"/>
    </xf>
    <xf numFmtId="49" fontId="7" fillId="0" borderId="17" xfId="0" applyNumberFormat="1" applyFont="1" applyBorder="1" applyAlignment="1">
      <alignment horizontal="center"/>
    </xf>
    <xf numFmtId="49" fontId="7" fillId="0" borderId="17" xfId="0" applyNumberFormat="1" applyFont="1" applyBorder="1" applyAlignment="1">
      <alignment horizontal="center" vertical="top"/>
    </xf>
    <xf numFmtId="0" fontId="8" fillId="0" borderId="4" xfId="0" applyFont="1" applyBorder="1" applyAlignment="1">
      <alignment horizontal="center"/>
    </xf>
    <xf numFmtId="0" fontId="7" fillId="0" borderId="4" xfId="0" applyFont="1" applyBorder="1" applyAlignment="1">
      <alignment horizontal="center" vertical="top"/>
    </xf>
    <xf numFmtId="0" fontId="8" fillId="0" borderId="4" xfId="0" applyFont="1" applyBorder="1" applyAlignment="1">
      <alignment wrapText="1"/>
    </xf>
    <xf numFmtId="3" fontId="8" fillId="0" borderId="4" xfId="0" applyNumberFormat="1" applyFont="1" applyBorder="1"/>
    <xf numFmtId="3" fontId="8" fillId="0" borderId="20" xfId="0" applyNumberFormat="1" applyFont="1" applyBorder="1" applyAlignment="1">
      <alignment horizontal="right"/>
    </xf>
    <xf numFmtId="3" fontId="7" fillId="0" borderId="21" xfId="45" applyNumberFormat="1" applyFont="1" applyBorder="1" applyAlignment="1">
      <alignment horizontal="center" textRotation="90" wrapText="1"/>
    </xf>
    <xf numFmtId="3" fontId="8" fillId="0" borderId="4" xfId="45" applyNumberFormat="1" applyFont="1" applyBorder="1" applyAlignment="1">
      <alignment horizontal="left" textRotation="90" wrapText="1"/>
    </xf>
    <xf numFmtId="3" fontId="7" fillId="0" borderId="4" xfId="45" applyNumberFormat="1" applyFont="1" applyBorder="1" applyAlignment="1">
      <alignment horizontal="center" wrapText="1"/>
    </xf>
    <xf numFmtId="3" fontId="8" fillId="0" borderId="4" xfId="45" applyNumberFormat="1" applyFont="1" applyBorder="1" applyAlignment="1">
      <alignment horizontal="left" wrapText="1"/>
    </xf>
    <xf numFmtId="3" fontId="8" fillId="0" borderId="4" xfId="45" applyNumberFormat="1" applyFont="1" applyBorder="1" applyAlignment="1">
      <alignment horizontal="right" wrapText="1"/>
    </xf>
    <xf numFmtId="3" fontId="8" fillId="0" borderId="22" xfId="45" applyNumberFormat="1" applyFont="1" applyBorder="1" applyAlignment="1">
      <alignment horizontal="right" wrapText="1"/>
    </xf>
    <xf numFmtId="3" fontId="8" fillId="0" borderId="23" xfId="45" applyNumberFormat="1" applyFont="1" applyBorder="1" applyAlignment="1">
      <alignment horizontal="right" wrapText="1"/>
    </xf>
    <xf numFmtId="0" fontId="7" fillId="0" borderId="17" xfId="0" applyFont="1" applyBorder="1" applyAlignment="1">
      <alignment horizontal="center" vertical="center"/>
    </xf>
    <xf numFmtId="0" fontId="8" fillId="0" borderId="23" xfId="0" applyFont="1" applyBorder="1" applyAlignment="1">
      <alignment horizontal="center" vertical="center"/>
    </xf>
    <xf numFmtId="0" fontId="7" fillId="0" borderId="23" xfId="0" applyFont="1" applyBorder="1" applyAlignment="1">
      <alignment horizontal="center" vertical="center"/>
    </xf>
    <xf numFmtId="0" fontId="8" fillId="0" borderId="23" xfId="0" applyFont="1" applyBorder="1" applyAlignment="1">
      <alignment vertical="center"/>
    </xf>
    <xf numFmtId="3" fontId="8" fillId="0" borderId="23" xfId="0" applyNumberFormat="1" applyFont="1" applyBorder="1" applyAlignment="1">
      <alignment vertical="center"/>
    </xf>
    <xf numFmtId="3" fontId="8" fillId="0" borderId="25" xfId="0" applyNumberFormat="1" applyFont="1" applyBorder="1" applyAlignment="1">
      <alignment horizontal="right" vertical="center"/>
    </xf>
    <xf numFmtId="3" fontId="9" fillId="0" borderId="23" xfId="0" applyNumberFormat="1" applyFont="1" applyBorder="1" applyAlignment="1">
      <alignment horizontal="right" vertical="center"/>
    </xf>
    <xf numFmtId="0" fontId="7" fillId="0" borderId="4" xfId="0" applyFont="1" applyBorder="1" applyAlignment="1">
      <alignment horizontal="center"/>
    </xf>
    <xf numFmtId="0" fontId="7" fillId="0" borderId="4" xfId="0" applyFont="1" applyBorder="1" applyAlignment="1">
      <alignment horizontal="left" wrapText="1" indent="1"/>
    </xf>
    <xf numFmtId="3" fontId="7" fillId="0" borderId="20" xfId="0" applyNumberFormat="1" applyFont="1" applyBorder="1" applyAlignment="1">
      <alignment horizontal="right"/>
    </xf>
    <xf numFmtId="0" fontId="7" fillId="0" borderId="26" xfId="0" applyFont="1" applyBorder="1" applyAlignment="1">
      <alignment horizontal="center" vertical="center"/>
    </xf>
    <xf numFmtId="0" fontId="8" fillId="0" borderId="6" xfId="0" applyFont="1" applyBorder="1" applyAlignment="1">
      <alignment horizontal="center" vertical="center"/>
    </xf>
    <xf numFmtId="0" fontId="7" fillId="0" borderId="6" xfId="0" applyFont="1" applyBorder="1" applyAlignment="1">
      <alignment horizontal="center" vertical="center"/>
    </xf>
    <xf numFmtId="0" fontId="8" fillId="0" borderId="6" xfId="0" applyFont="1" applyBorder="1" applyAlignment="1">
      <alignment vertical="center"/>
    </xf>
    <xf numFmtId="3" fontId="8" fillId="0" borderId="6" xfId="0" applyNumberFormat="1" applyFont="1" applyBorder="1" applyAlignment="1">
      <alignment vertical="center"/>
    </xf>
    <xf numFmtId="3" fontId="8" fillId="0" borderId="27" xfId="0" applyNumberFormat="1" applyFont="1" applyBorder="1" applyAlignment="1">
      <alignment horizontal="right" vertical="center"/>
    </xf>
    <xf numFmtId="3" fontId="8" fillId="0" borderId="6" xfId="0" applyNumberFormat="1" applyFont="1" applyBorder="1" applyAlignment="1">
      <alignment horizontal="right" vertical="center"/>
    </xf>
    <xf numFmtId="0" fontId="7" fillId="0" borderId="28" xfId="0" applyFont="1" applyBorder="1" applyAlignment="1">
      <alignment horizontal="center" vertical="center"/>
    </xf>
    <xf numFmtId="0" fontId="8" fillId="0" borderId="29" xfId="0" applyFont="1" applyBorder="1" applyAlignment="1">
      <alignment horizontal="center" vertical="center"/>
    </xf>
    <xf numFmtId="0" fontId="7" fillId="0" borderId="29" xfId="0" applyFont="1" applyBorder="1" applyAlignment="1">
      <alignment horizontal="center" vertical="center"/>
    </xf>
    <xf numFmtId="0" fontId="8" fillId="0" borderId="29" xfId="0" applyFont="1" applyBorder="1" applyAlignment="1">
      <alignment vertical="center"/>
    </xf>
    <xf numFmtId="3" fontId="8" fillId="0" borderId="29" xfId="0" applyNumberFormat="1" applyFont="1" applyBorder="1" applyAlignment="1">
      <alignment vertical="center"/>
    </xf>
    <xf numFmtId="3" fontId="8" fillId="0" borderId="30" xfId="0" applyNumberFormat="1" applyFont="1" applyBorder="1" applyAlignment="1">
      <alignment horizontal="right" vertical="center"/>
    </xf>
    <xf numFmtId="3" fontId="8" fillId="0" borderId="29" xfId="0" applyNumberFormat="1" applyFont="1" applyBorder="1" applyAlignment="1">
      <alignment horizontal="right" vertical="center"/>
    </xf>
    <xf numFmtId="3" fontId="8" fillId="0" borderId="18" xfId="0" applyNumberFormat="1" applyFont="1" applyBorder="1" applyAlignment="1">
      <alignment horizontal="right" vertical="center"/>
    </xf>
    <xf numFmtId="3" fontId="8" fillId="0" borderId="0" xfId="0" applyNumberFormat="1" applyFont="1" applyAlignment="1">
      <alignment horizontal="right" vertical="center"/>
    </xf>
    <xf numFmtId="0" fontId="7" fillId="0" borderId="21" xfId="0" applyFont="1" applyBorder="1" applyAlignment="1">
      <alignment horizontal="center" vertical="center"/>
    </xf>
    <xf numFmtId="0" fontId="8" fillId="0" borderId="23" xfId="0" applyFont="1" applyBorder="1" applyAlignment="1">
      <alignment vertical="center" shrinkToFit="1"/>
    </xf>
    <xf numFmtId="3" fontId="8" fillId="0" borderId="23" xfId="0" applyNumberFormat="1" applyFont="1" applyBorder="1" applyAlignment="1">
      <alignment horizontal="right" vertical="center"/>
    </xf>
    <xf numFmtId="0" fontId="7" fillId="0" borderId="4" xfId="0" applyFont="1" applyBorder="1" applyAlignment="1">
      <alignment horizontal="left" indent="1"/>
    </xf>
    <xf numFmtId="0" fontId="7" fillId="0" borderId="31" xfId="0" applyFont="1" applyBorder="1" applyAlignment="1">
      <alignment horizontal="center" vertical="center"/>
    </xf>
    <xf numFmtId="0" fontId="8" fillId="0" borderId="32" xfId="0" applyFont="1" applyBorder="1" applyAlignment="1">
      <alignment horizontal="center" vertical="center"/>
    </xf>
    <xf numFmtId="0" fontId="7" fillId="0" borderId="32" xfId="0" applyFont="1" applyBorder="1" applyAlignment="1">
      <alignment horizontal="center" vertical="center"/>
    </xf>
    <xf numFmtId="0" fontId="8" fillId="0" borderId="32" xfId="0" applyFont="1" applyBorder="1" applyAlignment="1">
      <alignment vertical="center"/>
    </xf>
    <xf numFmtId="3" fontId="8" fillId="0" borderId="32" xfId="0" applyNumberFormat="1" applyFont="1" applyBorder="1" applyAlignment="1">
      <alignment vertical="center"/>
    </xf>
    <xf numFmtId="3" fontId="8" fillId="0" borderId="33" xfId="0" applyNumberFormat="1" applyFont="1" applyBorder="1" applyAlignment="1">
      <alignment horizontal="right" vertical="center"/>
    </xf>
    <xf numFmtId="3" fontId="8" fillId="0" borderId="32" xfId="0" applyNumberFormat="1" applyFont="1" applyBorder="1" applyAlignment="1">
      <alignment horizontal="right" vertical="center"/>
    </xf>
    <xf numFmtId="3" fontId="13" fillId="0" borderId="0" xfId="45" applyNumberFormat="1" applyFont="1" applyAlignment="1">
      <alignment horizontal="center" vertical="center"/>
    </xf>
    <xf numFmtId="49" fontId="7" fillId="0" borderId="0" xfId="45" applyNumberFormat="1" applyFont="1" applyAlignment="1">
      <alignment horizontal="center"/>
    </xf>
    <xf numFmtId="3" fontId="7" fillId="0" borderId="0" xfId="45" applyNumberFormat="1" applyFont="1" applyAlignment="1">
      <alignment horizontal="center"/>
    </xf>
    <xf numFmtId="3" fontId="11" fillId="0" borderId="0" xfId="45" applyNumberFormat="1" applyFont="1"/>
    <xf numFmtId="3" fontId="7" fillId="0" borderId="0" xfId="45" applyNumberFormat="1" applyFont="1" applyAlignment="1">
      <alignment horizontal="right"/>
    </xf>
    <xf numFmtId="3" fontId="7" fillId="0" borderId="0" xfId="45" applyNumberFormat="1" applyFont="1" applyAlignment="1">
      <alignment vertical="center"/>
    </xf>
    <xf numFmtId="3" fontId="8" fillId="0" borderId="0" xfId="45" applyNumberFormat="1" applyFont="1" applyAlignment="1">
      <alignment horizontal="center"/>
    </xf>
    <xf numFmtId="3" fontId="11" fillId="0" borderId="0" xfId="45" applyNumberFormat="1" applyFont="1" applyAlignment="1">
      <alignment horizontal="right"/>
    </xf>
    <xf numFmtId="3" fontId="7" fillId="0" borderId="8" xfId="45" applyNumberFormat="1" applyFont="1" applyBorder="1" applyAlignment="1">
      <alignment horizontal="center"/>
    </xf>
    <xf numFmtId="3" fontId="11" fillId="0" borderId="0" xfId="45" applyNumberFormat="1" applyFont="1" applyAlignment="1">
      <alignment horizontal="center"/>
    </xf>
    <xf numFmtId="49" fontId="7" fillId="0" borderId="9" xfId="45" applyNumberFormat="1" applyFont="1" applyBorder="1" applyAlignment="1">
      <alignment horizontal="center" vertical="center" textRotation="90"/>
    </xf>
    <xf numFmtId="3" fontId="7" fillId="0" borderId="10" xfId="45" applyNumberFormat="1" applyFont="1" applyBorder="1" applyAlignment="1">
      <alignment horizontal="center" vertical="center" textRotation="90"/>
    </xf>
    <xf numFmtId="3" fontId="8" fillId="0" borderId="10" xfId="45" applyNumberFormat="1" applyFont="1" applyBorder="1" applyAlignment="1">
      <alignment horizontal="center" vertical="center"/>
    </xf>
    <xf numFmtId="3" fontId="7" fillId="0" borderId="34" xfId="45" applyNumberFormat="1" applyFont="1" applyBorder="1" applyAlignment="1">
      <alignment horizontal="center" vertical="center" wrapText="1"/>
    </xf>
    <xf numFmtId="3" fontId="7" fillId="0" borderId="0" xfId="45" applyNumberFormat="1" applyFont="1" applyAlignment="1">
      <alignment horizontal="center" vertical="center"/>
    </xf>
    <xf numFmtId="49" fontId="7" fillId="0" borderId="13" xfId="45" applyNumberFormat="1" applyFont="1" applyBorder="1" applyAlignment="1">
      <alignment horizontal="center"/>
    </xf>
    <xf numFmtId="3" fontId="8" fillId="0" borderId="14" xfId="45" applyNumberFormat="1" applyFont="1" applyBorder="1" applyAlignment="1">
      <alignment horizontal="center"/>
    </xf>
    <xf numFmtId="3" fontId="7" fillId="0" borderId="14" xfId="45" applyNumberFormat="1" applyFont="1" applyBorder="1" applyAlignment="1">
      <alignment horizontal="center"/>
    </xf>
    <xf numFmtId="3" fontId="8" fillId="0" borderId="14" xfId="45" applyNumberFormat="1" applyFont="1" applyBorder="1" applyAlignment="1">
      <alignment wrapText="1"/>
    </xf>
    <xf numFmtId="3" fontId="8" fillId="0" borderId="14" xfId="45" applyNumberFormat="1" applyFont="1" applyBorder="1"/>
    <xf numFmtId="3" fontId="8" fillId="0" borderId="15" xfId="45" applyNumberFormat="1" applyFont="1" applyBorder="1"/>
    <xf numFmtId="3" fontId="8" fillId="0" borderId="0" xfId="45" applyNumberFormat="1" applyFont="1"/>
    <xf numFmtId="49" fontId="7" fillId="0" borderId="17" xfId="45" applyNumberFormat="1" applyFont="1" applyBorder="1" applyAlignment="1">
      <alignment horizontal="center"/>
    </xf>
    <xf numFmtId="3" fontId="7" fillId="0" borderId="18" xfId="45" applyNumberFormat="1" applyFont="1" applyBorder="1"/>
    <xf numFmtId="49" fontId="7" fillId="0" borderId="21" xfId="45" applyNumberFormat="1" applyFont="1" applyBorder="1" applyAlignment="1">
      <alignment horizontal="center"/>
    </xf>
    <xf numFmtId="3" fontId="8" fillId="0" borderId="23" xfId="45" applyNumberFormat="1" applyFont="1" applyBorder="1" applyAlignment="1">
      <alignment horizontal="center"/>
    </xf>
    <xf numFmtId="3" fontId="7" fillId="0" borderId="23" xfId="45" applyNumberFormat="1" applyFont="1" applyBorder="1" applyAlignment="1">
      <alignment horizontal="center"/>
    </xf>
    <xf numFmtId="3" fontId="8" fillId="0" borderId="23" xfId="45" applyNumberFormat="1" applyFont="1" applyBorder="1"/>
    <xf numFmtId="3" fontId="8" fillId="0" borderId="25" xfId="45" applyNumberFormat="1" applyFont="1" applyBorder="1"/>
    <xf numFmtId="3" fontId="9" fillId="0" borderId="23" xfId="45" applyNumberFormat="1" applyFont="1" applyBorder="1"/>
    <xf numFmtId="3" fontId="8" fillId="0" borderId="18" xfId="45" applyNumberFormat="1" applyFont="1" applyBorder="1"/>
    <xf numFmtId="3" fontId="9" fillId="0" borderId="0" xfId="45" applyNumberFormat="1" applyFont="1"/>
    <xf numFmtId="49" fontId="11" fillId="0" borderId="17" xfId="45" applyNumberFormat="1" applyFont="1" applyBorder="1" applyAlignment="1">
      <alignment horizontal="center"/>
    </xf>
    <xf numFmtId="3" fontId="11" fillId="0" borderId="18" xfId="45" applyNumberFormat="1" applyFont="1" applyBorder="1"/>
    <xf numFmtId="3" fontId="11" fillId="0" borderId="19" xfId="45" applyNumberFormat="1" applyFont="1" applyBorder="1"/>
    <xf numFmtId="3" fontId="7" fillId="0" borderId="18" xfId="45" applyNumberFormat="1" applyFont="1" applyBorder="1" applyAlignment="1">
      <alignment vertical="center"/>
    </xf>
    <xf numFmtId="49" fontId="7" fillId="0" borderId="17" xfId="45" applyNumberFormat="1" applyFont="1" applyBorder="1" applyAlignment="1">
      <alignment horizontal="center" vertical="center"/>
    </xf>
    <xf numFmtId="3" fontId="8" fillId="0" borderId="0" xfId="45" applyNumberFormat="1" applyFont="1" applyAlignment="1">
      <alignment vertical="center"/>
    </xf>
    <xf numFmtId="3" fontId="8" fillId="0" borderId="18" xfId="45" applyNumberFormat="1" applyFont="1" applyBorder="1" applyAlignment="1">
      <alignment vertical="center"/>
    </xf>
    <xf numFmtId="49" fontId="7" fillId="0" borderId="1" xfId="45" applyNumberFormat="1" applyFont="1" applyBorder="1" applyAlignment="1">
      <alignment horizontal="center" vertical="center"/>
    </xf>
    <xf numFmtId="3" fontId="8" fillId="0" borderId="2" xfId="45" applyNumberFormat="1" applyFont="1" applyBorder="1" applyAlignment="1">
      <alignment horizontal="center" vertical="center"/>
    </xf>
    <xf numFmtId="3" fontId="7" fillId="0" borderId="2" xfId="45" applyNumberFormat="1" applyFont="1" applyBorder="1" applyAlignment="1">
      <alignment horizontal="center" vertical="center"/>
    </xf>
    <xf numFmtId="3" fontId="8" fillId="0" borderId="2" xfId="45" applyNumberFormat="1" applyFont="1" applyBorder="1" applyAlignment="1">
      <alignment vertical="center"/>
    </xf>
    <xf numFmtId="3" fontId="8" fillId="0" borderId="12" xfId="45" applyNumberFormat="1" applyFont="1" applyBorder="1" applyAlignment="1">
      <alignment vertical="center"/>
    </xf>
    <xf numFmtId="49" fontId="7" fillId="0" borderId="17" xfId="45" applyNumberFormat="1" applyFont="1" applyBorder="1" applyAlignment="1">
      <alignment horizontal="center" vertical="top"/>
    </xf>
    <xf numFmtId="3" fontId="7" fillId="0" borderId="0" xfId="45" applyNumberFormat="1" applyFont="1" applyAlignment="1">
      <alignment vertical="top"/>
    </xf>
    <xf numFmtId="3" fontId="7" fillId="0" borderId="18" xfId="45" applyNumberFormat="1" applyFont="1" applyBorder="1" applyAlignment="1">
      <alignment vertical="top"/>
    </xf>
    <xf numFmtId="49" fontId="7" fillId="0" borderId="1" xfId="45" applyNumberFormat="1" applyFont="1" applyBorder="1" applyAlignment="1">
      <alignment horizontal="center"/>
    </xf>
    <xf numFmtId="3" fontId="7" fillId="0" borderId="2" xfId="45" applyNumberFormat="1" applyFont="1" applyBorder="1" applyAlignment="1">
      <alignment horizontal="center"/>
    </xf>
    <xf numFmtId="3" fontId="17" fillId="0" borderId="0" xfId="45" applyNumberFormat="1" applyFont="1" applyAlignment="1">
      <alignment horizontal="center" vertical="center"/>
    </xf>
    <xf numFmtId="3" fontId="14" fillId="0" borderId="46" xfId="0" applyNumberFormat="1" applyFont="1" applyBorder="1"/>
    <xf numFmtId="3" fontId="15" fillId="0" borderId="50" xfId="0" applyNumberFormat="1" applyFont="1" applyBorder="1"/>
    <xf numFmtId="0" fontId="21" fillId="0" borderId="51" xfId="47" applyFont="1" applyBorder="1" applyAlignment="1">
      <alignment horizontal="left"/>
    </xf>
    <xf numFmtId="3" fontId="21" fillId="0" borderId="46" xfId="0" applyNumberFormat="1" applyFont="1" applyBorder="1"/>
    <xf numFmtId="0" fontId="15" fillId="0" borderId="52" xfId="47" applyFont="1" applyBorder="1" applyAlignment="1">
      <alignment horizontal="left"/>
    </xf>
    <xf numFmtId="3" fontId="15" fillId="0" borderId="46" xfId="0" applyNumberFormat="1" applyFont="1" applyBorder="1"/>
    <xf numFmtId="3" fontId="23" fillId="0" borderId="61" xfId="0" applyNumberFormat="1" applyFont="1" applyBorder="1"/>
    <xf numFmtId="3" fontId="21" fillId="0" borderId="61" xfId="0" applyNumberFormat="1" applyFont="1" applyBorder="1"/>
    <xf numFmtId="3" fontId="21" fillId="0" borderId="58" xfId="0" applyNumberFormat="1" applyFont="1" applyBorder="1"/>
    <xf numFmtId="0" fontId="21" fillId="0" borderId="46" xfId="47" applyFont="1" applyBorder="1" applyAlignment="1">
      <alignment horizontal="left"/>
    </xf>
    <xf numFmtId="3" fontId="21" fillId="0" borderId="46" xfId="0" applyNumberFormat="1" applyFont="1" applyBorder="1" applyAlignment="1">
      <alignment horizontal="right"/>
    </xf>
    <xf numFmtId="3" fontId="15" fillId="0" borderId="0" xfId="0" applyNumberFormat="1" applyFont="1" applyAlignment="1">
      <alignment horizontal="right" vertical="center"/>
    </xf>
    <xf numFmtId="3" fontId="21" fillId="0" borderId="40" xfId="0" applyNumberFormat="1" applyFont="1" applyBorder="1" applyAlignment="1">
      <alignment horizontal="right"/>
    </xf>
    <xf numFmtId="3" fontId="23" fillId="0" borderId="68" xfId="0" applyNumberFormat="1" applyFont="1" applyBorder="1" applyAlignment="1">
      <alignment horizontal="right"/>
    </xf>
    <xf numFmtId="3" fontId="23" fillId="0" borderId="40" xfId="0" applyNumberFormat="1" applyFont="1" applyBorder="1" applyAlignment="1">
      <alignment horizontal="right"/>
    </xf>
    <xf numFmtId="3" fontId="13" fillId="0" borderId="0" xfId="0" applyNumberFormat="1" applyFont="1"/>
    <xf numFmtId="0" fontId="13" fillId="0" borderId="0" xfId="50" applyFont="1" applyAlignment="1" applyProtection="1">
      <alignment horizontal="center" vertical="center"/>
      <protection locked="0"/>
    </xf>
    <xf numFmtId="0" fontId="14" fillId="0" borderId="0" xfId="50" applyFont="1" applyAlignment="1" applyProtection="1">
      <alignment horizontal="center" vertical="center"/>
      <protection locked="0"/>
    </xf>
    <xf numFmtId="0" fontId="14" fillId="0" borderId="0" xfId="50" applyFont="1" applyAlignment="1" applyProtection="1">
      <alignment horizontal="center" vertical="top"/>
      <protection locked="0"/>
    </xf>
    <xf numFmtId="0" fontId="14" fillId="0" borderId="0" xfId="50" applyFont="1" applyAlignment="1" applyProtection="1">
      <alignment wrapText="1"/>
      <protection locked="0"/>
    </xf>
    <xf numFmtId="3" fontId="14" fillId="0" borderId="0" xfId="50" applyNumberFormat="1" applyFont="1" applyAlignment="1" applyProtection="1">
      <alignment horizontal="center" vertical="center" wrapText="1"/>
      <protection locked="0"/>
    </xf>
    <xf numFmtId="3" fontId="14" fillId="0" borderId="0" xfId="50" applyNumberFormat="1" applyFont="1" applyProtection="1">
      <protection locked="0"/>
    </xf>
    <xf numFmtId="3" fontId="14" fillId="0" borderId="0" xfId="50" applyNumberFormat="1" applyFont="1" applyAlignment="1" applyProtection="1">
      <alignment horizontal="right"/>
      <protection locked="0"/>
    </xf>
    <xf numFmtId="3" fontId="15" fillId="0" borderId="0" xfId="50" applyNumberFormat="1" applyFont="1" applyProtection="1">
      <protection locked="0"/>
    </xf>
    <xf numFmtId="0" fontId="14" fillId="0" borderId="0" xfId="50" applyFont="1" applyProtection="1">
      <protection locked="0"/>
    </xf>
    <xf numFmtId="0" fontId="7" fillId="0" borderId="0" xfId="32" applyFont="1" applyAlignment="1" applyProtection="1">
      <alignment horizontal="center" vertical="center"/>
      <protection locked="0"/>
    </xf>
    <xf numFmtId="3" fontId="7" fillId="0" borderId="0" xfId="32" applyNumberFormat="1" applyFont="1" applyProtection="1">
      <protection locked="0"/>
    </xf>
    <xf numFmtId="3" fontId="7" fillId="0" borderId="0" xfId="32" applyNumberFormat="1" applyFont="1" applyAlignment="1" applyProtection="1">
      <alignment horizontal="right"/>
      <protection locked="0"/>
    </xf>
    <xf numFmtId="3" fontId="7" fillId="0" borderId="0" xfId="50" applyNumberFormat="1" applyFont="1" applyAlignment="1" applyProtection="1">
      <alignment horizontal="right"/>
      <protection locked="0"/>
    </xf>
    <xf numFmtId="3" fontId="11" fillId="0" borderId="0" xfId="32" applyNumberFormat="1" applyFont="1" applyProtection="1">
      <protection locked="0"/>
    </xf>
    <xf numFmtId="0" fontId="7" fillId="0" borderId="0" xfId="32" applyFont="1" applyProtection="1">
      <protection locked="0"/>
    </xf>
    <xf numFmtId="0" fontId="7" fillId="0" borderId="0" xfId="50" applyFont="1" applyProtection="1">
      <protection locked="0"/>
    </xf>
    <xf numFmtId="0" fontId="7" fillId="0" borderId="0" xfId="50" applyFont="1" applyAlignment="1" applyProtection="1">
      <alignment horizontal="center" vertical="center"/>
      <protection locked="0"/>
    </xf>
    <xf numFmtId="3" fontId="15" fillId="0" borderId="0" xfId="50" applyNumberFormat="1" applyFont="1" applyAlignment="1" applyProtection="1">
      <alignment horizontal="right"/>
      <protection locked="0"/>
    </xf>
    <xf numFmtId="0" fontId="13" fillId="0" borderId="0" xfId="50" applyFont="1" applyAlignment="1" applyProtection="1">
      <alignment horizontal="center"/>
      <protection locked="0"/>
    </xf>
    <xf numFmtId="0" fontId="13" fillId="0" borderId="0" xfId="51" applyFont="1" applyAlignment="1" applyProtection="1">
      <alignment horizontal="center" wrapText="1"/>
      <protection locked="0"/>
    </xf>
    <xf numFmtId="3" fontId="13" fillId="0" borderId="0" xfId="51" applyNumberFormat="1" applyFont="1" applyAlignment="1" applyProtection="1">
      <alignment horizontal="center"/>
      <protection locked="0"/>
    </xf>
    <xf numFmtId="3" fontId="16" fillId="0" borderId="0" xfId="50" applyNumberFormat="1" applyFont="1" applyAlignment="1" applyProtection="1">
      <alignment horizontal="center"/>
      <protection locked="0"/>
    </xf>
    <xf numFmtId="0" fontId="13" fillId="0" borderId="0" xfId="0" applyFont="1" applyProtection="1">
      <protection locked="0"/>
    </xf>
    <xf numFmtId="3" fontId="14" fillId="0" borderId="0" xfId="50" applyNumberFormat="1" applyFont="1" applyAlignment="1" applyProtection="1">
      <alignment horizontal="center" vertical="center"/>
      <protection locked="0"/>
    </xf>
    <xf numFmtId="0" fontId="14" fillId="0" borderId="39" xfId="51" applyFont="1" applyBorder="1" applyAlignment="1" applyProtection="1">
      <alignment horizontal="center"/>
      <protection locked="0"/>
    </xf>
    <xf numFmtId="3" fontId="29" fillId="0" borderId="40" xfId="49" applyNumberFormat="1" applyFont="1" applyBorder="1" applyAlignment="1" applyProtection="1">
      <alignment horizontal="left"/>
      <protection locked="0"/>
    </xf>
    <xf numFmtId="0" fontId="29" fillId="0" borderId="40" xfId="50" applyFont="1" applyBorder="1" applyAlignment="1" applyProtection="1">
      <alignment horizontal="left" wrapText="1"/>
      <protection locked="0"/>
    </xf>
    <xf numFmtId="0" fontId="14" fillId="0" borderId="40" xfId="51" applyFont="1" applyBorder="1" applyAlignment="1" applyProtection="1">
      <alignment horizontal="center"/>
      <protection locked="0"/>
    </xf>
    <xf numFmtId="3" fontId="14" fillId="0" borderId="40" xfId="51" applyNumberFormat="1" applyFont="1" applyBorder="1" applyProtection="1">
      <protection locked="0"/>
    </xf>
    <xf numFmtId="3" fontId="14" fillId="0" borderId="40" xfId="50" applyNumberFormat="1" applyFont="1" applyBorder="1" applyProtection="1">
      <protection locked="0"/>
    </xf>
    <xf numFmtId="3" fontId="14" fillId="0" borderId="51" xfId="50" applyNumberFormat="1" applyFont="1" applyBorder="1" applyAlignment="1" applyProtection="1">
      <alignment horizontal="right"/>
      <protection locked="0"/>
    </xf>
    <xf numFmtId="3" fontId="14" fillId="0" borderId="85" xfId="50" applyNumberFormat="1" applyFont="1" applyBorder="1" applyAlignment="1" applyProtection="1">
      <alignment horizontal="left"/>
      <protection locked="0"/>
    </xf>
    <xf numFmtId="3" fontId="14" fillId="0" borderId="42" xfId="50" applyNumberFormat="1" applyFont="1" applyBorder="1" applyAlignment="1" applyProtection="1">
      <alignment horizontal="left"/>
      <protection locked="0"/>
    </xf>
    <xf numFmtId="0" fontId="14" fillId="0" borderId="0" xfId="50" applyFont="1" applyAlignment="1" applyProtection="1">
      <alignment horizontal="left"/>
      <protection locked="0"/>
    </xf>
    <xf numFmtId="3" fontId="14" fillId="0" borderId="46" xfId="49" applyNumberFormat="1" applyFont="1" applyBorder="1" applyAlignment="1" applyProtection="1">
      <alignment horizontal="center" vertical="top"/>
      <protection locked="0"/>
    </xf>
    <xf numFmtId="0" fontId="14" fillId="0" borderId="40" xfId="50" applyFont="1" applyBorder="1" applyAlignment="1" applyProtection="1">
      <alignment horizontal="left" wrapText="1"/>
      <protection locked="0"/>
    </xf>
    <xf numFmtId="3" fontId="14" fillId="0" borderId="40" xfId="51" applyNumberFormat="1" applyFont="1" applyBorder="1" applyAlignment="1" applyProtection="1">
      <alignment vertical="center"/>
      <protection locked="0"/>
    </xf>
    <xf numFmtId="3" fontId="14" fillId="0" borderId="40" xfId="50" applyNumberFormat="1" applyFont="1" applyBorder="1" applyAlignment="1" applyProtection="1">
      <alignment vertical="center"/>
      <protection locked="0"/>
    </xf>
    <xf numFmtId="3" fontId="14" fillId="0" borderId="51" xfId="50" applyNumberFormat="1" applyFont="1" applyBorder="1" applyAlignment="1" applyProtection="1">
      <alignment horizontal="right" vertical="center"/>
      <protection locked="0"/>
    </xf>
    <xf numFmtId="3" fontId="14" fillId="0" borderId="85" xfId="50" applyNumberFormat="1" applyFont="1" applyBorder="1" applyAlignment="1" applyProtection="1">
      <alignment horizontal="right"/>
      <protection locked="0"/>
    </xf>
    <xf numFmtId="3" fontId="14" fillId="0" borderId="42" xfId="50" applyNumberFormat="1" applyFont="1" applyBorder="1" applyAlignment="1" applyProtection="1">
      <alignment horizontal="right"/>
      <protection locked="0"/>
    </xf>
    <xf numFmtId="3" fontId="14" fillId="0" borderId="46" xfId="49" applyNumberFormat="1" applyFont="1" applyBorder="1" applyAlignment="1" applyProtection="1">
      <alignment horizontal="center"/>
      <protection locked="0"/>
    </xf>
    <xf numFmtId="0" fontId="10" fillId="0" borderId="46" xfId="50" applyFont="1" applyBorder="1" applyProtection="1">
      <protection locked="0"/>
    </xf>
    <xf numFmtId="0" fontId="10" fillId="0" borderId="40" xfId="51" applyFont="1" applyBorder="1" applyAlignment="1" applyProtection="1">
      <alignment horizontal="left"/>
      <protection locked="0"/>
    </xf>
    <xf numFmtId="3" fontId="29" fillId="0" borderId="46" xfId="49" applyNumberFormat="1" applyFont="1" applyBorder="1" applyAlignment="1" applyProtection="1">
      <alignment horizontal="left"/>
      <protection locked="0"/>
    </xf>
    <xf numFmtId="0" fontId="10" fillId="0" borderId="46" xfId="50" applyFont="1" applyBorder="1" applyAlignment="1" applyProtection="1">
      <alignment horizontal="left"/>
      <protection locked="0"/>
    </xf>
    <xf numFmtId="0" fontId="14" fillId="0" borderId="46" xfId="50" applyFont="1" applyBorder="1" applyAlignment="1" applyProtection="1">
      <alignment horizontal="left" wrapText="1"/>
      <protection locked="0"/>
    </xf>
    <xf numFmtId="3" fontId="14" fillId="0" borderId="40" xfId="49" applyNumberFormat="1" applyFont="1" applyBorder="1" applyAlignment="1" applyProtection="1">
      <alignment horizontal="center"/>
      <protection locked="0"/>
    </xf>
    <xf numFmtId="3" fontId="21" fillId="0" borderId="40" xfId="51" applyNumberFormat="1" applyFont="1" applyBorder="1" applyProtection="1">
      <protection locked="0"/>
    </xf>
    <xf numFmtId="3" fontId="14" fillId="0" borderId="51" xfId="50" applyNumberFormat="1" applyFont="1" applyBorder="1" applyAlignment="1" applyProtection="1">
      <alignment horizontal="left"/>
      <protection locked="0"/>
    </xf>
    <xf numFmtId="0" fontId="21" fillId="0" borderId="46" xfId="50" applyFont="1" applyBorder="1" applyAlignment="1" applyProtection="1">
      <alignment wrapText="1"/>
      <protection locked="0"/>
    </xf>
    <xf numFmtId="0" fontId="30" fillId="0" borderId="46" xfId="50" applyFont="1" applyBorder="1" applyAlignment="1" applyProtection="1">
      <alignment horizontal="left"/>
      <protection locked="0"/>
    </xf>
    <xf numFmtId="3" fontId="14" fillId="0" borderId="40" xfId="49" applyNumberFormat="1" applyFont="1" applyBorder="1" applyAlignment="1" applyProtection="1">
      <alignment horizontal="center" vertical="top"/>
      <protection locked="0"/>
    </xf>
    <xf numFmtId="0" fontId="14" fillId="0" borderId="39" xfId="51" applyFont="1" applyBorder="1" applyAlignment="1" applyProtection="1">
      <alignment horizontal="center" vertical="top"/>
      <protection locked="0"/>
    </xf>
    <xf numFmtId="0" fontId="21" fillId="0" borderId="46" xfId="50" applyFont="1" applyBorder="1" applyAlignment="1" applyProtection="1">
      <alignment horizontal="left" wrapText="1"/>
      <protection locked="0"/>
    </xf>
    <xf numFmtId="0" fontId="14" fillId="0" borderId="40" xfId="51" applyFont="1" applyBorder="1" applyAlignment="1" applyProtection="1">
      <alignment horizontal="center" vertical="top"/>
      <protection locked="0"/>
    </xf>
    <xf numFmtId="3" fontId="14" fillId="0" borderId="40" xfId="50" applyNumberFormat="1" applyFont="1" applyBorder="1" applyAlignment="1" applyProtection="1">
      <alignment horizontal="right"/>
      <protection locked="0"/>
    </xf>
    <xf numFmtId="0" fontId="14" fillId="0" borderId="0" xfId="50" applyFont="1" applyAlignment="1" applyProtection="1">
      <alignment vertical="top"/>
      <protection locked="0"/>
    </xf>
    <xf numFmtId="3" fontId="31" fillId="0" borderId="85" xfId="50" applyNumberFormat="1" applyFont="1" applyBorder="1" applyAlignment="1" applyProtection="1">
      <alignment horizontal="right"/>
      <protection locked="0"/>
    </xf>
    <xf numFmtId="3" fontId="31" fillId="0" borderId="42" xfId="50" applyNumberFormat="1" applyFont="1" applyBorder="1" applyAlignment="1" applyProtection="1">
      <alignment horizontal="right"/>
      <protection locked="0"/>
    </xf>
    <xf numFmtId="3" fontId="14" fillId="0" borderId="40" xfId="51" applyNumberFormat="1" applyFont="1" applyBorder="1" applyAlignment="1" applyProtection="1">
      <alignment horizontal="right"/>
      <protection locked="0"/>
    </xf>
    <xf numFmtId="3" fontId="29" fillId="0" borderId="40" xfId="0" applyNumberFormat="1" applyFont="1" applyBorder="1" applyAlignment="1" applyProtection="1">
      <alignment horizontal="left"/>
      <protection locked="0"/>
    </xf>
    <xf numFmtId="3" fontId="14" fillId="0" borderId="93" xfId="50" applyNumberFormat="1" applyFont="1" applyBorder="1" applyAlignment="1" applyProtection="1">
      <alignment horizontal="right"/>
      <protection locked="0"/>
    </xf>
    <xf numFmtId="0" fontId="14" fillId="0" borderId="80" xfId="51" applyFont="1" applyBorder="1" applyAlignment="1" applyProtection="1">
      <alignment horizontal="center"/>
      <protection locked="0"/>
    </xf>
    <xf numFmtId="3" fontId="14" fillId="0" borderId="58" xfId="49" applyNumberFormat="1" applyFont="1" applyBorder="1" applyAlignment="1" applyProtection="1">
      <alignment horizontal="center"/>
      <protection locked="0"/>
    </xf>
    <xf numFmtId="0" fontId="14" fillId="0" borderId="93" xfId="50" applyFont="1" applyBorder="1" applyAlignment="1" applyProtection="1">
      <alignment horizontal="left" wrapText="1"/>
      <protection locked="0"/>
    </xf>
    <xf numFmtId="0" fontId="14" fillId="0" borderId="68" xfId="51" applyFont="1" applyBorder="1" applyAlignment="1" applyProtection="1">
      <alignment horizontal="center"/>
      <protection locked="0"/>
    </xf>
    <xf numFmtId="3" fontId="14" fillId="0" borderId="68" xfId="51" applyNumberFormat="1" applyFont="1" applyBorder="1" applyProtection="1">
      <protection locked="0"/>
    </xf>
    <xf numFmtId="3" fontId="14" fillId="0" borderId="68" xfId="50" applyNumberFormat="1" applyFont="1" applyBorder="1" applyProtection="1">
      <protection locked="0"/>
    </xf>
    <xf numFmtId="3" fontId="14" fillId="0" borderId="94" xfId="50" applyNumberFormat="1" applyFont="1" applyBorder="1" applyAlignment="1" applyProtection="1">
      <alignment horizontal="right"/>
      <protection locked="0"/>
    </xf>
    <xf numFmtId="3" fontId="14" fillId="0" borderId="18" xfId="50" applyNumberFormat="1" applyFont="1" applyBorder="1" applyAlignment="1" applyProtection="1">
      <alignment horizontal="right"/>
      <protection locked="0"/>
    </xf>
    <xf numFmtId="3" fontId="14" fillId="0" borderId="58" xfId="50" applyNumberFormat="1" applyFont="1" applyBorder="1" applyAlignment="1" applyProtection="1">
      <alignment horizontal="right"/>
      <protection locked="0"/>
    </xf>
    <xf numFmtId="0" fontId="14" fillId="0" borderId="106" xfId="51" applyFont="1" applyBorder="1" applyAlignment="1" applyProtection="1">
      <alignment horizontal="center"/>
      <protection locked="0"/>
    </xf>
    <xf numFmtId="3" fontId="14" fillId="0" borderId="53" xfId="49" applyNumberFormat="1" applyFont="1" applyBorder="1" applyAlignment="1" applyProtection="1">
      <alignment horizontal="center"/>
      <protection locked="0"/>
    </xf>
    <xf numFmtId="0" fontId="14" fillId="0" borderId="90" xfId="50" applyFont="1" applyBorder="1" applyAlignment="1" applyProtection="1">
      <alignment horizontal="left" wrapText="1"/>
      <protection locked="0"/>
    </xf>
    <xf numFmtId="0" fontId="14" fillId="0" borderId="53" xfId="51" applyFont="1" applyBorder="1" applyAlignment="1" applyProtection="1">
      <alignment horizontal="center"/>
      <protection locked="0"/>
    </xf>
    <xf numFmtId="3" fontId="14" fillId="0" borderId="53" xfId="51" applyNumberFormat="1" applyFont="1" applyBorder="1" applyProtection="1">
      <protection locked="0"/>
    </xf>
    <xf numFmtId="3" fontId="14" fillId="0" borderId="53" xfId="50" applyNumberFormat="1" applyFont="1" applyBorder="1" applyProtection="1">
      <protection locked="0"/>
    </xf>
    <xf numFmtId="3" fontId="14" fillId="0" borderId="65" xfId="50" applyNumberFormat="1" applyFont="1" applyBorder="1" applyAlignment="1" applyProtection="1">
      <alignment horizontal="right"/>
      <protection locked="0"/>
    </xf>
    <xf numFmtId="3" fontId="14" fillId="0" borderId="107" xfId="50" applyNumberFormat="1" applyFont="1" applyBorder="1" applyAlignment="1" applyProtection="1">
      <alignment horizontal="right"/>
      <protection locked="0"/>
    </xf>
    <xf numFmtId="3" fontId="14" fillId="0" borderId="53" xfId="50" applyNumberFormat="1" applyFont="1" applyBorder="1" applyAlignment="1" applyProtection="1">
      <alignment horizontal="right"/>
      <protection locked="0"/>
    </xf>
    <xf numFmtId="0" fontId="21" fillId="0" borderId="109" xfId="51" applyFont="1" applyBorder="1" applyAlignment="1" applyProtection="1">
      <alignment horizontal="center" vertical="center"/>
      <protection locked="0"/>
    </xf>
    <xf numFmtId="3" fontId="21" fillId="0" borderId="109" xfId="51" applyNumberFormat="1" applyFont="1" applyBorder="1" applyAlignment="1" applyProtection="1">
      <alignment vertical="center"/>
      <protection locked="0"/>
    </xf>
    <xf numFmtId="3" fontId="21" fillId="0" borderId="109" xfId="50" applyNumberFormat="1" applyFont="1" applyBorder="1" applyAlignment="1" applyProtection="1">
      <alignment vertical="center"/>
      <protection locked="0"/>
    </xf>
    <xf numFmtId="3" fontId="21" fillId="0" borderId="110" xfId="50" applyNumberFormat="1" applyFont="1" applyBorder="1" applyAlignment="1" applyProtection="1">
      <alignment horizontal="right" vertical="center"/>
      <protection locked="0"/>
    </xf>
    <xf numFmtId="3" fontId="21" fillId="0" borderId="30" xfId="50" applyNumberFormat="1" applyFont="1" applyBorder="1" applyAlignment="1" applyProtection="1">
      <alignment horizontal="right" vertical="center"/>
      <protection locked="0"/>
    </xf>
    <xf numFmtId="3" fontId="10" fillId="0" borderId="109" xfId="50" applyNumberFormat="1" applyFont="1" applyBorder="1" applyAlignment="1" applyProtection="1">
      <alignment horizontal="right" vertical="center"/>
      <protection locked="0"/>
    </xf>
    <xf numFmtId="0" fontId="21" fillId="0" borderId="0" xfId="50" applyFont="1" applyAlignment="1" applyProtection="1">
      <alignment horizontal="left" vertical="center"/>
      <protection locked="0"/>
    </xf>
    <xf numFmtId="3" fontId="29" fillId="0" borderId="51" xfId="0" applyNumberFormat="1" applyFont="1" applyBorder="1" applyAlignment="1" applyProtection="1">
      <alignment horizontal="left"/>
      <protection locked="0"/>
    </xf>
    <xf numFmtId="3" fontId="21" fillId="0" borderId="109" xfId="50" applyNumberFormat="1" applyFont="1" applyBorder="1" applyAlignment="1" applyProtection="1">
      <alignment horizontal="right" vertical="center"/>
      <protection locked="0"/>
    </xf>
    <xf numFmtId="0" fontId="21" fillId="0" borderId="104" xfId="51" applyFont="1" applyBorder="1" applyAlignment="1" applyProtection="1">
      <alignment horizontal="center" vertical="center"/>
      <protection locked="0"/>
    </xf>
    <xf numFmtId="3" fontId="21" fillId="0" borderId="104" xfId="51" applyNumberFormat="1" applyFont="1" applyBorder="1" applyAlignment="1" applyProtection="1">
      <alignment vertical="center"/>
      <protection locked="0"/>
    </xf>
    <xf numFmtId="3" fontId="21" fillId="0" borderId="104" xfId="50" applyNumberFormat="1" applyFont="1" applyBorder="1" applyAlignment="1" applyProtection="1">
      <alignment vertical="center"/>
      <protection locked="0"/>
    </xf>
    <xf numFmtId="3" fontId="21" fillId="0" borderId="112" xfId="50" applyNumberFormat="1" applyFont="1" applyBorder="1" applyAlignment="1" applyProtection="1">
      <alignment horizontal="right" vertical="center"/>
      <protection locked="0"/>
    </xf>
    <xf numFmtId="3" fontId="21" fillId="0" borderId="12" xfId="50" applyNumberFormat="1" applyFont="1" applyBorder="1" applyAlignment="1" applyProtection="1">
      <alignment horizontal="right" vertical="center"/>
      <protection locked="0"/>
    </xf>
    <xf numFmtId="3" fontId="21" fillId="0" borderId="104" xfId="50" applyNumberFormat="1" applyFont="1" applyBorder="1" applyAlignment="1" applyProtection="1">
      <alignment horizontal="right" vertical="center"/>
      <protection locked="0"/>
    </xf>
    <xf numFmtId="0" fontId="21" fillId="0" borderId="73" xfId="51" applyFont="1" applyBorder="1" applyAlignment="1" applyProtection="1">
      <alignment horizontal="center" vertical="center"/>
      <protection locked="0"/>
    </xf>
    <xf numFmtId="0" fontId="21" fillId="0" borderId="74" xfId="51" applyFont="1" applyBorder="1" applyAlignment="1" applyProtection="1">
      <alignment horizontal="center" vertical="center"/>
      <protection locked="0"/>
    </xf>
    <xf numFmtId="3" fontId="21" fillId="0" borderId="74" xfId="51" applyNumberFormat="1" applyFont="1" applyBorder="1" applyAlignment="1" applyProtection="1">
      <alignment vertical="center"/>
      <protection locked="0"/>
    </xf>
    <xf numFmtId="3" fontId="21" fillId="0" borderId="74" xfId="50" applyNumberFormat="1" applyFont="1" applyBorder="1" applyAlignment="1" applyProtection="1">
      <alignment vertical="center"/>
      <protection locked="0"/>
    </xf>
    <xf numFmtId="3" fontId="21" fillId="0" borderId="75" xfId="50" applyNumberFormat="1" applyFont="1" applyBorder="1" applyAlignment="1" applyProtection="1">
      <alignment horizontal="right" vertical="center"/>
      <protection locked="0"/>
    </xf>
    <xf numFmtId="3" fontId="21" fillId="0" borderId="79" xfId="50" applyNumberFormat="1" applyFont="1" applyBorder="1" applyAlignment="1" applyProtection="1">
      <alignment horizontal="right" vertical="center"/>
      <protection locked="0"/>
    </xf>
    <xf numFmtId="3" fontId="21" fillId="0" borderId="74" xfId="50" applyNumberFormat="1" applyFont="1" applyBorder="1" applyAlignment="1" applyProtection="1">
      <alignment horizontal="right" vertical="center"/>
      <protection locked="0"/>
    </xf>
    <xf numFmtId="0" fontId="14" fillId="0" borderId="45" xfId="51" applyFont="1" applyBorder="1" applyAlignment="1" applyProtection="1">
      <alignment horizontal="center"/>
      <protection locked="0"/>
    </xf>
    <xf numFmtId="0" fontId="21" fillId="0" borderId="46" xfId="51" applyFont="1" applyBorder="1" applyAlignment="1" applyProtection="1">
      <alignment horizontal="center" vertical="center"/>
      <protection locked="0"/>
    </xf>
    <xf numFmtId="0" fontId="21" fillId="0" borderId="46" xfId="51" applyFont="1" applyBorder="1" applyAlignment="1" applyProtection="1">
      <alignment horizontal="left" vertical="center"/>
      <protection locked="0"/>
    </xf>
    <xf numFmtId="3" fontId="21" fillId="0" borderId="46" xfId="51" applyNumberFormat="1" applyFont="1" applyBorder="1" applyAlignment="1" applyProtection="1">
      <alignment vertical="center"/>
      <protection locked="0"/>
    </xf>
    <xf numFmtId="3" fontId="21" fillId="0" borderId="46" xfId="50" applyNumberFormat="1" applyFont="1" applyBorder="1" applyAlignment="1" applyProtection="1">
      <alignment vertical="center"/>
      <protection locked="0"/>
    </xf>
    <xf numFmtId="3" fontId="21" fillId="0" borderId="49" xfId="50" applyNumberFormat="1" applyFont="1" applyBorder="1" applyAlignment="1" applyProtection="1">
      <alignment horizontal="right" vertical="center"/>
      <protection locked="0"/>
    </xf>
    <xf numFmtId="3" fontId="21" fillId="0" borderId="48" xfId="50" applyNumberFormat="1" applyFont="1" applyBorder="1" applyAlignment="1" applyProtection="1">
      <alignment horizontal="right" vertical="center"/>
      <protection locked="0"/>
    </xf>
    <xf numFmtId="3" fontId="21" fillId="0" borderId="46" xfId="50" applyNumberFormat="1" applyFont="1" applyBorder="1" applyAlignment="1" applyProtection="1">
      <alignment horizontal="right" vertical="center"/>
      <protection locked="0"/>
    </xf>
    <xf numFmtId="0" fontId="21" fillId="0" borderId="83" xfId="51" applyFont="1" applyBorder="1" applyAlignment="1" applyProtection="1">
      <alignment horizontal="center" vertical="center"/>
      <protection locked="0"/>
    </xf>
    <xf numFmtId="0" fontId="14" fillId="0" borderId="71" xfId="50" applyFont="1" applyBorder="1" applyAlignment="1" applyProtection="1">
      <alignment horizontal="left" wrapText="1"/>
      <protection locked="0"/>
    </xf>
    <xf numFmtId="0" fontId="21" fillId="0" borderId="71" xfId="51" applyFont="1" applyBorder="1" applyAlignment="1" applyProtection="1">
      <alignment horizontal="center" vertical="center"/>
      <protection locked="0"/>
    </xf>
    <xf numFmtId="3" fontId="21" fillId="0" borderId="71" xfId="51" applyNumberFormat="1" applyFont="1" applyBorder="1" applyAlignment="1" applyProtection="1">
      <alignment vertical="center"/>
      <protection locked="0"/>
    </xf>
    <xf numFmtId="3" fontId="21" fillId="0" borderId="71" xfId="50" applyNumberFormat="1" applyFont="1" applyBorder="1" applyAlignment="1" applyProtection="1">
      <alignment vertical="center"/>
      <protection locked="0"/>
    </xf>
    <xf numFmtId="3" fontId="21" fillId="0" borderId="92" xfId="50" applyNumberFormat="1" applyFont="1" applyBorder="1" applyAlignment="1" applyProtection="1">
      <alignment horizontal="right" vertical="center"/>
      <protection locked="0"/>
    </xf>
    <xf numFmtId="3" fontId="21" fillId="0" borderId="113" xfId="50" applyNumberFormat="1" applyFont="1" applyBorder="1" applyAlignment="1" applyProtection="1">
      <alignment horizontal="right" vertical="center"/>
      <protection locked="0"/>
    </xf>
    <xf numFmtId="3" fontId="21" fillId="0" borderId="71" xfId="50" applyNumberFormat="1" applyFont="1" applyBorder="1" applyAlignment="1" applyProtection="1">
      <alignment horizontal="right" vertical="center"/>
      <protection locked="0"/>
    </xf>
    <xf numFmtId="3" fontId="21" fillId="0" borderId="114" xfId="50" applyNumberFormat="1" applyFont="1" applyBorder="1" applyAlignment="1" applyProtection="1">
      <alignment horizontal="right" vertical="center"/>
      <protection locked="0"/>
    </xf>
    <xf numFmtId="3" fontId="21" fillId="0" borderId="2" xfId="50" applyNumberFormat="1" applyFont="1" applyBorder="1" applyAlignment="1" applyProtection="1">
      <alignment horizontal="right" vertical="center"/>
      <protection locked="0"/>
    </xf>
    <xf numFmtId="3" fontId="14" fillId="0" borderId="0" xfId="32" applyNumberFormat="1" applyFont="1" applyAlignment="1" applyProtection="1">
      <alignment horizontal="left" vertical="top"/>
      <protection locked="0"/>
    </xf>
    <xf numFmtId="3" fontId="14" fillId="0" borderId="0" xfId="32" applyNumberFormat="1" applyFont="1" applyAlignment="1" applyProtection="1">
      <alignment horizontal="center" vertical="top"/>
      <protection locked="0"/>
    </xf>
    <xf numFmtId="3" fontId="14" fillId="0" borderId="0" xfId="32" applyNumberFormat="1" applyFont="1" applyAlignment="1" applyProtection="1">
      <alignment horizontal="center" vertical="center"/>
      <protection locked="0"/>
    </xf>
    <xf numFmtId="3" fontId="14" fillId="0" borderId="0" xfId="51" applyNumberFormat="1" applyFont="1" applyProtection="1">
      <protection locked="0"/>
    </xf>
    <xf numFmtId="3" fontId="14" fillId="0" borderId="0" xfId="51" applyNumberFormat="1" applyFont="1" applyAlignment="1" applyProtection="1">
      <alignment wrapText="1"/>
      <protection locked="0"/>
    </xf>
    <xf numFmtId="3" fontId="14" fillId="0" borderId="0" xfId="51" applyNumberFormat="1" applyFont="1" applyAlignment="1" applyProtection="1">
      <alignment horizontal="right"/>
      <protection locked="0"/>
    </xf>
    <xf numFmtId="3" fontId="14" fillId="0" borderId="0" xfId="32" applyNumberFormat="1" applyFont="1" applyProtection="1">
      <protection locked="0"/>
    </xf>
    <xf numFmtId="3" fontId="14" fillId="0" borderId="0" xfId="50" applyNumberFormat="1" applyFont="1" applyAlignment="1" applyProtection="1">
      <alignment horizontal="right" vertical="center"/>
      <protection locked="0"/>
    </xf>
    <xf numFmtId="1" fontId="32" fillId="0" borderId="0" xfId="46" applyNumberFormat="1" applyFont="1" applyAlignment="1">
      <alignment horizontal="center" vertical="center"/>
    </xf>
    <xf numFmtId="3" fontId="7" fillId="0" borderId="0" xfId="46" applyNumberFormat="1" applyFont="1" applyAlignment="1">
      <alignment horizontal="center"/>
    </xf>
    <xf numFmtId="3" fontId="7" fillId="0" borderId="0" xfId="46" applyNumberFormat="1" applyFont="1" applyAlignment="1">
      <alignment vertical="top" wrapText="1"/>
    </xf>
    <xf numFmtId="3" fontId="8" fillId="0" borderId="0" xfId="46" applyNumberFormat="1" applyFont="1"/>
    <xf numFmtId="3" fontId="7" fillId="0" borderId="0" xfId="46" applyNumberFormat="1" applyFont="1"/>
    <xf numFmtId="1" fontId="7" fillId="0" borderId="0" xfId="46" applyNumberFormat="1" applyFont="1" applyAlignment="1">
      <alignment horizontal="center" vertical="center"/>
    </xf>
    <xf numFmtId="3" fontId="7" fillId="0" borderId="0" xfId="46" applyNumberFormat="1" applyFont="1" applyAlignment="1">
      <alignment horizontal="right"/>
    </xf>
    <xf numFmtId="3" fontId="8" fillId="0" borderId="0" xfId="46" applyNumberFormat="1" applyFont="1" applyAlignment="1">
      <alignment horizontal="center"/>
    </xf>
    <xf numFmtId="3" fontId="8" fillId="0" borderId="0" xfId="46" applyNumberFormat="1" applyFont="1" applyAlignment="1">
      <alignment horizontal="center" vertical="center"/>
    </xf>
    <xf numFmtId="3" fontId="7" fillId="0" borderId="0" xfId="46" applyNumberFormat="1" applyFont="1" applyAlignment="1">
      <alignment vertical="center"/>
    </xf>
    <xf numFmtId="1" fontId="14" fillId="0" borderId="0" xfId="46" applyNumberFormat="1" applyFont="1" applyAlignment="1">
      <alignment horizontal="center" vertical="center"/>
    </xf>
    <xf numFmtId="3" fontId="14" fillId="0" borderId="0" xfId="46" applyNumberFormat="1" applyFont="1" applyAlignment="1">
      <alignment horizontal="center"/>
    </xf>
    <xf numFmtId="0" fontId="21" fillId="0" borderId="0" xfId="46" applyFont="1" applyAlignment="1">
      <alignment vertical="top" wrapText="1"/>
    </xf>
    <xf numFmtId="3" fontId="14" fillId="0" borderId="0" xfId="46" applyNumberFormat="1" applyFont="1"/>
    <xf numFmtId="0" fontId="14" fillId="0" borderId="0" xfId="46" applyFont="1" applyAlignment="1">
      <alignment horizontal="center"/>
    </xf>
    <xf numFmtId="3" fontId="21" fillId="0" borderId="0" xfId="46" applyNumberFormat="1" applyFont="1"/>
    <xf numFmtId="3" fontId="14" fillId="0" borderId="0" xfId="46" applyNumberFormat="1" applyFont="1" applyAlignment="1">
      <alignment horizontal="right"/>
    </xf>
    <xf numFmtId="1" fontId="13" fillId="0" borderId="0" xfId="46" applyNumberFormat="1" applyFont="1" applyAlignment="1">
      <alignment horizontal="center" vertical="center"/>
    </xf>
    <xf numFmtId="3" fontId="13" fillId="0" borderId="0" xfId="46" applyNumberFormat="1" applyFont="1" applyAlignment="1">
      <alignment horizontal="center" vertical="center"/>
    </xf>
    <xf numFmtId="3" fontId="13" fillId="0" borderId="0" xfId="46" applyNumberFormat="1" applyFont="1" applyAlignment="1">
      <alignment horizontal="center"/>
    </xf>
    <xf numFmtId="3" fontId="13" fillId="0" borderId="0" xfId="46" applyNumberFormat="1" applyFont="1" applyAlignment="1">
      <alignment horizontal="center" vertical="center" wrapText="1"/>
    </xf>
    <xf numFmtId="3" fontId="14" fillId="0" borderId="117" xfId="0" applyNumberFormat="1" applyFont="1" applyBorder="1" applyAlignment="1">
      <alignment horizontal="center" vertical="center" wrapText="1"/>
    </xf>
    <xf numFmtId="3" fontId="14" fillId="0" borderId="118" xfId="0" applyNumberFormat="1" applyFont="1" applyBorder="1" applyAlignment="1">
      <alignment horizontal="center" vertical="center" wrapText="1"/>
    </xf>
    <xf numFmtId="3" fontId="14" fillId="0" borderId="73" xfId="46" applyNumberFormat="1" applyFont="1" applyBorder="1" applyAlignment="1">
      <alignment horizontal="center"/>
    </xf>
    <xf numFmtId="3" fontId="29" fillId="0" borderId="74" xfId="46" applyNumberFormat="1" applyFont="1" applyBorder="1" applyAlignment="1">
      <alignment horizontal="left"/>
    </xf>
    <xf numFmtId="0" fontId="21" fillId="0" borderId="74" xfId="46" applyFont="1" applyBorder="1" applyAlignment="1">
      <alignment horizontal="center" vertical="center" wrapText="1"/>
    </xf>
    <xf numFmtId="0" fontId="14" fillId="0" borderId="79" xfId="0" applyFont="1" applyBorder="1" applyAlignment="1">
      <alignment horizontal="center" vertical="center" textRotation="90" wrapText="1"/>
    </xf>
    <xf numFmtId="3" fontId="21" fillId="0" borderId="74" xfId="46" applyNumberFormat="1" applyFont="1" applyBorder="1" applyAlignment="1">
      <alignment horizontal="center" vertical="center" wrapText="1"/>
    </xf>
    <xf numFmtId="3" fontId="14" fillId="0" borderId="74" xfId="0" applyNumberFormat="1" applyFont="1" applyBorder="1" applyAlignment="1">
      <alignment horizontal="center" vertical="center" wrapText="1"/>
    </xf>
    <xf numFmtId="3" fontId="14" fillId="0" borderId="76" xfId="0" applyNumberFormat="1" applyFont="1" applyBorder="1" applyAlignment="1">
      <alignment horizontal="center" vertical="center" wrapText="1"/>
    </xf>
    <xf numFmtId="3" fontId="14" fillId="0" borderId="39" xfId="46" applyNumberFormat="1" applyFont="1" applyBorder="1" applyAlignment="1">
      <alignment horizontal="center"/>
    </xf>
    <xf numFmtId="3" fontId="14" fillId="0" borderId="40" xfId="46" applyNumberFormat="1" applyFont="1" applyBorder="1" applyAlignment="1">
      <alignment horizontal="center"/>
    </xf>
    <xf numFmtId="3" fontId="21" fillId="0" borderId="40" xfId="46" applyNumberFormat="1" applyFont="1" applyBorder="1" applyAlignment="1">
      <alignment wrapText="1"/>
    </xf>
    <xf numFmtId="3" fontId="14" fillId="0" borderId="119" xfId="46" applyNumberFormat="1" applyFont="1" applyBorder="1" applyAlignment="1">
      <alignment horizontal="center"/>
    </xf>
    <xf numFmtId="3" fontId="21" fillId="0" borderId="46" xfId="46" applyNumberFormat="1" applyFont="1" applyBorder="1" applyAlignment="1">
      <alignment horizontal="right"/>
    </xf>
    <xf numFmtId="3" fontId="14" fillId="0" borderId="40" xfId="0" applyNumberFormat="1" applyFont="1" applyBorder="1" applyAlignment="1">
      <alignment horizontal="right" wrapText="1"/>
    </xf>
    <xf numFmtId="3" fontId="14" fillId="0" borderId="44" xfId="0" applyNumberFormat="1" applyFont="1" applyBorder="1" applyAlignment="1">
      <alignment horizontal="right" wrapText="1"/>
    </xf>
    <xf numFmtId="3" fontId="14" fillId="0" borderId="45" xfId="46" applyNumberFormat="1" applyFont="1" applyBorder="1" applyAlignment="1">
      <alignment horizontal="center" vertical="center"/>
    </xf>
    <xf numFmtId="3" fontId="14" fillId="0" borderId="46" xfId="46" applyNumberFormat="1" applyFont="1" applyBorder="1" applyAlignment="1">
      <alignment horizontal="center"/>
    </xf>
    <xf numFmtId="3" fontId="23" fillId="0" borderId="40" xfId="46" applyNumberFormat="1" applyFont="1" applyBorder="1" applyAlignment="1">
      <alignment wrapText="1"/>
    </xf>
    <xf numFmtId="3" fontId="14" fillId="0" borderId="120" xfId="46" applyNumberFormat="1" applyFont="1" applyBorder="1" applyAlignment="1">
      <alignment horizontal="center"/>
    </xf>
    <xf numFmtId="3" fontId="23" fillId="0" borderId="46" xfId="46" applyNumberFormat="1" applyFont="1" applyBorder="1" applyAlignment="1">
      <alignment horizontal="right"/>
    </xf>
    <xf numFmtId="3" fontId="27" fillId="0" borderId="46" xfId="0" applyNumberFormat="1" applyFont="1" applyBorder="1" applyAlignment="1">
      <alignment horizontal="right" wrapText="1"/>
    </xf>
    <xf numFmtId="3" fontId="23" fillId="0" borderId="46" xfId="0" applyNumberFormat="1" applyFont="1" applyBorder="1" applyAlignment="1">
      <alignment horizontal="right" wrapText="1"/>
    </xf>
    <xf numFmtId="3" fontId="27" fillId="0" borderId="50" xfId="0" applyNumberFormat="1" applyFont="1" applyBorder="1" applyAlignment="1">
      <alignment horizontal="right" wrapText="1"/>
    </xf>
    <xf numFmtId="3" fontId="7" fillId="0" borderId="0" xfId="46" applyNumberFormat="1" applyFont="1" applyAlignment="1">
      <alignment horizontal="center" vertical="center"/>
    </xf>
    <xf numFmtId="3" fontId="21" fillId="0" borderId="40" xfId="0" applyNumberFormat="1" applyFont="1" applyBorder="1" applyAlignment="1">
      <alignment horizontal="right" wrapText="1"/>
    </xf>
    <xf numFmtId="3" fontId="27" fillId="0" borderId="44" xfId="0" applyNumberFormat="1" applyFont="1" applyBorder="1" applyAlignment="1">
      <alignment horizontal="right" wrapText="1"/>
    </xf>
    <xf numFmtId="3" fontId="15" fillId="0" borderId="40" xfId="0" applyNumberFormat="1" applyFont="1" applyBorder="1" applyAlignment="1">
      <alignment horizontal="right" wrapText="1"/>
    </xf>
    <xf numFmtId="3" fontId="15" fillId="0" borderId="44" xfId="0" applyNumberFormat="1" applyFont="1" applyBorder="1" applyAlignment="1">
      <alignment horizontal="right" wrapText="1"/>
    </xf>
    <xf numFmtId="3" fontId="27" fillId="0" borderId="40" xfId="0" applyNumberFormat="1" applyFont="1" applyBorder="1" applyAlignment="1">
      <alignment horizontal="right" wrapText="1"/>
    </xf>
    <xf numFmtId="3" fontId="14" fillId="0" borderId="45" xfId="46" applyNumberFormat="1" applyFont="1" applyBorder="1" applyAlignment="1">
      <alignment horizontal="center"/>
    </xf>
    <xf numFmtId="3" fontId="21" fillId="0" borderId="46" xfId="46" applyNumberFormat="1" applyFont="1" applyBorder="1" applyAlignment="1">
      <alignment wrapText="1"/>
    </xf>
    <xf numFmtId="3" fontId="23" fillId="0" borderId="40" xfId="46" applyNumberFormat="1" applyFont="1" applyBorder="1" applyAlignment="1">
      <alignment horizontal="right"/>
    </xf>
    <xf numFmtId="3" fontId="23" fillId="0" borderId="50" xfId="0" applyNumberFormat="1" applyFont="1" applyBorder="1" applyAlignment="1">
      <alignment horizontal="right" wrapText="1"/>
    </xf>
    <xf numFmtId="3" fontId="14" fillId="0" borderId="46" xfId="0" applyNumberFormat="1" applyFont="1" applyBorder="1" applyAlignment="1">
      <alignment horizontal="right" wrapText="1"/>
    </xf>
    <xf numFmtId="3" fontId="21" fillId="0" borderId="46" xfId="0" applyNumberFormat="1" applyFont="1" applyBorder="1" applyAlignment="1">
      <alignment horizontal="right" wrapText="1"/>
    </xf>
    <xf numFmtId="3" fontId="21" fillId="0" borderId="50" xfId="0" applyNumberFormat="1" applyFont="1" applyBorder="1" applyAlignment="1">
      <alignment horizontal="right" wrapText="1"/>
    </xf>
    <xf numFmtId="3" fontId="15" fillId="0" borderId="46" xfId="0" applyNumberFormat="1" applyFont="1" applyBorder="1" applyAlignment="1">
      <alignment horizontal="right" wrapText="1"/>
    </xf>
    <xf numFmtId="3" fontId="10" fillId="0" borderId="46" xfId="0" applyNumberFormat="1" applyFont="1" applyBorder="1" applyAlignment="1">
      <alignment horizontal="right" wrapText="1"/>
    </xf>
    <xf numFmtId="3" fontId="15" fillId="0" borderId="50" xfId="0" applyNumberFormat="1" applyFont="1" applyBorder="1" applyAlignment="1">
      <alignment horizontal="right" wrapText="1"/>
    </xf>
    <xf numFmtId="3" fontId="23" fillId="0" borderId="46" xfId="46" applyNumberFormat="1" applyFont="1" applyBorder="1" applyAlignment="1">
      <alignment horizontal="right" vertical="center"/>
    </xf>
    <xf numFmtId="3" fontId="27" fillId="0" borderId="46" xfId="0" applyNumberFormat="1" applyFont="1" applyBorder="1" applyAlignment="1">
      <alignment horizontal="right" vertical="center" wrapText="1"/>
    </xf>
    <xf numFmtId="3" fontId="27" fillId="0" borderId="50" xfId="0" applyNumberFormat="1" applyFont="1" applyBorder="1" applyAlignment="1">
      <alignment horizontal="right" vertical="center" wrapText="1"/>
    </xf>
    <xf numFmtId="3" fontId="23" fillId="0" borderId="45" xfId="46" applyNumberFormat="1" applyFont="1" applyBorder="1" applyAlignment="1">
      <alignment horizontal="center" vertical="center"/>
    </xf>
    <xf numFmtId="3" fontId="23" fillId="0" borderId="46" xfId="46" applyNumberFormat="1" applyFont="1" applyBorder="1" applyAlignment="1">
      <alignment horizontal="center"/>
    </xf>
    <xf numFmtId="3" fontId="23" fillId="0" borderId="120" xfId="46" applyNumberFormat="1" applyFont="1" applyBorder="1" applyAlignment="1">
      <alignment horizontal="center"/>
    </xf>
    <xf numFmtId="3" fontId="33" fillId="0" borderId="0" xfId="46" applyNumberFormat="1" applyFont="1" applyAlignment="1">
      <alignment horizontal="center" vertical="center"/>
    </xf>
    <xf numFmtId="3" fontId="15" fillId="0" borderId="46" xfId="46" applyNumberFormat="1" applyFont="1" applyBorder="1" applyAlignment="1">
      <alignment wrapText="1"/>
    </xf>
    <xf numFmtId="3" fontId="15" fillId="0" borderId="46" xfId="46" applyNumberFormat="1" applyFont="1" applyBorder="1" applyAlignment="1">
      <alignment horizontal="right"/>
    </xf>
    <xf numFmtId="3" fontId="28" fillId="0" borderId="40" xfId="46" applyNumberFormat="1" applyFont="1" applyBorder="1" applyAlignment="1">
      <alignment horizontal="left" vertical="top" wrapText="1" indent="4"/>
    </xf>
    <xf numFmtId="3" fontId="28" fillId="0" borderId="46" xfId="46" applyNumberFormat="1" applyFont="1" applyBorder="1" applyAlignment="1">
      <alignment horizontal="right"/>
    </xf>
    <xf numFmtId="3" fontId="28" fillId="0" borderId="46" xfId="0" applyNumberFormat="1" applyFont="1" applyBorder="1" applyAlignment="1">
      <alignment horizontal="right" wrapText="1"/>
    </xf>
    <xf numFmtId="3" fontId="15" fillId="0" borderId="40" xfId="46" applyNumberFormat="1" applyFont="1" applyBorder="1" applyAlignment="1">
      <alignment horizontal="left" vertical="top" wrapText="1" indent="4"/>
    </xf>
    <xf numFmtId="3" fontId="15" fillId="0" borderId="45" xfId="46" applyNumberFormat="1" applyFont="1" applyBorder="1" applyAlignment="1">
      <alignment horizontal="center" vertical="center"/>
    </xf>
    <xf numFmtId="3" fontId="15" fillId="0" borderId="120" xfId="46" applyNumberFormat="1" applyFont="1" applyBorder="1" applyAlignment="1">
      <alignment horizontal="center"/>
    </xf>
    <xf numFmtId="3" fontId="24" fillId="0" borderId="46" xfId="46" applyNumberFormat="1" applyFont="1" applyBorder="1" applyAlignment="1">
      <alignment horizontal="right"/>
    </xf>
    <xf numFmtId="3" fontId="28" fillId="0" borderId="50" xfId="0" applyNumberFormat="1" applyFont="1" applyBorder="1" applyAlignment="1">
      <alignment horizontal="right" wrapText="1"/>
    </xf>
    <xf numFmtId="3" fontId="11" fillId="0" borderId="0" xfId="46" applyNumberFormat="1" applyFont="1" applyAlignment="1">
      <alignment horizontal="center" vertical="center"/>
    </xf>
    <xf numFmtId="3" fontId="24" fillId="0" borderId="46" xfId="46" applyNumberFormat="1" applyFont="1" applyBorder="1" applyAlignment="1">
      <alignment horizontal="right" vertical="center"/>
    </xf>
    <xf numFmtId="3" fontId="28" fillId="0" borderId="46" xfId="0" applyNumberFormat="1" applyFont="1" applyBorder="1" applyAlignment="1">
      <alignment horizontal="right" vertical="center" wrapText="1"/>
    </xf>
    <xf numFmtId="3" fontId="28" fillId="0" borderId="50" xfId="0" applyNumberFormat="1" applyFont="1" applyBorder="1" applyAlignment="1">
      <alignment horizontal="right" vertical="center" wrapText="1"/>
    </xf>
    <xf numFmtId="3" fontId="15" fillId="0" borderId="46" xfId="0" applyNumberFormat="1" applyFont="1" applyBorder="1" applyAlignment="1">
      <alignment horizontal="right" vertical="center" wrapText="1"/>
    </xf>
    <xf numFmtId="3" fontId="15" fillId="0" borderId="50" xfId="0" applyNumberFormat="1" applyFont="1" applyBorder="1" applyAlignment="1">
      <alignment horizontal="right" vertical="center" wrapText="1"/>
    </xf>
    <xf numFmtId="3" fontId="15" fillId="0" borderId="46" xfId="46" applyNumberFormat="1" applyFont="1" applyBorder="1" applyAlignment="1">
      <alignment vertical="center" wrapText="1"/>
    </xf>
    <xf numFmtId="3" fontId="24" fillId="0" borderId="40" xfId="46" applyNumberFormat="1" applyFont="1" applyBorder="1" applyAlignment="1">
      <alignment horizontal="left" vertical="top" wrapText="1" indent="4"/>
    </xf>
    <xf numFmtId="3" fontId="24" fillId="0" borderId="45" xfId="46" applyNumberFormat="1" applyFont="1" applyBorder="1" applyAlignment="1">
      <alignment horizontal="center" vertical="center"/>
    </xf>
    <xf numFmtId="3" fontId="24" fillId="0" borderId="46" xfId="0" applyNumberFormat="1" applyFont="1" applyBorder="1" applyAlignment="1">
      <alignment horizontal="right" wrapText="1"/>
    </xf>
    <xf numFmtId="3" fontId="34" fillId="0" borderId="0" xfId="46" applyNumberFormat="1" applyFont="1" applyAlignment="1">
      <alignment horizontal="center" vertical="center"/>
    </xf>
    <xf numFmtId="3" fontId="24" fillId="0" borderId="120" xfId="46" applyNumberFormat="1" applyFont="1" applyBorder="1" applyAlignment="1">
      <alignment horizontal="center"/>
    </xf>
    <xf numFmtId="3" fontId="23" fillId="0" borderId="46" xfId="0" applyNumberFormat="1" applyFont="1" applyBorder="1" applyAlignment="1">
      <alignment horizontal="right" vertical="center" wrapText="1"/>
    </xf>
    <xf numFmtId="3" fontId="23" fillId="0" borderId="50" xfId="0" applyNumberFormat="1" applyFont="1" applyBorder="1" applyAlignment="1">
      <alignment horizontal="right" vertical="center" wrapText="1"/>
    </xf>
    <xf numFmtId="3" fontId="21" fillId="0" borderId="46" xfId="0" applyNumberFormat="1" applyFont="1" applyBorder="1" applyAlignment="1">
      <alignment horizontal="right" vertical="center" wrapText="1"/>
    </xf>
    <xf numFmtId="3" fontId="21" fillId="0" borderId="50" xfId="0" applyNumberFormat="1" applyFont="1" applyBorder="1" applyAlignment="1">
      <alignment horizontal="right" vertical="center" wrapText="1"/>
    </xf>
    <xf numFmtId="3" fontId="15" fillId="0" borderId="46" xfId="46" applyNumberFormat="1" applyFont="1" applyBorder="1" applyAlignment="1">
      <alignment horizontal="left" wrapText="1"/>
    </xf>
    <xf numFmtId="3" fontId="15" fillId="0" borderId="46" xfId="46" applyNumberFormat="1" applyFont="1" applyBorder="1" applyAlignment="1">
      <alignment horizontal="left" wrapText="1" indent="3"/>
    </xf>
    <xf numFmtId="3" fontId="14" fillId="0" borderId="39" xfId="46" applyNumberFormat="1" applyFont="1" applyBorder="1" applyAlignment="1">
      <alignment horizontal="center" vertical="center"/>
    </xf>
    <xf numFmtId="3" fontId="23" fillId="0" borderId="44" xfId="0" applyNumberFormat="1" applyFont="1" applyBorder="1" applyAlignment="1">
      <alignment horizontal="right" wrapText="1"/>
    </xf>
    <xf numFmtId="3" fontId="21" fillId="0" borderId="44" xfId="0" applyNumberFormat="1" applyFont="1" applyBorder="1" applyAlignment="1">
      <alignment horizontal="right" wrapText="1"/>
    </xf>
    <xf numFmtId="3" fontId="10" fillId="0" borderId="39" xfId="46" applyNumberFormat="1" applyFont="1" applyBorder="1" applyAlignment="1">
      <alignment horizontal="center"/>
    </xf>
    <xf numFmtId="3" fontId="9" fillId="0" borderId="0" xfId="46" applyNumberFormat="1" applyFont="1" applyAlignment="1">
      <alignment horizontal="center" vertical="center"/>
    </xf>
    <xf numFmtId="3" fontId="9" fillId="0" borderId="0" xfId="46" applyNumberFormat="1" applyFont="1" applyAlignment="1">
      <alignment horizontal="center"/>
    </xf>
    <xf numFmtId="3" fontId="21" fillId="0" borderId="45" xfId="46" applyNumberFormat="1" applyFont="1" applyBorder="1" applyAlignment="1">
      <alignment horizontal="center"/>
    </xf>
    <xf numFmtId="3" fontId="15" fillId="0" borderId="0" xfId="46" applyNumberFormat="1" applyFont="1" applyAlignment="1">
      <alignment horizontal="center" vertical="center"/>
    </xf>
    <xf numFmtId="3" fontId="14" fillId="0" borderId="0" xfId="46" applyNumberFormat="1" applyFont="1" applyAlignment="1">
      <alignment horizontal="center" vertical="center"/>
    </xf>
    <xf numFmtId="3" fontId="24" fillId="0" borderId="0" xfId="46" applyNumberFormat="1" applyFont="1" applyAlignment="1">
      <alignment horizontal="center" vertical="center"/>
    </xf>
    <xf numFmtId="3" fontId="23" fillId="0" borderId="0" xfId="46" applyNumberFormat="1" applyFont="1" applyAlignment="1">
      <alignment horizontal="center" vertical="center"/>
    </xf>
    <xf numFmtId="3" fontId="28" fillId="0" borderId="46" xfId="46" applyNumberFormat="1" applyFont="1" applyBorder="1" applyAlignment="1">
      <alignment horizontal="right" vertical="center"/>
    </xf>
    <xf numFmtId="3" fontId="10" fillId="0" borderId="45" xfId="46" applyNumberFormat="1" applyFont="1" applyBorder="1" applyAlignment="1">
      <alignment horizontal="center" vertical="center"/>
    </xf>
    <xf numFmtId="3" fontId="23" fillId="0" borderId="119" xfId="46" applyNumberFormat="1" applyFont="1" applyBorder="1" applyAlignment="1">
      <alignment horizontal="center"/>
    </xf>
    <xf numFmtId="3" fontId="21" fillId="0" borderId="45" xfId="46" applyNumberFormat="1" applyFont="1" applyBorder="1" applyAlignment="1">
      <alignment horizontal="center" vertical="center"/>
    </xf>
    <xf numFmtId="3" fontId="24" fillId="0" borderId="50" xfId="0" applyNumberFormat="1" applyFont="1" applyBorder="1" applyAlignment="1">
      <alignment horizontal="right" wrapText="1"/>
    </xf>
    <xf numFmtId="3" fontId="23" fillId="0" borderId="39" xfId="46" applyNumberFormat="1" applyFont="1" applyBorder="1" applyAlignment="1">
      <alignment horizontal="center" vertical="center"/>
    </xf>
    <xf numFmtId="3" fontId="23" fillId="0" borderId="40" xfId="0" applyNumberFormat="1" applyFont="1" applyBorder="1" applyAlignment="1">
      <alignment horizontal="right" wrapText="1"/>
    </xf>
    <xf numFmtId="3" fontId="14" fillId="0" borderId="46" xfId="46" applyNumberFormat="1" applyFont="1" applyBorder="1" applyAlignment="1">
      <alignment horizontal="center" vertical="top"/>
    </xf>
    <xf numFmtId="3" fontId="14" fillId="0" borderId="46" xfId="0" applyNumberFormat="1" applyFont="1" applyBorder="1" applyAlignment="1">
      <alignment horizontal="right" vertical="center" wrapText="1"/>
    </xf>
    <xf numFmtId="3" fontId="15" fillId="0" borderId="46" xfId="46" applyNumberFormat="1" applyFont="1" applyBorder="1" applyAlignment="1">
      <alignment horizontal="left" wrapText="1" indent="2"/>
    </xf>
    <xf numFmtId="3" fontId="23" fillId="0" borderId="40" xfId="46" applyNumberFormat="1" applyFont="1" applyBorder="1" applyAlignment="1">
      <alignment horizontal="left" wrapText="1" indent="2"/>
    </xf>
    <xf numFmtId="3" fontId="10" fillId="0" borderId="40" xfId="46" applyNumberFormat="1" applyFont="1" applyBorder="1" applyAlignment="1">
      <alignment horizontal="left" vertical="top" wrapText="1" indent="2"/>
    </xf>
    <xf numFmtId="3" fontId="15" fillId="0" borderId="40" xfId="46" applyNumberFormat="1" applyFont="1" applyBorder="1" applyAlignment="1">
      <alignment horizontal="left" vertical="top" wrapText="1" indent="2"/>
    </xf>
    <xf numFmtId="3" fontId="29" fillId="0" borderId="46" xfId="46" applyNumberFormat="1" applyFont="1" applyBorder="1" applyAlignment="1">
      <alignment wrapText="1"/>
    </xf>
    <xf numFmtId="3" fontId="21" fillId="0" borderId="46" xfId="46" applyNumberFormat="1" applyFont="1" applyBorder="1" applyAlignment="1">
      <alignment horizontal="left" wrapText="1"/>
    </xf>
    <xf numFmtId="3" fontId="14" fillId="0" borderId="45" xfId="46" applyNumberFormat="1" applyFont="1" applyBorder="1" applyAlignment="1">
      <alignment horizontal="center" vertical="top"/>
    </xf>
    <xf numFmtId="3" fontId="24" fillId="0" borderId="40" xfId="46" applyNumberFormat="1" applyFont="1" applyBorder="1" applyAlignment="1">
      <alignment horizontal="left" wrapText="1" indent="4"/>
    </xf>
    <xf numFmtId="3" fontId="10" fillId="0" borderId="46" xfId="46" applyNumberFormat="1" applyFont="1" applyBorder="1" applyAlignment="1">
      <alignment horizontal="right"/>
    </xf>
    <xf numFmtId="3" fontId="10" fillId="0" borderId="50" xfId="0" applyNumberFormat="1" applyFont="1" applyBorder="1" applyAlignment="1">
      <alignment horizontal="right" wrapText="1"/>
    </xf>
    <xf numFmtId="49" fontId="15" fillId="0" borderId="46" xfId="46" applyNumberFormat="1" applyFont="1" applyBorder="1" applyAlignment="1">
      <alignment horizontal="left" vertical="center" wrapText="1" indent="4"/>
    </xf>
    <xf numFmtId="3" fontId="24" fillId="0" borderId="39" xfId="46" applyNumberFormat="1" applyFont="1" applyBorder="1" applyAlignment="1">
      <alignment horizontal="center" vertical="center"/>
    </xf>
    <xf numFmtId="3" fontId="24" fillId="0" borderId="119" xfId="46" applyNumberFormat="1" applyFont="1" applyBorder="1" applyAlignment="1">
      <alignment horizontal="center"/>
    </xf>
    <xf numFmtId="3" fontId="10" fillId="0" borderId="40" xfId="0" applyNumberFormat="1" applyFont="1" applyBorder="1" applyAlignment="1">
      <alignment horizontal="right" wrapText="1"/>
    </xf>
    <xf numFmtId="3" fontId="10" fillId="0" borderId="44" xfId="0" applyNumberFormat="1" applyFont="1" applyBorder="1" applyAlignment="1">
      <alignment horizontal="right" wrapText="1"/>
    </xf>
    <xf numFmtId="3" fontId="24" fillId="0" borderId="40" xfId="0" applyNumberFormat="1" applyFont="1" applyBorder="1" applyAlignment="1">
      <alignment horizontal="right" wrapText="1"/>
    </xf>
    <xf numFmtId="3" fontId="15" fillId="0" borderId="39" xfId="46" applyNumberFormat="1" applyFont="1" applyBorder="1" applyAlignment="1">
      <alignment horizontal="center"/>
    </xf>
    <xf numFmtId="3" fontId="14" fillId="0" borderId="46" xfId="46" applyNumberFormat="1" applyFont="1" applyBorder="1" applyAlignment="1">
      <alignment wrapText="1"/>
    </xf>
    <xf numFmtId="3" fontId="28" fillId="0" borderId="40" xfId="0" applyNumberFormat="1" applyFont="1" applyBorder="1" applyAlignment="1">
      <alignment horizontal="right" wrapText="1"/>
    </xf>
    <xf numFmtId="3" fontId="28" fillId="0" borderId="44" xfId="0" applyNumberFormat="1" applyFont="1" applyBorder="1" applyAlignment="1">
      <alignment horizontal="right" wrapText="1"/>
    </xf>
    <xf numFmtId="3" fontId="11" fillId="0" borderId="0" xfId="46" applyNumberFormat="1" applyFont="1" applyAlignment="1">
      <alignment horizontal="center"/>
    </xf>
    <xf numFmtId="3" fontId="15" fillId="0" borderId="82" xfId="46" applyNumberFormat="1" applyFont="1" applyBorder="1" applyAlignment="1">
      <alignment horizontal="center" vertical="center"/>
    </xf>
    <xf numFmtId="3" fontId="14" fillId="0" borderId="52" xfId="46" applyNumberFormat="1" applyFont="1" applyBorder="1" applyAlignment="1">
      <alignment horizontal="center"/>
    </xf>
    <xf numFmtId="3" fontId="14" fillId="0" borderId="41" xfId="46" applyNumberFormat="1" applyFont="1" applyBorder="1" applyAlignment="1">
      <alignment horizontal="center"/>
    </xf>
    <xf numFmtId="3" fontId="24" fillId="0" borderId="63" xfId="0" applyNumberFormat="1" applyFont="1" applyBorder="1" applyAlignment="1">
      <alignment horizontal="right" wrapText="1"/>
    </xf>
    <xf numFmtId="3" fontId="14" fillId="0" borderId="47" xfId="46" applyNumberFormat="1" applyFont="1" applyBorder="1" applyAlignment="1">
      <alignment horizontal="center"/>
    </xf>
    <xf numFmtId="3" fontId="15" fillId="0" borderId="96" xfId="46" applyNumberFormat="1" applyFont="1" applyBorder="1" applyAlignment="1">
      <alignment horizontal="center" vertical="center"/>
    </xf>
    <xf numFmtId="0" fontId="21" fillId="0" borderId="40" xfId="47" applyFont="1" applyBorder="1" applyAlignment="1">
      <alignment horizontal="left"/>
    </xf>
    <xf numFmtId="3" fontId="24" fillId="0" borderId="121" xfId="0" applyNumberFormat="1" applyFont="1" applyBorder="1" applyAlignment="1">
      <alignment horizontal="right" wrapText="1"/>
    </xf>
    <xf numFmtId="0" fontId="15" fillId="0" borderId="46" xfId="47" applyFont="1" applyBorder="1" applyAlignment="1">
      <alignment horizontal="left"/>
    </xf>
    <xf numFmtId="3" fontId="14" fillId="0" borderId="40" xfId="46" applyNumberFormat="1" applyFont="1" applyBorder="1" applyAlignment="1">
      <alignment wrapText="1"/>
    </xf>
    <xf numFmtId="3" fontId="23" fillId="0" borderId="41" xfId="46" applyNumberFormat="1" applyFont="1" applyBorder="1" applyAlignment="1">
      <alignment horizontal="center"/>
    </xf>
    <xf numFmtId="3" fontId="33" fillId="0" borderId="0" xfId="46" applyNumberFormat="1" applyFont="1" applyAlignment="1">
      <alignment horizontal="center"/>
    </xf>
    <xf numFmtId="3" fontId="7" fillId="0" borderId="45" xfId="46" applyNumberFormat="1" applyFont="1" applyBorder="1" applyAlignment="1">
      <alignment horizontal="center"/>
    </xf>
    <xf numFmtId="3" fontId="7" fillId="0" borderId="47" xfId="46" applyNumberFormat="1" applyFont="1" applyBorder="1" applyAlignment="1">
      <alignment horizontal="center"/>
    </xf>
    <xf numFmtId="3" fontId="33" fillId="0" borderId="46" xfId="46" applyNumberFormat="1" applyFont="1" applyBorder="1"/>
    <xf numFmtId="3" fontId="35" fillId="0" borderId="46" xfId="46" applyNumberFormat="1" applyFont="1" applyBorder="1"/>
    <xf numFmtId="3" fontId="35" fillId="0" borderId="50" xfId="46" applyNumberFormat="1" applyFont="1" applyBorder="1"/>
    <xf numFmtId="3" fontId="23" fillId="0" borderId="46" xfId="46" applyNumberFormat="1" applyFont="1" applyBorder="1"/>
    <xf numFmtId="3" fontId="33" fillId="0" borderId="50" xfId="46" applyNumberFormat="1" applyFont="1" applyBorder="1"/>
    <xf numFmtId="3" fontId="7" fillId="0" borderId="46" xfId="46" applyNumberFormat="1" applyFont="1" applyBorder="1"/>
    <xf numFmtId="3" fontId="21" fillId="0" borderId="46" xfId="46" applyNumberFormat="1" applyFont="1" applyBorder="1"/>
    <xf numFmtId="3" fontId="15" fillId="0" borderId="46" xfId="46" applyNumberFormat="1" applyFont="1" applyBorder="1"/>
    <xf numFmtId="3" fontId="14" fillId="0" borderId="46" xfId="46" applyNumberFormat="1" applyFont="1" applyBorder="1" applyAlignment="1">
      <alignment shrinkToFit="1"/>
    </xf>
    <xf numFmtId="3" fontId="14" fillId="0" borderId="82" xfId="46" applyNumberFormat="1" applyFont="1" applyBorder="1" applyAlignment="1">
      <alignment horizontal="center" vertical="center"/>
    </xf>
    <xf numFmtId="3" fontId="10" fillId="0" borderId="96" xfId="46" applyNumberFormat="1" applyFont="1" applyBorder="1" applyAlignment="1">
      <alignment horizontal="center"/>
    </xf>
    <xf numFmtId="3" fontId="14" fillId="0" borderId="82" xfId="46" applyNumberFormat="1" applyFont="1" applyBorder="1" applyAlignment="1">
      <alignment horizontal="center"/>
    </xf>
    <xf numFmtId="3" fontId="8" fillId="0" borderId="46" xfId="46" applyNumberFormat="1" applyFont="1" applyBorder="1" applyAlignment="1">
      <alignment shrinkToFit="1"/>
    </xf>
    <xf numFmtId="3" fontId="14" fillId="0" borderId="96" xfId="46" applyNumberFormat="1" applyFont="1" applyBorder="1" applyAlignment="1">
      <alignment horizontal="center"/>
    </xf>
    <xf numFmtId="3" fontId="21" fillId="0" borderId="121" xfId="0" applyNumberFormat="1" applyFont="1" applyBorder="1" applyAlignment="1">
      <alignment horizontal="right" wrapText="1"/>
    </xf>
    <xf numFmtId="3" fontId="14" fillId="0" borderId="58" xfId="46" applyNumberFormat="1" applyFont="1" applyBorder="1" applyAlignment="1">
      <alignment wrapText="1"/>
    </xf>
    <xf numFmtId="3" fontId="23" fillId="0" borderId="51" xfId="46" applyNumberFormat="1" applyFont="1" applyBorder="1" applyAlignment="1">
      <alignment wrapText="1"/>
    </xf>
    <xf numFmtId="3" fontId="23" fillId="0" borderId="63" xfId="0" applyNumberFormat="1" applyFont="1" applyBorder="1" applyAlignment="1">
      <alignment horizontal="right" wrapText="1"/>
    </xf>
    <xf numFmtId="3" fontId="21" fillId="0" borderId="63" xfId="0" applyNumberFormat="1" applyFont="1" applyBorder="1" applyAlignment="1">
      <alignment horizontal="right" wrapText="1"/>
    </xf>
    <xf numFmtId="3" fontId="15" fillId="0" borderId="63" xfId="0" applyNumberFormat="1" applyFont="1" applyBorder="1" applyAlignment="1">
      <alignment horizontal="right" wrapText="1"/>
    </xf>
    <xf numFmtId="3" fontId="21" fillId="0" borderId="52" xfId="46" applyNumberFormat="1" applyFont="1" applyBorder="1" applyAlignment="1">
      <alignment wrapText="1"/>
    </xf>
    <xf numFmtId="3" fontId="28" fillId="0" borderId="48" xfId="0" applyNumberFormat="1" applyFont="1" applyBorder="1" applyAlignment="1">
      <alignment horizontal="right" wrapText="1"/>
    </xf>
    <xf numFmtId="3" fontId="21" fillId="0" borderId="64" xfId="46" applyNumberFormat="1" applyFont="1" applyBorder="1" applyAlignment="1">
      <alignment wrapText="1"/>
    </xf>
    <xf numFmtId="3" fontId="14" fillId="0" borderId="47" xfId="46" applyNumberFormat="1" applyFont="1" applyBorder="1" applyAlignment="1">
      <alignment horizontal="center" vertical="top"/>
    </xf>
    <xf numFmtId="3" fontId="23" fillId="0" borderId="52" xfId="46" applyNumberFormat="1" applyFont="1" applyBorder="1" applyAlignment="1">
      <alignment wrapText="1"/>
    </xf>
    <xf numFmtId="0" fontId="21" fillId="0" borderId="52" xfId="47" applyFont="1" applyBorder="1" applyAlignment="1">
      <alignment horizontal="left"/>
    </xf>
    <xf numFmtId="3" fontId="15" fillId="0" borderId="81" xfId="46" applyNumberFormat="1" applyFont="1" applyBorder="1" applyAlignment="1">
      <alignment horizontal="center" vertical="center"/>
    </xf>
    <xf numFmtId="3" fontId="14" fillId="0" borderId="58" xfId="46" applyNumberFormat="1" applyFont="1" applyBorder="1" applyAlignment="1">
      <alignment horizontal="center"/>
    </xf>
    <xf numFmtId="3" fontId="23" fillId="0" borderId="64" xfId="46" applyNumberFormat="1" applyFont="1" applyBorder="1" applyAlignment="1">
      <alignment wrapText="1"/>
    </xf>
    <xf numFmtId="3" fontId="14" fillId="0" borderId="59" xfId="46" applyNumberFormat="1" applyFont="1" applyBorder="1" applyAlignment="1">
      <alignment horizontal="center"/>
    </xf>
    <xf numFmtId="3" fontId="23" fillId="0" borderId="58" xfId="46" applyNumberFormat="1" applyFont="1" applyBorder="1" applyAlignment="1">
      <alignment horizontal="right"/>
    </xf>
    <xf numFmtId="3" fontId="28" fillId="0" borderId="61" xfId="0" applyNumberFormat="1" applyFont="1" applyBorder="1" applyAlignment="1">
      <alignment horizontal="right" wrapText="1"/>
    </xf>
    <xf numFmtId="3" fontId="23" fillId="0" borderId="61" xfId="0" applyNumberFormat="1" applyFont="1" applyBorder="1" applyAlignment="1">
      <alignment horizontal="right" wrapText="1"/>
    </xf>
    <xf numFmtId="3" fontId="23" fillId="0" borderId="122" xfId="0" applyNumberFormat="1" applyFont="1" applyBorder="1" applyAlignment="1">
      <alignment horizontal="right" wrapText="1"/>
    </xf>
    <xf numFmtId="3" fontId="21" fillId="0" borderId="58" xfId="46" applyNumberFormat="1" applyFont="1" applyBorder="1" applyAlignment="1">
      <alignment horizontal="right"/>
    </xf>
    <xf numFmtId="3" fontId="15" fillId="0" borderId="61" xfId="0" applyNumberFormat="1" applyFont="1" applyBorder="1" applyAlignment="1">
      <alignment horizontal="right" wrapText="1"/>
    </xf>
    <xf numFmtId="3" fontId="21" fillId="0" borderId="61" xfId="0" applyNumberFormat="1" applyFont="1" applyBorder="1" applyAlignment="1">
      <alignment horizontal="right" wrapText="1"/>
    </xf>
    <xf numFmtId="3" fontId="21" fillId="0" borderId="122" xfId="0" applyNumberFormat="1" applyFont="1" applyBorder="1" applyAlignment="1">
      <alignment horizontal="right" wrapText="1"/>
    </xf>
    <xf numFmtId="3" fontId="28" fillId="0" borderId="58" xfId="0" applyNumberFormat="1" applyFont="1" applyBorder="1" applyAlignment="1">
      <alignment horizontal="right" wrapText="1"/>
    </xf>
    <xf numFmtId="3" fontId="15" fillId="0" borderId="122" xfId="0" applyNumberFormat="1" applyFont="1" applyBorder="1" applyAlignment="1">
      <alignment horizontal="right" wrapText="1"/>
    </xf>
    <xf numFmtId="3" fontId="21" fillId="0" borderId="48" xfId="0" applyNumberFormat="1" applyFont="1" applyBorder="1" applyAlignment="1">
      <alignment horizontal="right" wrapText="1"/>
    </xf>
    <xf numFmtId="3" fontId="15" fillId="0" borderId="48" xfId="0" applyNumberFormat="1" applyFont="1" applyBorder="1" applyAlignment="1">
      <alignment horizontal="right" wrapText="1"/>
    </xf>
    <xf numFmtId="0" fontId="21" fillId="0" borderId="64" xfId="47" applyFont="1" applyBorder="1" applyAlignment="1">
      <alignment horizontal="left"/>
    </xf>
    <xf numFmtId="3" fontId="15" fillId="0" borderId="123" xfId="46" applyNumberFormat="1" applyFont="1" applyBorder="1" applyAlignment="1">
      <alignment horizontal="center" vertical="center"/>
    </xf>
    <xf numFmtId="3" fontId="14" fillId="0" borderId="71" xfId="46" applyNumberFormat="1" applyFont="1" applyBorder="1" applyAlignment="1">
      <alignment horizontal="center"/>
    </xf>
    <xf numFmtId="3" fontId="14" fillId="0" borderId="125" xfId="46" applyNumberFormat="1" applyFont="1" applyBorder="1" applyAlignment="1">
      <alignment horizontal="center"/>
    </xf>
    <xf numFmtId="3" fontId="28" fillId="0" borderId="113" xfId="0" applyNumberFormat="1" applyFont="1" applyBorder="1" applyAlignment="1">
      <alignment horizontal="right" wrapText="1"/>
    </xf>
    <xf numFmtId="3" fontId="21" fillId="0" borderId="126" xfId="0" applyNumberFormat="1" applyFont="1" applyBorder="1" applyAlignment="1">
      <alignment horizontal="right" wrapText="1"/>
    </xf>
    <xf numFmtId="3" fontId="15" fillId="0" borderId="17" xfId="46" applyNumberFormat="1" applyFont="1" applyBorder="1" applyAlignment="1">
      <alignment horizontal="center" vertical="center"/>
    </xf>
    <xf numFmtId="3" fontId="28" fillId="0" borderId="93" xfId="0" applyNumberFormat="1" applyFont="1" applyBorder="1" applyAlignment="1">
      <alignment horizontal="right" wrapText="1"/>
    </xf>
    <xf numFmtId="3" fontId="23" fillId="0" borderId="93" xfId="0" applyNumberFormat="1" applyFont="1" applyBorder="1" applyAlignment="1">
      <alignment horizontal="right" wrapText="1"/>
    </xf>
    <xf numFmtId="3" fontId="23" fillId="0" borderId="19" xfId="0" applyNumberFormat="1" applyFont="1" applyBorder="1" applyAlignment="1">
      <alignment horizontal="right" wrapText="1"/>
    </xf>
    <xf numFmtId="3" fontId="21" fillId="0" borderId="80" xfId="46" applyNumberFormat="1" applyFont="1" applyBorder="1" applyAlignment="1">
      <alignment horizontal="center" vertical="center"/>
    </xf>
    <xf numFmtId="3" fontId="14" fillId="0" borderId="58" xfId="46" applyNumberFormat="1" applyFont="1" applyBorder="1" applyAlignment="1">
      <alignment horizontal="center" wrapText="1"/>
    </xf>
    <xf numFmtId="3" fontId="23" fillId="0" borderId="59" xfId="46" applyNumberFormat="1" applyFont="1" applyBorder="1" applyAlignment="1">
      <alignment wrapText="1"/>
    </xf>
    <xf numFmtId="3" fontId="14" fillId="0" borderId="127" xfId="46" applyNumberFormat="1" applyFont="1" applyBorder="1" applyAlignment="1">
      <alignment horizontal="center"/>
    </xf>
    <xf numFmtId="3" fontId="23" fillId="0" borderId="122" xfId="0" applyNumberFormat="1" applyFont="1" applyBorder="1"/>
    <xf numFmtId="3" fontId="14" fillId="0" borderId="46" xfId="46" applyNumberFormat="1" applyFont="1" applyBorder="1" applyAlignment="1">
      <alignment horizontal="center" wrapText="1"/>
    </xf>
    <xf numFmtId="3" fontId="23" fillId="0" borderId="46" xfId="46" applyNumberFormat="1" applyFont="1" applyBorder="1" applyAlignment="1">
      <alignment wrapText="1"/>
    </xf>
    <xf numFmtId="3" fontId="21" fillId="0" borderId="128" xfId="46" applyNumberFormat="1" applyFont="1" applyBorder="1" applyAlignment="1">
      <alignment horizontal="center" vertical="center"/>
    </xf>
    <xf numFmtId="3" fontId="14" fillId="0" borderId="54" xfId="46" applyNumberFormat="1" applyFont="1" applyBorder="1" applyAlignment="1">
      <alignment horizontal="center" wrapText="1"/>
    </xf>
    <xf numFmtId="3" fontId="15" fillId="0" borderId="87" xfId="0" applyNumberFormat="1" applyFont="1" applyBorder="1" applyAlignment="1">
      <alignment wrapText="1"/>
    </xf>
    <xf numFmtId="3" fontId="15" fillId="0" borderId="54" xfId="0" applyNumberFormat="1" applyFont="1" applyBorder="1" applyAlignment="1">
      <alignment wrapText="1"/>
    </xf>
    <xf numFmtId="3" fontId="14" fillId="0" borderId="130" xfId="46" applyNumberFormat="1" applyFont="1" applyBorder="1" applyAlignment="1">
      <alignment horizontal="center"/>
    </xf>
    <xf numFmtId="3" fontId="23" fillId="0" borderId="54" xfId="0" applyNumberFormat="1" applyFont="1" applyBorder="1" applyAlignment="1">
      <alignment vertical="center"/>
    </xf>
    <xf numFmtId="3" fontId="23" fillId="0" borderId="56" xfId="0" applyNumberFormat="1" applyFont="1" applyBorder="1" applyAlignment="1">
      <alignment vertical="center"/>
    </xf>
    <xf numFmtId="3" fontId="23" fillId="0" borderId="131" xfId="0" applyNumberFormat="1" applyFont="1" applyBorder="1" applyAlignment="1">
      <alignment vertical="center"/>
    </xf>
    <xf numFmtId="3" fontId="14" fillId="0" borderId="39" xfId="0" applyNumberFormat="1" applyFont="1" applyBorder="1" applyAlignment="1">
      <alignment horizontal="center" wrapText="1"/>
    </xf>
    <xf numFmtId="3" fontId="14" fillId="0" borderId="40" xfId="0" applyNumberFormat="1" applyFont="1" applyBorder="1" applyAlignment="1">
      <alignment horizontal="center" wrapText="1"/>
    </xf>
    <xf numFmtId="3" fontId="14" fillId="0" borderId="119" xfId="0" applyNumberFormat="1" applyFont="1" applyBorder="1" applyAlignment="1">
      <alignment horizontal="center" wrapText="1"/>
    </xf>
    <xf numFmtId="3" fontId="27" fillId="0" borderId="0" xfId="0" applyNumberFormat="1" applyFont="1" applyAlignment="1">
      <alignment horizontal="right" wrapText="1"/>
    </xf>
    <xf numFmtId="3" fontId="15" fillId="0" borderId="52" xfId="0" applyNumberFormat="1" applyFont="1" applyBorder="1" applyAlignment="1">
      <alignment wrapText="1"/>
    </xf>
    <xf numFmtId="0" fontId="0" fillId="0" borderId="46" xfId="0" applyBorder="1" applyAlignment="1">
      <alignment wrapText="1"/>
    </xf>
    <xf numFmtId="0" fontId="0" fillId="0" borderId="98" xfId="0" applyBorder="1" applyAlignment="1">
      <alignment wrapText="1"/>
    </xf>
    <xf numFmtId="3" fontId="14" fillId="0" borderId="80" xfId="0" applyNumberFormat="1" applyFont="1" applyBorder="1" applyAlignment="1">
      <alignment horizontal="center" wrapText="1"/>
    </xf>
    <xf numFmtId="3" fontId="14" fillId="0" borderId="58" xfId="0" applyNumberFormat="1" applyFont="1" applyBorder="1" applyAlignment="1">
      <alignment horizontal="center" wrapText="1"/>
    </xf>
    <xf numFmtId="3" fontId="14" fillId="0" borderId="127" xfId="0" applyNumberFormat="1" applyFont="1" applyBorder="1" applyAlignment="1">
      <alignment horizontal="center" wrapText="1"/>
    </xf>
    <xf numFmtId="3" fontId="27" fillId="0" borderId="58" xfId="0" applyNumberFormat="1" applyFont="1" applyBorder="1" applyAlignment="1">
      <alignment horizontal="right" wrapText="1"/>
    </xf>
    <xf numFmtId="3" fontId="27" fillId="0" borderId="62" xfId="0" applyNumberFormat="1" applyFont="1" applyBorder="1" applyAlignment="1">
      <alignment horizontal="right" wrapText="1"/>
    </xf>
    <xf numFmtId="3" fontId="14" fillId="0" borderId="59" xfId="0" applyNumberFormat="1" applyFont="1" applyBorder="1" applyAlignment="1">
      <alignment horizontal="center" wrapText="1"/>
    </xf>
    <xf numFmtId="3" fontId="14" fillId="0" borderId="58" xfId="0" applyNumberFormat="1" applyFont="1" applyBorder="1" applyAlignment="1">
      <alignment horizontal="right" wrapText="1"/>
    </xf>
    <xf numFmtId="3" fontId="14" fillId="0" borderId="83" xfId="0" applyNumberFormat="1" applyFont="1" applyBorder="1" applyAlignment="1">
      <alignment horizontal="center" wrapText="1"/>
    </xf>
    <xf numFmtId="3" fontId="14" fillId="0" borderId="71" xfId="0" applyNumberFormat="1" applyFont="1" applyBorder="1" applyAlignment="1">
      <alignment horizontal="center" wrapText="1"/>
    </xf>
    <xf numFmtId="3" fontId="14" fillId="0" borderId="125" xfId="0" applyNumberFormat="1" applyFont="1" applyBorder="1" applyAlignment="1">
      <alignment horizontal="center" wrapText="1"/>
    </xf>
    <xf numFmtId="1" fontId="32" fillId="0" borderId="0" xfId="46" applyNumberFormat="1" applyFont="1" applyAlignment="1">
      <alignment horizontal="left" vertical="center"/>
    </xf>
    <xf numFmtId="3" fontId="17" fillId="0" borderId="0" xfId="0" applyNumberFormat="1" applyFont="1"/>
    <xf numFmtId="3" fontId="13" fillId="0" borderId="0" xfId="0" applyNumberFormat="1" applyFont="1" applyAlignment="1">
      <alignment vertical="top"/>
    </xf>
    <xf numFmtId="3" fontId="8" fillId="0" borderId="0" xfId="46" applyNumberFormat="1" applyFont="1" applyAlignment="1">
      <alignment vertical="top" wrapText="1"/>
    </xf>
    <xf numFmtId="3" fontId="7" fillId="0" borderId="0" xfId="46" applyNumberFormat="1" applyFont="1" applyAlignment="1">
      <alignment horizontal="center" vertical="top" wrapText="1"/>
    </xf>
    <xf numFmtId="0" fontId="14" fillId="0" borderId="0" xfId="50" applyFont="1" applyAlignment="1">
      <alignment horizontal="center"/>
    </xf>
    <xf numFmtId="3" fontId="14" fillId="0" borderId="0" xfId="50" applyNumberFormat="1" applyFont="1" applyAlignment="1">
      <alignment horizontal="right"/>
    </xf>
    <xf numFmtId="0" fontId="14" fillId="0" borderId="0" xfId="50" applyFont="1"/>
    <xf numFmtId="3" fontId="7" fillId="0" borderId="0" xfId="28" applyNumberFormat="1" applyFont="1" applyAlignment="1">
      <alignment horizontal="right"/>
    </xf>
    <xf numFmtId="3" fontId="7" fillId="0" borderId="0" xfId="50" applyNumberFormat="1" applyFont="1" applyAlignment="1">
      <alignment horizontal="right"/>
    </xf>
    <xf numFmtId="0" fontId="7" fillId="0" borderId="0" xfId="28" applyFont="1"/>
    <xf numFmtId="0" fontId="7" fillId="0" borderId="0" xfId="50" applyFont="1"/>
    <xf numFmtId="3" fontId="15" fillId="0" borderId="0" xfId="50" applyNumberFormat="1" applyFont="1" applyAlignment="1">
      <alignment horizontal="right"/>
    </xf>
    <xf numFmtId="3" fontId="13" fillId="0" borderId="0" xfId="51" applyNumberFormat="1" applyFont="1" applyAlignment="1">
      <alignment horizontal="center"/>
    </xf>
    <xf numFmtId="0" fontId="13" fillId="0" borderId="0" xfId="0" applyFont="1" applyAlignment="1">
      <alignment vertical="center"/>
    </xf>
    <xf numFmtId="0" fontId="7" fillId="0" borderId="46" xfId="50" applyFont="1" applyBorder="1" applyAlignment="1">
      <alignment horizontal="center" vertical="top"/>
    </xf>
    <xf numFmtId="0" fontId="7" fillId="0" borderId="46" xfId="47" applyFont="1" applyBorder="1" applyAlignment="1">
      <alignment vertical="center" wrapText="1"/>
    </xf>
    <xf numFmtId="3" fontId="7" fillId="0" borderId="48" xfId="47" applyNumberFormat="1" applyFont="1" applyBorder="1" applyAlignment="1">
      <alignment horizontal="right" vertical="center" wrapText="1"/>
    </xf>
    <xf numFmtId="0" fontId="7" fillId="0" borderId="46" xfId="50" applyFont="1" applyBorder="1" applyAlignment="1">
      <alignment horizontal="center"/>
    </xf>
    <xf numFmtId="3" fontId="8" fillId="0" borderId="49" xfId="47" applyNumberFormat="1" applyFont="1" applyBorder="1" applyAlignment="1">
      <alignment horizontal="right" vertical="center" wrapText="1"/>
    </xf>
    <xf numFmtId="3" fontId="11" fillId="0" borderId="46" xfId="47" applyNumberFormat="1" applyFont="1" applyBorder="1" applyAlignment="1">
      <alignment horizontal="right" vertical="center" wrapText="1"/>
    </xf>
    <xf numFmtId="3" fontId="11" fillId="0" borderId="49" xfId="47" applyNumberFormat="1" applyFont="1" applyBorder="1" applyAlignment="1">
      <alignment horizontal="right" wrapText="1"/>
    </xf>
    <xf numFmtId="3" fontId="8" fillId="0" borderId="49" xfId="47" applyNumberFormat="1" applyFont="1" applyBorder="1" applyAlignment="1">
      <alignment horizontal="right" wrapText="1"/>
    </xf>
    <xf numFmtId="0" fontId="7" fillId="0" borderId="46" xfId="47" applyFont="1" applyBorder="1" applyAlignment="1">
      <alignment wrapText="1"/>
    </xf>
    <xf numFmtId="3" fontId="8" fillId="0" borderId="60" xfId="47" applyNumberFormat="1" applyFont="1" applyBorder="1" applyAlignment="1">
      <alignment horizontal="right" vertical="center" wrapText="1"/>
    </xf>
    <xf numFmtId="0" fontId="7" fillId="0" borderId="58" xfId="50" applyFont="1" applyBorder="1" applyAlignment="1">
      <alignment horizontal="center"/>
    </xf>
    <xf numFmtId="0" fontId="7" fillId="0" borderId="40" xfId="50" applyFont="1" applyBorder="1" applyAlignment="1">
      <alignment horizontal="center"/>
    </xf>
    <xf numFmtId="0" fontId="7" fillId="0" borderId="68" xfId="50" applyFont="1" applyBorder="1" applyAlignment="1">
      <alignment horizontal="center"/>
    </xf>
    <xf numFmtId="3" fontId="8" fillId="0" borderId="60" xfId="47" applyNumberFormat="1" applyFont="1" applyBorder="1" applyAlignment="1">
      <alignment horizontal="right" wrapText="1"/>
    </xf>
    <xf numFmtId="0" fontId="8" fillId="0" borderId="46" xfId="47" applyFont="1" applyBorder="1" applyAlignment="1">
      <alignment horizontal="left"/>
    </xf>
    <xf numFmtId="3" fontId="8" fillId="0" borderId="69" xfId="47" applyNumberFormat="1" applyFont="1" applyBorder="1" applyAlignment="1">
      <alignment horizontal="right" wrapText="1"/>
    </xf>
    <xf numFmtId="3" fontId="8" fillId="0" borderId="43" xfId="47" applyNumberFormat="1" applyFont="1" applyBorder="1" applyAlignment="1">
      <alignment horizontal="right" wrapText="1"/>
    </xf>
    <xf numFmtId="3" fontId="8" fillId="0" borderId="40" xfId="50" applyNumberFormat="1" applyFont="1" applyBorder="1" applyAlignment="1">
      <alignment horizontal="right"/>
    </xf>
    <xf numFmtId="3" fontId="8" fillId="0" borderId="63" xfId="47" applyNumberFormat="1" applyFont="1" applyBorder="1" applyAlignment="1">
      <alignment horizontal="right" vertical="center" wrapText="1"/>
    </xf>
    <xf numFmtId="3" fontId="11" fillId="0" borderId="49" xfId="47" applyNumberFormat="1" applyFont="1" applyBorder="1" applyAlignment="1">
      <alignment horizontal="right" vertical="center" wrapText="1"/>
    </xf>
    <xf numFmtId="0" fontId="11" fillId="0" borderId="46" xfId="47" applyFont="1" applyBorder="1" applyAlignment="1">
      <alignment horizontal="left"/>
    </xf>
    <xf numFmtId="0" fontId="7" fillId="0" borderId="0" xfId="50" applyFont="1" applyAlignment="1">
      <alignment horizontal="center"/>
    </xf>
    <xf numFmtId="3" fontId="7" fillId="0" borderId="0" xfId="50" applyNumberFormat="1" applyFont="1" applyAlignment="1">
      <alignment horizontal="center" wrapText="1"/>
    </xf>
    <xf numFmtId="3" fontId="8" fillId="0" borderId="0" xfId="50" applyNumberFormat="1" applyFont="1" applyAlignment="1">
      <alignment horizontal="right"/>
    </xf>
    <xf numFmtId="3" fontId="7" fillId="0" borderId="0" xfId="28" applyNumberFormat="1" applyFont="1" applyAlignment="1">
      <alignment horizontal="center"/>
    </xf>
    <xf numFmtId="3" fontId="14" fillId="0" borderId="0" xfId="50" applyNumberFormat="1" applyFont="1" applyAlignment="1">
      <alignment horizontal="center" wrapText="1"/>
    </xf>
    <xf numFmtId="3" fontId="21" fillId="0" borderId="0" xfId="50" applyNumberFormat="1" applyFont="1" applyAlignment="1">
      <alignment horizontal="right"/>
    </xf>
    <xf numFmtId="0" fontId="13" fillId="0" borderId="0" xfId="50" applyFont="1" applyAlignment="1">
      <alignment horizontal="center"/>
    </xf>
    <xf numFmtId="0" fontId="13" fillId="0" borderId="0" xfId="51" applyFont="1" applyAlignment="1">
      <alignment horizontal="center" wrapText="1"/>
    </xf>
    <xf numFmtId="3" fontId="7" fillId="0" borderId="101" xfId="50" applyNumberFormat="1" applyFont="1" applyBorder="1" applyAlignment="1">
      <alignment horizontal="center" vertical="center" wrapText="1"/>
    </xf>
    <xf numFmtId="3" fontId="7" fillId="0" borderId="38" xfId="50" applyNumberFormat="1" applyFont="1" applyBorder="1" applyAlignment="1">
      <alignment horizontal="center" vertical="center" wrapText="1"/>
    </xf>
    <xf numFmtId="3" fontId="7" fillId="0" borderId="99" xfId="50" applyNumberFormat="1" applyFont="1" applyBorder="1" applyAlignment="1">
      <alignment horizontal="center" vertical="center" wrapText="1"/>
    </xf>
    <xf numFmtId="3" fontId="14" fillId="0" borderId="0" xfId="50" applyNumberFormat="1" applyFont="1" applyAlignment="1">
      <alignment horizontal="center" vertical="center"/>
    </xf>
    <xf numFmtId="0" fontId="8" fillId="0" borderId="39" xfId="50" applyFont="1" applyBorder="1" applyAlignment="1">
      <alignment horizontal="center"/>
    </xf>
    <xf numFmtId="0" fontId="12" fillId="0" borderId="40" xfId="50" applyFont="1" applyBorder="1" applyAlignment="1">
      <alignment horizontal="left"/>
    </xf>
    <xf numFmtId="3" fontId="7" fillId="0" borderId="41" xfId="48" applyNumberFormat="1" applyFont="1" applyBorder="1" applyAlignment="1">
      <alignment horizontal="left"/>
    </xf>
    <xf numFmtId="3" fontId="7" fillId="0" borderId="40" xfId="50" applyNumberFormat="1" applyFont="1" applyBorder="1" applyAlignment="1">
      <alignment horizontal="right"/>
    </xf>
    <xf numFmtId="3" fontId="7" fillId="0" borderId="40" xfId="47" applyNumberFormat="1" applyFont="1" applyBorder="1" applyAlignment="1">
      <alignment horizontal="right"/>
    </xf>
    <xf numFmtId="3" fontId="7" fillId="0" borderId="51" xfId="50" applyNumberFormat="1" applyFont="1" applyBorder="1" applyAlignment="1">
      <alignment horizontal="right"/>
    </xf>
    <xf numFmtId="0" fontId="7" fillId="0" borderId="85" xfId="50" applyFont="1" applyBorder="1" applyAlignment="1">
      <alignment horizontal="center" wrapText="1"/>
    </xf>
    <xf numFmtId="3" fontId="35" fillId="0" borderId="144" xfId="47" applyNumberFormat="1" applyFont="1" applyBorder="1" applyAlignment="1">
      <alignment horizontal="right" wrapText="1"/>
    </xf>
    <xf numFmtId="3" fontId="35" fillId="0" borderId="145" xfId="47" applyNumberFormat="1" applyFont="1" applyBorder="1" applyAlignment="1">
      <alignment horizontal="right" wrapText="1"/>
    </xf>
    <xf numFmtId="3" fontId="33" fillId="0" borderId="146" xfId="47" applyNumberFormat="1" applyFont="1" applyBorder="1" applyAlignment="1">
      <alignment horizontal="right" wrapText="1"/>
    </xf>
    <xf numFmtId="3" fontId="7" fillId="0" borderId="134" xfId="50" applyNumberFormat="1" applyFont="1" applyBorder="1" applyAlignment="1">
      <alignment horizontal="right"/>
    </xf>
    <xf numFmtId="0" fontId="8" fillId="0" borderId="0" xfId="50" applyFont="1"/>
    <xf numFmtId="0" fontId="8" fillId="0" borderId="45" xfId="50" applyFont="1" applyBorder="1" applyAlignment="1">
      <alignment horizontal="center"/>
    </xf>
    <xf numFmtId="0" fontId="7" fillId="0" borderId="47" xfId="47" applyFont="1" applyBorder="1" applyAlignment="1">
      <alignment vertical="top" wrapText="1"/>
    </xf>
    <xf numFmtId="3" fontId="7" fillId="0" borderId="46" xfId="50" applyNumberFormat="1" applyFont="1" applyBorder="1" applyAlignment="1">
      <alignment horizontal="right" vertical="top"/>
    </xf>
    <xf numFmtId="3" fontId="7" fillId="0" borderId="46" xfId="50" applyNumberFormat="1" applyFont="1" applyBorder="1" applyAlignment="1">
      <alignment horizontal="right"/>
    </xf>
    <xf numFmtId="3" fontId="7" fillId="0" borderId="52" xfId="50" applyNumberFormat="1" applyFont="1" applyBorder="1" applyAlignment="1">
      <alignment horizontal="right" vertical="top"/>
    </xf>
    <xf numFmtId="0" fontId="7" fillId="0" borderId="86" xfId="50" applyFont="1" applyBorder="1" applyAlignment="1">
      <alignment horizontal="center" vertical="top" wrapText="1"/>
    </xf>
    <xf numFmtId="3" fontId="33" fillId="0" borderId="48" xfId="50" applyNumberFormat="1" applyFont="1" applyBorder="1" applyAlignment="1">
      <alignment horizontal="right"/>
    </xf>
    <xf numFmtId="3" fontId="33" fillId="0" borderId="46" xfId="50" applyNumberFormat="1" applyFont="1" applyBorder="1" applyAlignment="1">
      <alignment horizontal="right"/>
    </xf>
    <xf numFmtId="3" fontId="35" fillId="0" borderId="46" xfId="50" applyNumberFormat="1" applyFont="1" applyBorder="1" applyAlignment="1">
      <alignment horizontal="right"/>
    </xf>
    <xf numFmtId="3" fontId="33" fillId="0" borderId="49" xfId="50" applyNumberFormat="1" applyFont="1" applyBorder="1" applyAlignment="1">
      <alignment horizontal="right"/>
    </xf>
    <xf numFmtId="3" fontId="7" fillId="0" borderId="135" xfId="50" applyNumberFormat="1" applyFont="1" applyBorder="1" applyAlignment="1">
      <alignment horizontal="right"/>
    </xf>
    <xf numFmtId="0" fontId="7" fillId="0" borderId="45" xfId="50" applyFont="1" applyBorder="1" applyAlignment="1">
      <alignment horizontal="center"/>
    </xf>
    <xf numFmtId="0" fontId="33" fillId="0" borderId="47" xfId="47" applyFont="1" applyBorder="1"/>
    <xf numFmtId="3" fontId="7" fillId="0" borderId="52" xfId="50" applyNumberFormat="1" applyFont="1" applyBorder="1" applyAlignment="1">
      <alignment horizontal="right"/>
    </xf>
    <xf numFmtId="0" fontId="7" fillId="0" borderId="86" xfId="50" applyFont="1" applyBorder="1" applyAlignment="1">
      <alignment horizontal="center" wrapText="1"/>
    </xf>
    <xf numFmtId="3" fontId="33" fillId="0" borderId="49" xfId="47" applyNumberFormat="1" applyFont="1" applyBorder="1" applyAlignment="1">
      <alignment horizontal="right" wrapText="1"/>
    </xf>
    <xf numFmtId="0" fontId="8" fillId="0" borderId="47" xfId="47" applyFont="1" applyBorder="1" applyAlignment="1">
      <alignment horizontal="left"/>
    </xf>
    <xf numFmtId="3" fontId="8" fillId="0" borderId="48" xfId="50" applyNumberFormat="1" applyFont="1" applyBorder="1" applyAlignment="1">
      <alignment horizontal="right"/>
    </xf>
    <xf numFmtId="3" fontId="8" fillId="0" borderId="46" xfId="50" applyNumberFormat="1" applyFont="1" applyBorder="1" applyAlignment="1">
      <alignment horizontal="right"/>
    </xf>
    <xf numFmtId="0" fontId="11" fillId="0" borderId="47" xfId="47" applyFont="1" applyBorder="1" applyAlignment="1">
      <alignment horizontal="left"/>
    </xf>
    <xf numFmtId="0" fontId="7" fillId="0" borderId="46" xfId="47" applyFont="1" applyBorder="1" applyAlignment="1">
      <alignment vertical="top" wrapText="1"/>
    </xf>
    <xf numFmtId="3" fontId="7" fillId="0" borderId="46" xfId="47" applyNumberFormat="1" applyFont="1" applyBorder="1" applyAlignment="1">
      <alignment horizontal="right" vertical="top"/>
    </xf>
    <xf numFmtId="3" fontId="33" fillId="0" borderId="48" xfId="47" applyNumberFormat="1" applyFont="1" applyBorder="1" applyAlignment="1">
      <alignment horizontal="right" wrapText="1"/>
    </xf>
    <xf numFmtId="3" fontId="33" fillId="0" borderId="46" xfId="47" applyNumberFormat="1" applyFont="1" applyBorder="1" applyAlignment="1">
      <alignment horizontal="right" wrapText="1"/>
    </xf>
    <xf numFmtId="3" fontId="35" fillId="0" borderId="46" xfId="47" applyNumberFormat="1" applyFont="1" applyBorder="1" applyAlignment="1">
      <alignment horizontal="right" wrapText="1"/>
    </xf>
    <xf numFmtId="3" fontId="7" fillId="0" borderId="46" xfId="47" applyNumberFormat="1" applyFont="1" applyBorder="1" applyAlignment="1">
      <alignment horizontal="right"/>
    </xf>
    <xf numFmtId="3" fontId="8" fillId="0" borderId="46" xfId="47" applyNumberFormat="1" applyFont="1" applyBorder="1" applyAlignment="1">
      <alignment horizontal="right" wrapText="1"/>
    </xf>
    <xf numFmtId="3" fontId="7" fillId="0" borderId="46" xfId="47" applyNumberFormat="1" applyFont="1" applyBorder="1" applyAlignment="1">
      <alignment horizontal="right" wrapText="1"/>
    </xf>
    <xf numFmtId="3" fontId="11" fillId="0" borderId="46" xfId="47" applyNumberFormat="1" applyFont="1" applyBorder="1" applyAlignment="1">
      <alignment horizontal="right" wrapText="1"/>
    </xf>
    <xf numFmtId="3" fontId="8" fillId="0" borderId="48" xfId="47" applyNumberFormat="1" applyFont="1" applyBorder="1" applyAlignment="1">
      <alignment horizontal="right" wrapText="1"/>
    </xf>
    <xf numFmtId="2" fontId="7" fillId="0" borderId="46" xfId="47" applyNumberFormat="1" applyFont="1" applyBorder="1" applyAlignment="1">
      <alignment wrapText="1"/>
    </xf>
    <xf numFmtId="3" fontId="11" fillId="0" borderId="46" xfId="50" applyNumberFormat="1" applyFont="1" applyBorder="1" applyAlignment="1">
      <alignment horizontal="right"/>
    </xf>
    <xf numFmtId="0" fontId="7" fillId="0" borderId="46" xfId="47" applyFont="1" applyBorder="1"/>
    <xf numFmtId="0" fontId="8" fillId="0" borderId="80" xfId="50" applyFont="1" applyBorder="1" applyAlignment="1">
      <alignment horizontal="center"/>
    </xf>
    <xf numFmtId="0" fontId="7" fillId="0" borderId="58" xfId="50" applyFont="1" applyBorder="1" applyAlignment="1">
      <alignment horizontal="center" vertical="top"/>
    </xf>
    <xf numFmtId="0" fontId="33" fillId="0" borderId="59" xfId="47" applyFont="1" applyBorder="1"/>
    <xf numFmtId="3" fontId="7" fillId="0" borderId="58" xfId="50" applyNumberFormat="1" applyFont="1" applyBorder="1" applyAlignment="1">
      <alignment horizontal="right"/>
    </xf>
    <xf numFmtId="3" fontId="7" fillId="0" borderId="64" xfId="50" applyNumberFormat="1" applyFont="1" applyBorder="1" applyAlignment="1">
      <alignment horizontal="right"/>
    </xf>
    <xf numFmtId="0" fontId="7" fillId="0" borderId="89" xfId="50" applyFont="1" applyBorder="1" applyAlignment="1">
      <alignment horizontal="center" wrapText="1"/>
    </xf>
    <xf numFmtId="3" fontId="33" fillId="0" borderId="61" xfId="50" applyNumberFormat="1" applyFont="1" applyBorder="1" applyAlignment="1">
      <alignment horizontal="right"/>
    </xf>
    <xf numFmtId="3" fontId="33" fillId="0" borderId="58" xfId="50" applyNumberFormat="1" applyFont="1" applyBorder="1" applyAlignment="1">
      <alignment horizontal="right"/>
    </xf>
    <xf numFmtId="3" fontId="35" fillId="0" borderId="58" xfId="50" applyNumberFormat="1" applyFont="1" applyBorder="1" applyAlignment="1">
      <alignment horizontal="right"/>
    </xf>
    <xf numFmtId="3" fontId="33" fillId="0" borderId="60" xfId="47" applyNumberFormat="1" applyFont="1" applyBorder="1" applyAlignment="1">
      <alignment horizontal="right" wrapText="1"/>
    </xf>
    <xf numFmtId="3" fontId="7" fillId="0" borderId="138" xfId="50" applyNumberFormat="1" applyFont="1" applyBorder="1" applyAlignment="1">
      <alignment horizontal="right"/>
    </xf>
    <xf numFmtId="0" fontId="8" fillId="0" borderId="81" xfId="50" applyFont="1" applyBorder="1" applyAlignment="1">
      <alignment horizontal="center"/>
    </xf>
    <xf numFmtId="3" fontId="7" fillId="0" borderId="59" xfId="50" applyNumberFormat="1" applyFont="1" applyBorder="1" applyAlignment="1">
      <alignment horizontal="right"/>
    </xf>
    <xf numFmtId="3" fontId="8" fillId="0" borderId="61" xfId="50" applyNumberFormat="1" applyFont="1" applyBorder="1" applyAlignment="1">
      <alignment horizontal="right"/>
    </xf>
    <xf numFmtId="3" fontId="7" fillId="0" borderId="61" xfId="50" applyNumberFormat="1" applyFont="1" applyBorder="1" applyAlignment="1">
      <alignment horizontal="right"/>
    </xf>
    <xf numFmtId="3" fontId="11" fillId="0" borderId="61" xfId="50" applyNumberFormat="1" applyFont="1" applyBorder="1" applyAlignment="1">
      <alignment horizontal="right"/>
    </xf>
    <xf numFmtId="3" fontId="35" fillId="0" borderId="61" xfId="50" applyNumberFormat="1" applyFont="1" applyBorder="1" applyAlignment="1">
      <alignment horizontal="right"/>
    </xf>
    <xf numFmtId="3" fontId="7" fillId="0" borderId="59" xfId="50" applyNumberFormat="1" applyFont="1" applyBorder="1" applyAlignment="1">
      <alignment horizontal="right" vertical="top"/>
    </xf>
    <xf numFmtId="0" fontId="7" fillId="0" borderId="89" xfId="50" applyFont="1" applyBorder="1" applyAlignment="1">
      <alignment horizontal="center" vertical="top" wrapText="1"/>
    </xf>
    <xf numFmtId="3" fontId="33" fillId="0" borderId="50" xfId="50" applyNumberFormat="1" applyFont="1" applyBorder="1" applyAlignment="1">
      <alignment horizontal="right"/>
    </xf>
    <xf numFmtId="3" fontId="33" fillId="0" borderId="122" xfId="50" applyNumberFormat="1" applyFont="1" applyBorder="1" applyAlignment="1">
      <alignment horizontal="right"/>
    </xf>
    <xf numFmtId="3" fontId="33" fillId="0" borderId="138" xfId="50" applyNumberFormat="1" applyFont="1" applyBorder="1" applyAlignment="1">
      <alignment horizontal="right"/>
    </xf>
    <xf numFmtId="3" fontId="7" fillId="0" borderId="47" xfId="50" applyNumberFormat="1" applyFont="1" applyBorder="1" applyAlignment="1">
      <alignment horizontal="right"/>
    </xf>
    <xf numFmtId="3" fontId="11" fillId="0" borderId="48" xfId="50" applyNumberFormat="1" applyFont="1" applyBorder="1" applyAlignment="1">
      <alignment horizontal="right"/>
    </xf>
    <xf numFmtId="3" fontId="35" fillId="0" borderId="48" xfId="50" applyNumberFormat="1" applyFont="1" applyBorder="1" applyAlignment="1">
      <alignment horizontal="right"/>
    </xf>
    <xf numFmtId="3" fontId="33" fillId="0" borderId="135" xfId="50" applyNumberFormat="1" applyFont="1" applyBorder="1" applyAlignment="1">
      <alignment horizontal="right"/>
    </xf>
    <xf numFmtId="0" fontId="8" fillId="0" borderId="82" xfId="50" applyFont="1" applyBorder="1" applyAlignment="1">
      <alignment horizontal="center"/>
    </xf>
    <xf numFmtId="0" fontId="7" fillId="0" borderId="48" xfId="47" applyFont="1" applyBorder="1" applyAlignment="1">
      <alignment wrapText="1"/>
    </xf>
    <xf numFmtId="3" fontId="7" fillId="0" borderId="58" xfId="50" applyNumberFormat="1" applyFont="1" applyBorder="1" applyAlignment="1">
      <alignment horizontal="right" vertical="top"/>
    </xf>
    <xf numFmtId="0" fontId="7" fillId="0" borderId="88" xfId="50" applyFont="1" applyBorder="1" applyAlignment="1">
      <alignment horizontal="center" wrapText="1"/>
    </xf>
    <xf numFmtId="3" fontId="33" fillId="0" borderId="56" xfId="50" applyNumberFormat="1" applyFont="1" applyBorder="1" applyAlignment="1">
      <alignment horizontal="right"/>
    </xf>
    <xf numFmtId="3" fontId="35" fillId="0" borderId="56" xfId="50" applyNumberFormat="1" applyFont="1" applyBorder="1" applyAlignment="1">
      <alignment horizontal="right"/>
    </xf>
    <xf numFmtId="3" fontId="33" fillId="0" borderId="55" xfId="47" applyNumberFormat="1" applyFont="1" applyBorder="1" applyAlignment="1">
      <alignment horizontal="right" wrapText="1"/>
    </xf>
    <xf numFmtId="3" fontId="7" fillId="0" borderId="139" xfId="50" applyNumberFormat="1" applyFont="1" applyBorder="1" applyAlignment="1">
      <alignment horizontal="right"/>
    </xf>
    <xf numFmtId="3" fontId="36" fillId="0" borderId="80" xfId="47" applyNumberFormat="1" applyFont="1" applyBorder="1" applyAlignment="1">
      <alignment vertical="center" wrapText="1"/>
    </xf>
    <xf numFmtId="3" fontId="36" fillId="0" borderId="58" xfId="47" applyNumberFormat="1" applyFont="1" applyBorder="1" applyAlignment="1">
      <alignment vertical="center" wrapText="1"/>
    </xf>
    <xf numFmtId="3" fontId="36" fillId="0" borderId="46" xfId="47" applyNumberFormat="1" applyFont="1" applyBorder="1" applyAlignment="1">
      <alignment vertical="center" wrapText="1"/>
    </xf>
    <xf numFmtId="3" fontId="36" fillId="0" borderId="97" xfId="47" applyNumberFormat="1" applyFont="1" applyBorder="1" applyAlignment="1">
      <alignment vertical="center" wrapText="1"/>
    </xf>
    <xf numFmtId="3" fontId="7" fillId="0" borderId="89" xfId="47" applyNumberFormat="1" applyFont="1" applyBorder="1" applyAlignment="1">
      <alignment horizontal="right" vertical="center" wrapText="1"/>
    </xf>
    <xf numFmtId="3" fontId="36" fillId="0" borderId="61" xfId="47" applyNumberFormat="1" applyFont="1" applyBorder="1" applyAlignment="1">
      <alignment horizontal="right" vertical="center" wrapText="1"/>
    </xf>
    <xf numFmtId="3" fontId="36" fillId="0" borderId="60" xfId="47" applyNumberFormat="1" applyFont="1" applyBorder="1" applyAlignment="1">
      <alignment horizontal="right" vertical="center" wrapText="1"/>
    </xf>
    <xf numFmtId="3" fontId="36" fillId="0" borderId="138" xfId="47" applyNumberFormat="1" applyFont="1" applyBorder="1" applyAlignment="1">
      <alignment horizontal="right" vertical="center" wrapText="1"/>
    </xf>
    <xf numFmtId="0" fontId="7" fillId="0" borderId="0" xfId="50" applyFont="1" applyAlignment="1">
      <alignment vertical="center"/>
    </xf>
    <xf numFmtId="3" fontId="7" fillId="0" borderId="61" xfId="47" applyNumberFormat="1" applyFont="1" applyBorder="1" applyAlignment="1">
      <alignment horizontal="right" vertical="center" wrapText="1"/>
    </xf>
    <xf numFmtId="3" fontId="8" fillId="0" borderId="61" xfId="47" applyNumberFormat="1" applyFont="1" applyBorder="1" applyAlignment="1">
      <alignment horizontal="right" vertical="center" wrapText="1"/>
    </xf>
    <xf numFmtId="3" fontId="36" fillId="0" borderId="122" xfId="47" applyNumberFormat="1" applyFont="1" applyBorder="1" applyAlignment="1">
      <alignment horizontal="right" vertical="center" wrapText="1"/>
    </xf>
    <xf numFmtId="3" fontId="36" fillId="0" borderId="45" xfId="47" applyNumberFormat="1" applyFont="1" applyBorder="1" applyAlignment="1">
      <alignment vertical="center" wrapText="1"/>
    </xf>
    <xf numFmtId="3" fontId="36" fillId="0" borderId="49" xfId="47" applyNumberFormat="1" applyFont="1" applyBorder="1" applyAlignment="1">
      <alignment vertical="center" wrapText="1"/>
    </xf>
    <xf numFmtId="3" fontId="36" fillId="0" borderId="63" xfId="47" applyNumberFormat="1" applyFont="1" applyBorder="1" applyAlignment="1">
      <alignment horizontal="right" vertical="center" wrapText="1"/>
    </xf>
    <xf numFmtId="3" fontId="36" fillId="0" borderId="83" xfId="47" applyNumberFormat="1" applyFont="1" applyBorder="1" applyAlignment="1">
      <alignment vertical="center" wrapText="1"/>
    </xf>
    <xf numFmtId="3" fontId="36" fillId="0" borderId="71" xfId="47" applyNumberFormat="1" applyFont="1" applyBorder="1" applyAlignment="1">
      <alignment vertical="center" wrapText="1"/>
    </xf>
    <xf numFmtId="3" fontId="36" fillId="0" borderId="92" xfId="47" applyNumberFormat="1" applyFont="1" applyBorder="1" applyAlignment="1">
      <alignment vertical="center" wrapText="1"/>
    </xf>
    <xf numFmtId="3" fontId="7" fillId="0" borderId="113" xfId="47" applyNumberFormat="1" applyFont="1" applyBorder="1" applyAlignment="1">
      <alignment horizontal="right" vertical="center" wrapText="1"/>
    </xf>
    <xf numFmtId="3" fontId="36" fillId="0" borderId="126" xfId="47" applyNumberFormat="1" applyFont="1" applyBorder="1" applyAlignment="1">
      <alignment horizontal="right" vertical="center" wrapText="1"/>
    </xf>
    <xf numFmtId="3" fontId="7" fillId="0" borderId="0" xfId="28" applyNumberFormat="1" applyFont="1" applyAlignment="1">
      <alignment horizontal="left"/>
    </xf>
    <xf numFmtId="3" fontId="37" fillId="0" borderId="0" xfId="28" applyNumberFormat="1" applyFont="1" applyAlignment="1">
      <alignment horizontal="left"/>
    </xf>
    <xf numFmtId="3" fontId="7" fillId="0" borderId="0" xfId="51" applyNumberFormat="1" applyFont="1" applyAlignment="1">
      <alignment horizontal="right"/>
    </xf>
    <xf numFmtId="3" fontId="7" fillId="0" borderId="0" xfId="51" applyNumberFormat="1" applyFont="1" applyAlignment="1">
      <alignment horizontal="right" wrapText="1"/>
    </xf>
    <xf numFmtId="3" fontId="8" fillId="0" borderId="0" xfId="51" applyNumberFormat="1" applyFont="1" applyAlignment="1">
      <alignment horizontal="right"/>
    </xf>
    <xf numFmtId="0" fontId="7" fillId="0" borderId="0" xfId="50" applyFont="1" applyAlignment="1">
      <alignment horizontal="left"/>
    </xf>
    <xf numFmtId="3" fontId="7" fillId="0" borderId="0" xfId="35" applyNumberFormat="1" applyFont="1" applyAlignment="1">
      <alignment horizontal="right"/>
    </xf>
    <xf numFmtId="3" fontId="7" fillId="0" borderId="0" xfId="35" applyNumberFormat="1" applyFont="1" applyAlignment="1">
      <alignment horizontal="center"/>
    </xf>
    <xf numFmtId="0" fontId="7" fillId="0" borderId="0" xfId="35" applyFont="1"/>
    <xf numFmtId="3" fontId="7" fillId="0" borderId="144" xfId="47" applyNumberFormat="1" applyFont="1" applyBorder="1" applyAlignment="1">
      <alignment horizontal="right" wrapText="1"/>
    </xf>
    <xf numFmtId="3" fontId="7" fillId="0" borderId="145" xfId="47" applyNumberFormat="1" applyFont="1" applyBorder="1" applyAlignment="1">
      <alignment horizontal="right" wrapText="1"/>
    </xf>
    <xf numFmtId="3" fontId="8" fillId="0" borderId="146" xfId="47" applyNumberFormat="1" applyFont="1" applyBorder="1" applyAlignment="1">
      <alignment horizontal="right" wrapText="1"/>
    </xf>
    <xf numFmtId="0" fontId="7" fillId="0" borderId="46" xfId="47" applyFont="1" applyBorder="1" applyAlignment="1">
      <alignment horizontal="left"/>
    </xf>
    <xf numFmtId="3" fontId="35" fillId="0" borderId="48" xfId="47" applyNumberFormat="1" applyFont="1" applyBorder="1" applyAlignment="1">
      <alignment horizontal="right" wrapText="1"/>
    </xf>
    <xf numFmtId="0" fontId="33" fillId="0" borderId="45" xfId="50" applyFont="1" applyBorder="1" applyAlignment="1">
      <alignment horizontal="center"/>
    </xf>
    <xf numFmtId="0" fontId="33" fillId="0" borderId="46" xfId="50" applyFont="1" applyBorder="1" applyAlignment="1">
      <alignment horizontal="center"/>
    </xf>
    <xf numFmtId="0" fontId="33" fillId="0" borderId="46" xfId="47" applyFont="1" applyBorder="1" applyAlignment="1">
      <alignment horizontal="left"/>
    </xf>
    <xf numFmtId="0" fontId="33" fillId="0" borderId="86" xfId="50" applyFont="1" applyBorder="1" applyAlignment="1">
      <alignment horizontal="center" wrapText="1"/>
    </xf>
    <xf numFmtId="3" fontId="14" fillId="0" borderId="50" xfId="47" applyNumberFormat="1" applyFont="1" applyBorder="1" applyAlignment="1">
      <alignment horizontal="right" wrapText="1"/>
    </xf>
    <xf numFmtId="0" fontId="35" fillId="0" borderId="0" xfId="50" applyFont="1"/>
    <xf numFmtId="0" fontId="33" fillId="0" borderId="0" xfId="50" applyFont="1"/>
    <xf numFmtId="3" fontId="14" fillId="0" borderId="63" xfId="47" applyNumberFormat="1" applyFont="1" applyBorder="1" applyAlignment="1">
      <alignment horizontal="right" wrapText="1"/>
    </xf>
    <xf numFmtId="3" fontId="9" fillId="0" borderId="48" xfId="47" applyNumberFormat="1" applyFont="1" applyBorder="1" applyAlignment="1">
      <alignment horizontal="right" wrapText="1"/>
    </xf>
    <xf numFmtId="3" fontId="9" fillId="0" borderId="46" xfId="47" applyNumberFormat="1" applyFont="1" applyBorder="1" applyAlignment="1">
      <alignment horizontal="right" wrapText="1"/>
    </xf>
    <xf numFmtId="3" fontId="34" fillId="0" borderId="46" xfId="47" applyNumberFormat="1" applyFont="1" applyBorder="1" applyAlignment="1">
      <alignment horizontal="right" wrapText="1"/>
    </xf>
    <xf numFmtId="3" fontId="9" fillId="0" borderId="49" xfId="47" applyNumberFormat="1" applyFont="1" applyBorder="1" applyAlignment="1">
      <alignment horizontal="right" wrapText="1"/>
    </xf>
    <xf numFmtId="3" fontId="7" fillId="0" borderId="48" xfId="47" applyNumberFormat="1" applyFont="1" applyBorder="1" applyAlignment="1">
      <alignment horizontal="right" wrapText="1"/>
    </xf>
    <xf numFmtId="0" fontId="7" fillId="0" borderId="47" xfId="47" applyFont="1" applyBorder="1"/>
    <xf numFmtId="0" fontId="7" fillId="0" borderId="46" xfId="50" applyFont="1" applyBorder="1" applyAlignment="1">
      <alignment horizontal="center" vertical="center"/>
    </xf>
    <xf numFmtId="0" fontId="7" fillId="0" borderId="47" xfId="47" applyFont="1" applyBorder="1" applyAlignment="1">
      <alignment wrapText="1"/>
    </xf>
    <xf numFmtId="3" fontId="7" fillId="0" borderId="58" xfId="47" applyNumberFormat="1" applyFont="1" applyBorder="1" applyAlignment="1">
      <alignment horizontal="right"/>
    </xf>
    <xf numFmtId="3" fontId="35" fillId="0" borderId="61" xfId="47" applyNumberFormat="1" applyFont="1" applyBorder="1" applyAlignment="1">
      <alignment horizontal="right" wrapText="1"/>
    </xf>
    <xf numFmtId="3" fontId="35" fillId="0" borderId="58" xfId="47" applyNumberFormat="1" applyFont="1" applyBorder="1" applyAlignment="1">
      <alignment horizontal="right" wrapText="1"/>
    </xf>
    <xf numFmtId="3" fontId="33" fillId="0" borderId="58" xfId="47" applyNumberFormat="1" applyFont="1" applyBorder="1" applyAlignment="1">
      <alignment horizontal="right" wrapText="1"/>
    </xf>
    <xf numFmtId="3" fontId="11" fillId="0" borderId="48" xfId="47" applyNumberFormat="1" applyFont="1" applyBorder="1" applyAlignment="1">
      <alignment horizontal="right" wrapText="1"/>
    </xf>
    <xf numFmtId="0" fontId="7" fillId="0" borderId="148" xfId="50" applyFont="1" applyBorder="1" applyAlignment="1">
      <alignment horizontal="center" wrapText="1"/>
    </xf>
    <xf numFmtId="3" fontId="35" fillId="0" borderId="93" xfId="47" applyNumberFormat="1" applyFont="1" applyBorder="1" applyAlignment="1">
      <alignment horizontal="right" wrapText="1"/>
    </xf>
    <xf numFmtId="3" fontId="8" fillId="0" borderId="93" xfId="47" applyNumberFormat="1" applyFont="1" applyBorder="1" applyAlignment="1">
      <alignment horizontal="right" wrapText="1"/>
    </xf>
    <xf numFmtId="3" fontId="7" fillId="0" borderId="137" xfId="50" applyNumberFormat="1" applyFont="1" applyBorder="1" applyAlignment="1">
      <alignment horizontal="right"/>
    </xf>
    <xf numFmtId="3" fontId="7" fillId="0" borderId="49" xfId="50" applyNumberFormat="1" applyFont="1" applyBorder="1" applyAlignment="1">
      <alignment horizontal="right"/>
    </xf>
    <xf numFmtId="0" fontId="7" fillId="0" borderId="48" xfId="50" applyFont="1" applyBorder="1" applyAlignment="1">
      <alignment horizontal="center" wrapText="1"/>
    </xf>
    <xf numFmtId="3" fontId="7" fillId="0" borderId="63" xfId="50" applyNumberFormat="1" applyFont="1" applyBorder="1" applyAlignment="1">
      <alignment horizontal="right"/>
    </xf>
    <xf numFmtId="3" fontId="7" fillId="0" borderId="71" xfId="47" applyNumberFormat="1" applyFont="1" applyBorder="1" applyAlignment="1">
      <alignment horizontal="right"/>
    </xf>
    <xf numFmtId="0" fontId="7" fillId="0" borderId="95" xfId="50" applyFont="1" applyBorder="1" applyAlignment="1">
      <alignment horizontal="center" wrapText="1"/>
    </xf>
    <xf numFmtId="3" fontId="35" fillId="0" borderId="79" xfId="47" applyNumberFormat="1" applyFont="1" applyBorder="1" applyAlignment="1">
      <alignment horizontal="right" wrapText="1"/>
    </xf>
    <xf numFmtId="3" fontId="33" fillId="0" borderId="79" xfId="47" applyNumberFormat="1" applyFont="1" applyBorder="1" applyAlignment="1">
      <alignment horizontal="right" wrapText="1"/>
    </xf>
    <xf numFmtId="3" fontId="33" fillId="0" borderId="75" xfId="47" applyNumberFormat="1" applyFont="1" applyBorder="1" applyAlignment="1">
      <alignment horizontal="right" wrapText="1"/>
    </xf>
    <xf numFmtId="3" fontId="7" fillId="0" borderId="150" xfId="50" applyNumberFormat="1" applyFont="1" applyBorder="1" applyAlignment="1">
      <alignment horizontal="right"/>
    </xf>
    <xf numFmtId="3" fontId="36" fillId="0" borderId="148" xfId="47" applyNumberFormat="1" applyFont="1" applyBorder="1" applyAlignment="1">
      <alignment horizontal="right" vertical="center" wrapText="1"/>
    </xf>
    <xf numFmtId="3" fontId="36" fillId="0" borderId="137" xfId="47" applyNumberFormat="1" applyFont="1" applyBorder="1" applyAlignment="1">
      <alignment horizontal="right" vertical="center" wrapText="1"/>
    </xf>
    <xf numFmtId="3" fontId="36" fillId="0" borderId="48" xfId="47" applyNumberFormat="1" applyFont="1" applyBorder="1" applyAlignment="1">
      <alignment horizontal="right" vertical="center" wrapText="1"/>
    </xf>
    <xf numFmtId="3" fontId="8" fillId="0" borderId="58" xfId="47" applyNumberFormat="1" applyFont="1" applyBorder="1" applyAlignment="1">
      <alignment horizontal="right" wrapText="1"/>
    </xf>
    <xf numFmtId="3" fontId="36" fillId="0" borderId="113" xfId="47" applyNumberFormat="1" applyFont="1" applyBorder="1" applyAlignment="1">
      <alignment horizontal="right" vertical="center" wrapText="1"/>
    </xf>
    <xf numFmtId="3" fontId="7" fillId="0" borderId="0" xfId="35" applyNumberFormat="1" applyFont="1" applyAlignment="1">
      <alignment horizontal="left"/>
    </xf>
    <xf numFmtId="3" fontId="37" fillId="0" borderId="0" xfId="35" applyNumberFormat="1" applyFont="1" applyAlignment="1">
      <alignment horizontal="left"/>
    </xf>
    <xf numFmtId="0" fontId="38" fillId="0" borderId="40" xfId="47" applyFont="1" applyBorder="1" applyAlignment="1">
      <alignment horizontal="left"/>
    </xf>
    <xf numFmtId="3" fontId="8" fillId="0" borderId="51" xfId="50" applyNumberFormat="1" applyFont="1" applyBorder="1" applyAlignment="1">
      <alignment horizontal="right"/>
    </xf>
    <xf numFmtId="3" fontId="8" fillId="0" borderId="42" xfId="47" applyNumberFormat="1" applyFont="1" applyBorder="1" applyAlignment="1">
      <alignment horizontal="right" wrapText="1"/>
    </xf>
    <xf numFmtId="3" fontId="8" fillId="0" borderId="41" xfId="47" applyNumberFormat="1" applyFont="1" applyBorder="1" applyAlignment="1">
      <alignment horizontal="right" wrapText="1"/>
    </xf>
    <xf numFmtId="3" fontId="8" fillId="0" borderId="134" xfId="50" applyNumberFormat="1" applyFont="1" applyBorder="1" applyAlignment="1">
      <alignment horizontal="right"/>
    </xf>
    <xf numFmtId="3" fontId="7" fillId="0" borderId="94" xfId="50" applyNumberFormat="1" applyFont="1" applyBorder="1" applyAlignment="1">
      <alignment horizontal="right"/>
    </xf>
    <xf numFmtId="0" fontId="8" fillId="0" borderId="148" xfId="50" applyFont="1" applyBorder="1" applyAlignment="1">
      <alignment horizontal="center" wrapText="1"/>
    </xf>
    <xf numFmtId="3" fontId="8" fillId="0" borderId="137" xfId="50" applyNumberFormat="1" applyFont="1" applyBorder="1" applyAlignment="1">
      <alignment horizontal="right"/>
    </xf>
    <xf numFmtId="0" fontId="7" fillId="0" borderId="52" xfId="50" applyFont="1" applyBorder="1" applyAlignment="1">
      <alignment horizontal="center"/>
    </xf>
    <xf numFmtId="0" fontId="33" fillId="0" borderId="46" xfId="47" applyFont="1" applyBorder="1"/>
    <xf numFmtId="3" fontId="8" fillId="0" borderId="98" xfId="50" applyNumberFormat="1" applyFont="1" applyBorder="1" applyAlignment="1">
      <alignment horizontal="right"/>
    </xf>
    <xf numFmtId="0" fontId="8" fillId="0" borderId="48" xfId="50" applyFont="1" applyBorder="1" applyAlignment="1">
      <alignment horizontal="center" wrapText="1"/>
    </xf>
    <xf numFmtId="3" fontId="8" fillId="0" borderId="63" xfId="50" applyNumberFormat="1" applyFont="1" applyBorder="1" applyAlignment="1">
      <alignment horizontal="right"/>
    </xf>
    <xf numFmtId="0" fontId="7" fillId="0" borderId="40" xfId="47" applyFont="1" applyBorder="1" applyAlignment="1">
      <alignment horizontal="left"/>
    </xf>
    <xf numFmtId="3" fontId="7" fillId="0" borderId="98" xfId="50" applyNumberFormat="1" applyFont="1" applyBorder="1" applyAlignment="1">
      <alignment horizontal="right"/>
    </xf>
    <xf numFmtId="3" fontId="8" fillId="0" borderId="49" xfId="50" applyNumberFormat="1" applyFont="1" applyBorder="1" applyAlignment="1">
      <alignment horizontal="right"/>
    </xf>
    <xf numFmtId="0" fontId="7" fillId="0" borderId="64" xfId="50" applyFont="1" applyBorder="1" applyAlignment="1">
      <alignment horizontal="center"/>
    </xf>
    <xf numFmtId="0" fontId="33" fillId="0" borderId="58" xfId="47" applyFont="1" applyBorder="1"/>
    <xf numFmtId="3" fontId="8" fillId="0" borderId="58" xfId="50" applyNumberFormat="1" applyFont="1" applyBorder="1" applyAlignment="1">
      <alignment horizontal="right"/>
    </xf>
    <xf numFmtId="3" fontId="8" fillId="0" borderId="60" xfId="50" applyNumberFormat="1" applyFont="1" applyBorder="1" applyAlignment="1">
      <alignment horizontal="right"/>
    </xf>
    <xf numFmtId="0" fontId="8" fillId="0" borderId="61" xfId="50" applyFont="1" applyBorder="1" applyAlignment="1">
      <alignment horizontal="center" wrapText="1"/>
    </xf>
    <xf numFmtId="3" fontId="8" fillId="0" borderId="122" xfId="50" applyNumberFormat="1" applyFont="1" applyBorder="1" applyAlignment="1">
      <alignment horizontal="right"/>
    </xf>
    <xf numFmtId="3" fontId="7" fillId="0" borderId="58" xfId="47" applyNumberFormat="1" applyFont="1" applyBorder="1" applyAlignment="1">
      <alignment horizontal="right" wrapText="1"/>
    </xf>
    <xf numFmtId="0" fontId="7" fillId="0" borderId="151" xfId="50" applyFont="1" applyBorder="1" applyAlignment="1">
      <alignment horizontal="center"/>
    </xf>
    <xf numFmtId="3" fontId="7" fillId="0" borderId="153" xfId="50" applyNumberFormat="1" applyFont="1" applyBorder="1" applyAlignment="1">
      <alignment horizontal="right"/>
    </xf>
    <xf numFmtId="3" fontId="8" fillId="0" borderId="153" xfId="50" applyNumberFormat="1" applyFont="1" applyBorder="1" applyAlignment="1">
      <alignment horizontal="right"/>
    </xf>
    <xf numFmtId="3" fontId="8" fillId="0" borderId="154" xfId="50" applyNumberFormat="1" applyFont="1" applyBorder="1" applyAlignment="1">
      <alignment horizontal="right"/>
    </xf>
    <xf numFmtId="0" fontId="8" fillId="0" borderId="152" xfId="50" applyFont="1" applyBorder="1" applyAlignment="1">
      <alignment horizontal="center" wrapText="1"/>
    </xf>
    <xf numFmtId="3" fontId="8" fillId="0" borderId="153" xfId="47" applyNumberFormat="1" applyFont="1" applyBorder="1" applyAlignment="1">
      <alignment horizontal="right" wrapText="1"/>
    </xf>
    <xf numFmtId="3" fontId="35" fillId="0" borderId="153" xfId="47" applyNumberFormat="1" applyFont="1" applyBorder="1" applyAlignment="1">
      <alignment horizontal="right" wrapText="1"/>
    </xf>
    <xf numFmtId="3" fontId="8" fillId="0" borderId="155" xfId="50" applyNumberFormat="1" applyFont="1" applyBorder="1" applyAlignment="1">
      <alignment horizontal="right"/>
    </xf>
    <xf numFmtId="0" fontId="7" fillId="0" borderId="94" xfId="50" applyFont="1" applyBorder="1" applyAlignment="1">
      <alignment horizontal="center"/>
    </xf>
    <xf numFmtId="0" fontId="8" fillId="0" borderId="68" xfId="47" applyFont="1" applyBorder="1" applyAlignment="1">
      <alignment horizontal="center"/>
    </xf>
    <xf numFmtId="3" fontId="7" fillId="0" borderId="68" xfId="50" applyNumberFormat="1" applyFont="1" applyBorder="1" applyAlignment="1">
      <alignment horizontal="right"/>
    </xf>
    <xf numFmtId="0" fontId="8" fillId="0" borderId="93" xfId="50" applyFont="1" applyBorder="1" applyAlignment="1">
      <alignment horizontal="center" wrapText="1"/>
    </xf>
    <xf numFmtId="3" fontId="8" fillId="0" borderId="68" xfId="47" applyNumberFormat="1" applyFont="1" applyBorder="1" applyAlignment="1">
      <alignment horizontal="right" wrapText="1"/>
    </xf>
    <xf numFmtId="3" fontId="8" fillId="0" borderId="19" xfId="50" applyNumberFormat="1" applyFont="1" applyBorder="1" applyAlignment="1">
      <alignment horizontal="right"/>
    </xf>
    <xf numFmtId="3" fontId="36" fillId="0" borderId="58" xfId="47" applyNumberFormat="1" applyFont="1" applyBorder="1" applyAlignment="1">
      <alignment horizontal="right" wrapText="1"/>
    </xf>
    <xf numFmtId="3" fontId="36" fillId="0" borderId="49" xfId="47" applyNumberFormat="1" applyFont="1" applyBorder="1" applyAlignment="1">
      <alignment horizontal="right" wrapText="1"/>
    </xf>
    <xf numFmtId="0" fontId="7" fillId="0" borderId="80" xfId="50" applyFont="1" applyBorder="1" applyAlignment="1">
      <alignment horizontal="center"/>
    </xf>
    <xf numFmtId="0" fontId="7" fillId="0" borderId="53" xfId="50" applyFont="1" applyBorder="1" applyAlignment="1">
      <alignment horizontal="center"/>
    </xf>
    <xf numFmtId="3" fontId="8" fillId="0" borderId="53" xfId="50" applyNumberFormat="1" applyFont="1" applyBorder="1" applyAlignment="1">
      <alignment horizontal="right"/>
    </xf>
    <xf numFmtId="3" fontId="8" fillId="0" borderId="66" xfId="50" applyNumberFormat="1" applyFont="1" applyBorder="1" applyAlignment="1">
      <alignment horizontal="right"/>
    </xf>
    <xf numFmtId="0" fontId="8" fillId="0" borderId="90" xfId="50" applyFont="1" applyBorder="1" applyAlignment="1">
      <alignment horizontal="center" wrapText="1"/>
    </xf>
    <xf numFmtId="3" fontId="8" fillId="0" borderId="53" xfId="47" applyNumberFormat="1" applyFont="1" applyBorder="1" applyAlignment="1">
      <alignment horizontal="right" wrapText="1"/>
    </xf>
    <xf numFmtId="3" fontId="8" fillId="0" borderId="67" xfId="50" applyNumberFormat="1" applyFont="1" applyBorder="1" applyAlignment="1">
      <alignment horizontal="right"/>
    </xf>
    <xf numFmtId="0" fontId="7" fillId="0" borderId="94" xfId="50" applyFont="1" applyBorder="1" applyAlignment="1">
      <alignment horizontal="center" vertical="top"/>
    </xf>
    <xf numFmtId="0" fontId="38" fillId="0" borderId="68" xfId="47" applyFont="1" applyBorder="1" applyAlignment="1">
      <alignment horizontal="left" wrapText="1"/>
    </xf>
    <xf numFmtId="3" fontId="39" fillId="0" borderId="93" xfId="47" applyNumberFormat="1" applyFont="1" applyBorder="1" applyAlignment="1">
      <alignment horizontal="right" wrapText="1"/>
    </xf>
    <xf numFmtId="3" fontId="7" fillId="0" borderId="93" xfId="47" applyNumberFormat="1" applyFont="1" applyBorder="1" applyAlignment="1">
      <alignment horizontal="right" wrapText="1"/>
    </xf>
    <xf numFmtId="0" fontId="7" fillId="0" borderId="82" xfId="50" applyFont="1" applyBorder="1" applyAlignment="1">
      <alignment horizontal="center"/>
    </xf>
    <xf numFmtId="3" fontId="39" fillId="0" borderId="61" xfId="47" applyNumberFormat="1" applyFont="1" applyBorder="1" applyAlignment="1">
      <alignment horizontal="right" wrapText="1"/>
    </xf>
    <xf numFmtId="3" fontId="7" fillId="0" borderId="61" xfId="47" applyNumberFormat="1" applyFont="1" applyBorder="1" applyAlignment="1">
      <alignment horizontal="right" wrapText="1"/>
    </xf>
    <xf numFmtId="3" fontId="36" fillId="0" borderId="60" xfId="47" applyNumberFormat="1" applyFont="1" applyBorder="1" applyAlignment="1">
      <alignment horizontal="right" wrapText="1"/>
    </xf>
    <xf numFmtId="0" fontId="7" fillId="0" borderId="96" xfId="50" applyFont="1" applyBorder="1" applyAlignment="1">
      <alignment horizontal="center"/>
    </xf>
    <xf numFmtId="3" fontId="7" fillId="0" borderId="122" xfId="50" applyNumberFormat="1" applyFont="1" applyBorder="1" applyAlignment="1">
      <alignment horizontal="right"/>
    </xf>
    <xf numFmtId="3" fontId="39" fillId="0" borderId="48" xfId="47" applyNumberFormat="1" applyFont="1" applyBorder="1" applyAlignment="1">
      <alignment horizontal="right" wrapText="1"/>
    </xf>
    <xf numFmtId="0" fontId="7" fillId="0" borderId="65" xfId="50" applyFont="1" applyBorder="1" applyAlignment="1">
      <alignment horizontal="center"/>
    </xf>
    <xf numFmtId="3" fontId="7" fillId="0" borderId="70" xfId="50" applyNumberFormat="1" applyFont="1" applyBorder="1" applyAlignment="1">
      <alignment horizontal="right"/>
    </xf>
    <xf numFmtId="3" fontId="7" fillId="0" borderId="53" xfId="47" applyNumberFormat="1" applyFont="1" applyBorder="1" applyAlignment="1">
      <alignment horizontal="right"/>
    </xf>
    <xf numFmtId="3" fontId="7" fillId="0" borderId="66" xfId="50" applyNumberFormat="1" applyFont="1" applyBorder="1" applyAlignment="1">
      <alignment horizontal="right"/>
    </xf>
    <xf numFmtId="0" fontId="7" fillId="0" borderId="90" xfId="50" applyFont="1" applyBorder="1" applyAlignment="1">
      <alignment horizontal="center" wrapText="1"/>
    </xf>
    <xf numFmtId="3" fontId="39" fillId="0" borderId="90" xfId="47" applyNumberFormat="1" applyFont="1" applyBorder="1" applyAlignment="1">
      <alignment horizontal="right" wrapText="1"/>
    </xf>
    <xf numFmtId="3" fontId="7" fillId="0" borderId="90" xfId="47" applyNumberFormat="1" applyFont="1" applyBorder="1" applyAlignment="1">
      <alignment horizontal="right" wrapText="1"/>
    </xf>
    <xf numFmtId="3" fontId="7" fillId="0" borderId="136" xfId="50" applyNumberFormat="1" applyFont="1" applyBorder="1" applyAlignment="1">
      <alignment horizontal="right"/>
    </xf>
    <xf numFmtId="0" fontId="7" fillId="0" borderId="39" xfId="50" applyFont="1" applyBorder="1" applyAlignment="1">
      <alignment horizontal="center"/>
    </xf>
    <xf numFmtId="0" fontId="7" fillId="0" borderId="51" xfId="50" applyFont="1" applyBorder="1" applyAlignment="1">
      <alignment horizontal="center"/>
    </xf>
    <xf numFmtId="3" fontId="8" fillId="0" borderId="68" xfId="50" applyNumberFormat="1" applyFont="1" applyBorder="1" applyAlignment="1">
      <alignment horizontal="right"/>
    </xf>
    <xf numFmtId="3" fontId="8" fillId="0" borderId="69" xfId="50" applyNumberFormat="1" applyFont="1" applyBorder="1" applyAlignment="1">
      <alignment horizontal="right"/>
    </xf>
    <xf numFmtId="0" fontId="7" fillId="0" borderId="93" xfId="50" applyFont="1" applyBorder="1" applyAlignment="1">
      <alignment horizontal="center" wrapText="1"/>
    </xf>
    <xf numFmtId="3" fontId="36" fillId="0" borderId="68" xfId="47" applyNumberFormat="1" applyFont="1" applyBorder="1" applyAlignment="1">
      <alignment horizontal="right" wrapText="1"/>
    </xf>
    <xf numFmtId="3" fontId="36" fillId="0" borderId="69" xfId="47" applyNumberFormat="1" applyFont="1" applyBorder="1" applyAlignment="1">
      <alignment horizontal="right" wrapText="1"/>
    </xf>
    <xf numFmtId="0" fontId="7" fillId="0" borderId="46" xfId="47" applyFont="1" applyBorder="1" applyAlignment="1">
      <alignment horizontal="left" wrapText="1"/>
    </xf>
    <xf numFmtId="3" fontId="36" fillId="0" borderId="46" xfId="47" applyNumberFormat="1" applyFont="1" applyBorder="1" applyAlignment="1">
      <alignment horizontal="right" wrapText="1"/>
    </xf>
    <xf numFmtId="3" fontId="39" fillId="0" borderId="46" xfId="47" applyNumberFormat="1" applyFont="1" applyBorder="1" applyAlignment="1">
      <alignment horizontal="right" wrapText="1"/>
    </xf>
    <xf numFmtId="3" fontId="36" fillId="0" borderId="48" xfId="47" applyNumberFormat="1" applyFont="1" applyBorder="1" applyAlignment="1">
      <alignment horizontal="right" wrapText="1"/>
    </xf>
    <xf numFmtId="3" fontId="7" fillId="0" borderId="53" xfId="50" applyNumberFormat="1" applyFont="1" applyBorder="1" applyAlignment="1">
      <alignment horizontal="right"/>
    </xf>
    <xf numFmtId="3" fontId="36" fillId="0" borderId="90" xfId="47" applyNumberFormat="1" applyFont="1" applyBorder="1" applyAlignment="1">
      <alignment horizontal="right" wrapText="1"/>
    </xf>
    <xf numFmtId="3" fontId="8" fillId="0" borderId="136" xfId="50" applyNumberFormat="1" applyFont="1" applyBorder="1" applyAlignment="1">
      <alignment horizontal="right"/>
    </xf>
    <xf numFmtId="3" fontId="8" fillId="0" borderId="43" xfId="50" applyNumberFormat="1" applyFont="1" applyBorder="1" applyAlignment="1">
      <alignment horizontal="right"/>
    </xf>
    <xf numFmtId="3" fontId="8" fillId="0" borderId="121" xfId="50" applyNumberFormat="1" applyFont="1" applyBorder="1" applyAlignment="1">
      <alignment horizontal="right"/>
    </xf>
    <xf numFmtId="0" fontId="7" fillId="0" borderId="46" xfId="47" applyFont="1" applyBorder="1" applyAlignment="1">
      <alignment horizontal="left" wrapText="1" shrinkToFit="1"/>
    </xf>
    <xf numFmtId="3" fontId="7" fillId="0" borderId="49" xfId="50" applyNumberFormat="1" applyFont="1" applyBorder="1" applyAlignment="1">
      <alignment horizontal="right" vertical="top"/>
    </xf>
    <xf numFmtId="0" fontId="7" fillId="0" borderId="40" xfId="47" applyFont="1" applyBorder="1" applyAlignment="1">
      <alignment horizontal="left" wrapText="1" shrinkToFit="1"/>
    </xf>
    <xf numFmtId="3" fontId="7" fillId="0" borderId="60" xfId="50" applyNumberFormat="1" applyFont="1" applyBorder="1" applyAlignment="1">
      <alignment horizontal="right"/>
    </xf>
    <xf numFmtId="3" fontId="8" fillId="0" borderId="61" xfId="47" applyNumberFormat="1" applyFont="1" applyBorder="1" applyAlignment="1">
      <alignment horizontal="right" wrapText="1"/>
    </xf>
    <xf numFmtId="3" fontId="7" fillId="0" borderId="154" xfId="50" applyNumberFormat="1" applyFont="1" applyBorder="1" applyAlignment="1">
      <alignment horizontal="right"/>
    </xf>
    <xf numFmtId="3" fontId="8" fillId="0" borderId="152" xfId="47" applyNumberFormat="1" applyFont="1" applyBorder="1" applyAlignment="1">
      <alignment horizontal="right" wrapText="1"/>
    </xf>
    <xf numFmtId="3" fontId="39" fillId="0" borderId="152" xfId="47" applyNumberFormat="1" applyFont="1" applyBorder="1" applyAlignment="1">
      <alignment horizontal="right" wrapText="1"/>
    </xf>
    <xf numFmtId="0" fontId="8" fillId="0" borderId="40" xfId="47" applyFont="1" applyBorder="1" applyAlignment="1">
      <alignment horizontal="center"/>
    </xf>
    <xf numFmtId="3" fontId="7" fillId="0" borderId="43" xfId="50" applyNumberFormat="1" applyFont="1" applyBorder="1" applyAlignment="1">
      <alignment horizontal="right"/>
    </xf>
    <xf numFmtId="0" fontId="8" fillId="0" borderId="42" xfId="50" applyFont="1" applyBorder="1" applyAlignment="1">
      <alignment horizontal="center" wrapText="1"/>
    </xf>
    <xf numFmtId="0" fontId="33" fillId="0" borderId="58" xfId="47" applyFont="1" applyBorder="1" applyAlignment="1">
      <alignment horizontal="left"/>
    </xf>
    <xf numFmtId="3" fontId="36" fillId="0" borderId="61" xfId="47" applyNumberFormat="1" applyFont="1" applyBorder="1" applyAlignment="1">
      <alignment horizontal="right" wrapText="1"/>
    </xf>
    <xf numFmtId="0" fontId="7" fillId="0" borderId="42" xfId="50" applyFont="1" applyBorder="1" applyAlignment="1">
      <alignment horizontal="center" wrapText="1"/>
    </xf>
    <xf numFmtId="3" fontId="8" fillId="0" borderId="40" xfId="47" applyNumberFormat="1" applyFont="1" applyBorder="1" applyAlignment="1">
      <alignment horizontal="right" wrapText="1"/>
    </xf>
    <xf numFmtId="3" fontId="35" fillId="0" borderId="40" xfId="47" applyNumberFormat="1" applyFont="1" applyBorder="1" applyAlignment="1">
      <alignment horizontal="right" wrapText="1"/>
    </xf>
    <xf numFmtId="3" fontId="35" fillId="0" borderId="53" xfId="47" applyNumberFormat="1" applyFont="1" applyBorder="1" applyAlignment="1">
      <alignment horizontal="right" wrapText="1"/>
    </xf>
    <xf numFmtId="3" fontId="8" fillId="0" borderId="90" xfId="47" applyNumberFormat="1" applyFont="1" applyBorder="1" applyAlignment="1">
      <alignment horizontal="right" wrapText="1"/>
    </xf>
    <xf numFmtId="3" fontId="35" fillId="0" borderId="90" xfId="47" applyNumberFormat="1" applyFont="1" applyBorder="1" applyAlignment="1">
      <alignment horizontal="right" wrapText="1"/>
    </xf>
    <xf numFmtId="3" fontId="8" fillId="0" borderId="46" xfId="50" applyNumberFormat="1" applyFont="1" applyBorder="1" applyAlignment="1">
      <alignment horizontal="right" vertical="top"/>
    </xf>
    <xf numFmtId="3" fontId="8" fillId="0" borderId="59" xfId="50" applyNumberFormat="1" applyFont="1" applyBorder="1" applyAlignment="1">
      <alignment horizontal="right"/>
    </xf>
    <xf numFmtId="0" fontId="7" fillId="0" borderId="64" xfId="47" applyFont="1" applyBorder="1" applyAlignment="1">
      <alignment horizontal="left" wrapText="1" shrinkToFit="1"/>
    </xf>
    <xf numFmtId="3" fontId="7" fillId="0" borderId="98" xfId="50" applyNumberFormat="1" applyFont="1" applyBorder="1" applyAlignment="1">
      <alignment horizontal="right" vertical="top"/>
    </xf>
    <xf numFmtId="3" fontId="36" fillId="0" borderId="47" xfId="47" applyNumberFormat="1" applyFont="1" applyBorder="1" applyAlignment="1">
      <alignment horizontal="right" wrapText="1"/>
    </xf>
    <xf numFmtId="0" fontId="7" fillId="0" borderId="61" xfId="50" applyFont="1" applyBorder="1" applyAlignment="1">
      <alignment horizontal="center" wrapText="1"/>
    </xf>
    <xf numFmtId="3" fontId="7" fillId="0" borderId="158" xfId="50" applyNumberFormat="1" applyFont="1" applyBorder="1" applyAlignment="1">
      <alignment horizontal="right"/>
    </xf>
    <xf numFmtId="0" fontId="40" fillId="0" borderId="46" xfId="47" applyFont="1" applyBorder="1" applyAlignment="1">
      <alignment horizontal="left" wrapText="1" shrinkToFit="1"/>
    </xf>
    <xf numFmtId="0" fontId="7" fillId="0" borderId="46" xfId="47" applyFont="1" applyBorder="1" applyAlignment="1">
      <alignment horizontal="left" shrinkToFit="1"/>
    </xf>
    <xf numFmtId="3" fontId="7" fillId="0" borderId="42" xfId="47" applyNumberFormat="1" applyFont="1" applyBorder="1" applyAlignment="1">
      <alignment horizontal="right" wrapText="1"/>
    </xf>
    <xf numFmtId="3" fontId="7" fillId="0" borderId="43" xfId="50" applyNumberFormat="1" applyFont="1" applyBorder="1" applyAlignment="1">
      <alignment horizontal="right" vertical="top"/>
    </xf>
    <xf numFmtId="0" fontId="7" fillId="0" borderId="52" xfId="47" applyFont="1" applyBorder="1" applyAlignment="1">
      <alignment horizontal="left" wrapText="1" shrinkToFit="1"/>
    </xf>
    <xf numFmtId="0" fontId="8" fillId="0" borderId="91" xfId="50" applyFont="1" applyBorder="1" applyAlignment="1">
      <alignment horizontal="center" wrapText="1"/>
    </xf>
    <xf numFmtId="0" fontId="7" fillId="0" borderId="17" xfId="50" applyFont="1" applyBorder="1" applyAlignment="1">
      <alignment horizontal="center"/>
    </xf>
    <xf numFmtId="0" fontId="7" fillId="0" borderId="156" xfId="50" applyFont="1" applyBorder="1" applyAlignment="1">
      <alignment horizontal="center"/>
    </xf>
    <xf numFmtId="0" fontId="38" fillId="0" borderId="54" xfId="47" applyFont="1" applyBorder="1" applyAlignment="1">
      <alignment horizontal="left"/>
    </xf>
    <xf numFmtId="3" fontId="7" fillId="0" borderId="156" xfId="50" applyNumberFormat="1" applyFont="1" applyBorder="1" applyAlignment="1">
      <alignment horizontal="right"/>
    </xf>
    <xf numFmtId="3" fontId="7" fillId="0" borderId="159" xfId="50" applyNumberFormat="1" applyFont="1" applyBorder="1" applyAlignment="1">
      <alignment horizontal="right"/>
    </xf>
    <xf numFmtId="3" fontId="8" fillId="0" borderId="159" xfId="50" applyNumberFormat="1" applyFont="1" applyBorder="1" applyAlignment="1">
      <alignment horizontal="right"/>
    </xf>
    <xf numFmtId="3" fontId="7" fillId="0" borderId="160" xfId="50" applyNumberFormat="1" applyFont="1" applyBorder="1" applyAlignment="1">
      <alignment horizontal="right"/>
    </xf>
    <xf numFmtId="0" fontId="7" fillId="0" borderId="81" xfId="50" applyFont="1" applyBorder="1" applyAlignment="1">
      <alignment horizontal="center"/>
    </xf>
    <xf numFmtId="0" fontId="7" fillId="0" borderId="91" xfId="50" applyFont="1" applyBorder="1" applyAlignment="1">
      <alignment horizontal="center" wrapText="1"/>
    </xf>
    <xf numFmtId="3" fontId="7" fillId="0" borderId="157" xfId="50" applyNumberFormat="1" applyFont="1" applyBorder="1" applyAlignment="1">
      <alignment horizontal="right"/>
    </xf>
    <xf numFmtId="3" fontId="7" fillId="0" borderId="41" xfId="50" applyNumberFormat="1" applyFont="1" applyBorder="1" applyAlignment="1">
      <alignment horizontal="right"/>
    </xf>
    <xf numFmtId="3" fontId="39" fillId="0" borderId="42" xfId="47" applyNumberFormat="1" applyFont="1" applyBorder="1" applyAlignment="1">
      <alignment horizontal="right" wrapText="1"/>
    </xf>
    <xf numFmtId="3" fontId="8" fillId="0" borderId="47" xfId="47" applyNumberFormat="1" applyFont="1" applyBorder="1" applyAlignment="1">
      <alignment horizontal="right" wrapText="1"/>
    </xf>
    <xf numFmtId="0" fontId="7" fillId="0" borderId="123" xfId="50" applyFont="1" applyBorder="1" applyAlignment="1">
      <alignment horizontal="center"/>
    </xf>
    <xf numFmtId="0" fontId="7" fillId="0" borderId="71" xfId="50" applyFont="1" applyBorder="1" applyAlignment="1">
      <alignment horizontal="center"/>
    </xf>
    <xf numFmtId="3" fontId="7" fillId="0" borderId="71" xfId="50" applyNumberFormat="1" applyFont="1" applyBorder="1" applyAlignment="1">
      <alignment horizontal="right"/>
    </xf>
    <xf numFmtId="3" fontId="7" fillId="0" borderId="125" xfId="50" applyNumberFormat="1" applyFont="1" applyBorder="1" applyAlignment="1">
      <alignment horizontal="right"/>
    </xf>
    <xf numFmtId="0" fontId="7" fillId="0" borderId="72" xfId="50" applyFont="1" applyBorder="1" applyAlignment="1">
      <alignment horizontal="center" wrapText="1"/>
    </xf>
    <xf numFmtId="3" fontId="7" fillId="0" borderId="113" xfId="47" applyNumberFormat="1" applyFont="1" applyBorder="1" applyAlignment="1">
      <alignment horizontal="right" wrapText="1"/>
    </xf>
    <xf numFmtId="3" fontId="7" fillId="0" borderId="161" xfId="50" applyNumberFormat="1" applyFont="1" applyBorder="1" applyAlignment="1">
      <alignment horizontal="right"/>
    </xf>
    <xf numFmtId="3" fontId="35" fillId="0" borderId="42" xfId="47" applyNumberFormat="1" applyFont="1" applyBorder="1" applyAlignment="1">
      <alignment horizontal="right" wrapText="1"/>
    </xf>
    <xf numFmtId="3" fontId="36" fillId="0" borderId="41" xfId="47" applyNumberFormat="1" applyFont="1" applyBorder="1" applyAlignment="1">
      <alignment horizontal="right" wrapText="1"/>
    </xf>
    <xf numFmtId="3" fontId="36" fillId="0" borderId="59" xfId="47" applyNumberFormat="1" applyFont="1" applyBorder="1" applyAlignment="1">
      <alignment vertical="center" wrapText="1"/>
    </xf>
    <xf numFmtId="3" fontId="8" fillId="0" borderId="138" xfId="47" applyNumberFormat="1" applyFont="1" applyBorder="1" applyAlignment="1">
      <alignment horizontal="right" vertical="center" wrapText="1"/>
    </xf>
    <xf numFmtId="3" fontId="8" fillId="0" borderId="122" xfId="47" applyNumberFormat="1" applyFont="1" applyBorder="1" applyAlignment="1">
      <alignment horizontal="right" vertical="center" wrapText="1"/>
    </xf>
    <xf numFmtId="0" fontId="7" fillId="0" borderId="0" xfId="0" applyFont="1" applyAlignment="1">
      <alignment horizontal="right" vertical="center"/>
    </xf>
    <xf numFmtId="0" fontId="14" fillId="0" borderId="0" xfId="0" applyFont="1" applyAlignment="1">
      <alignment horizontal="center" vertical="center"/>
    </xf>
    <xf numFmtId="0" fontId="21" fillId="0" borderId="0" xfId="0" applyFont="1" applyAlignment="1">
      <alignment horizontal="center" vertical="center"/>
    </xf>
    <xf numFmtId="0" fontId="14" fillId="0" borderId="0" xfId="0" applyFont="1" applyAlignment="1">
      <alignment vertical="center"/>
    </xf>
    <xf numFmtId="0" fontId="7" fillId="0" borderId="13"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63" xfId="0" applyFont="1" applyBorder="1" applyAlignment="1">
      <alignment horizontal="center" vertical="center"/>
    </xf>
    <xf numFmtId="3" fontId="7" fillId="0" borderId="164" xfId="0" applyNumberFormat="1" applyFont="1" applyBorder="1" applyAlignment="1">
      <alignment horizontal="center" vertical="center" wrapText="1"/>
    </xf>
    <xf numFmtId="3" fontId="7" fillId="0" borderId="165" xfId="0" applyNumberFormat="1" applyFont="1" applyBorder="1" applyAlignment="1">
      <alignment horizontal="center" vertical="center" wrapText="1"/>
    </xf>
    <xf numFmtId="3" fontId="8" fillId="0" borderId="167" xfId="0" applyNumberFormat="1" applyFont="1" applyBorder="1" applyAlignment="1">
      <alignment horizontal="right"/>
    </xf>
    <xf numFmtId="3" fontId="7" fillId="0" borderId="167" xfId="0" applyNumberFormat="1" applyFont="1" applyBorder="1" applyAlignment="1">
      <alignment horizontal="right" vertical="center" textRotation="180"/>
    </xf>
    <xf numFmtId="3" fontId="7" fillId="0" borderId="169" xfId="0" applyNumberFormat="1" applyFont="1" applyBorder="1" applyAlignment="1">
      <alignment horizontal="right" vertical="center" textRotation="180"/>
    </xf>
    <xf numFmtId="3" fontId="7" fillId="0" borderId="167" xfId="0" applyNumberFormat="1" applyFont="1" applyBorder="1"/>
    <xf numFmtId="3" fontId="7" fillId="0" borderId="167" xfId="0" applyNumberFormat="1" applyFont="1" applyBorder="1" applyAlignment="1">
      <alignment horizontal="right"/>
    </xf>
    <xf numFmtId="3" fontId="7" fillId="0" borderId="171" xfId="0" applyNumberFormat="1" applyFont="1" applyBorder="1" applyAlignment="1">
      <alignment horizontal="right"/>
    </xf>
    <xf numFmtId="0" fontId="7" fillId="0" borderId="21" xfId="0" applyFont="1" applyBorder="1" applyAlignment="1">
      <alignment horizontal="center"/>
    </xf>
    <xf numFmtId="0" fontId="7" fillId="0" borderId="23" xfId="0" applyFont="1" applyBorder="1" applyAlignment="1">
      <alignment horizontal="center"/>
    </xf>
    <xf numFmtId="0" fontId="8" fillId="0" borderId="23" xfId="0" applyFont="1" applyBorder="1" applyAlignment="1">
      <alignment horizontal="left" vertical="center"/>
    </xf>
    <xf numFmtId="3" fontId="8" fillId="0" borderId="173" xfId="0" applyNumberFormat="1" applyFont="1" applyBorder="1" applyAlignment="1">
      <alignment vertical="center"/>
    </xf>
    <xf numFmtId="3" fontId="7" fillId="0" borderId="23" xfId="0" applyNumberFormat="1" applyFont="1" applyBorder="1" applyAlignment="1">
      <alignment horizontal="center"/>
    </xf>
    <xf numFmtId="3" fontId="8" fillId="0" borderId="173" xfId="0" applyNumberFormat="1" applyFont="1" applyBorder="1" applyAlignment="1">
      <alignment horizontal="right" vertical="center"/>
    </xf>
    <xf numFmtId="3" fontId="8" fillId="0" borderId="175" xfId="0" applyNumberFormat="1" applyFont="1" applyBorder="1" applyAlignment="1">
      <alignment horizontal="right" vertical="center"/>
    </xf>
    <xf numFmtId="3" fontId="7" fillId="0" borderId="171" xfId="0" applyNumberFormat="1" applyFont="1" applyBorder="1" applyAlignment="1">
      <alignment horizontal="right" vertical="center" textRotation="180"/>
    </xf>
    <xf numFmtId="1" fontId="7" fillId="0" borderId="0" xfId="0" applyNumberFormat="1" applyFont="1" applyAlignment="1">
      <alignment horizontal="center"/>
    </xf>
    <xf numFmtId="0" fontId="7" fillId="0" borderId="26" xfId="0" applyFont="1" applyBorder="1" applyAlignment="1">
      <alignment horizontal="center"/>
    </xf>
    <xf numFmtId="0" fontId="7" fillId="0" borderId="6" xfId="0" applyFont="1" applyBorder="1" applyAlignment="1">
      <alignment horizontal="center"/>
    </xf>
    <xf numFmtId="0" fontId="8" fillId="0" borderId="6" xfId="0" applyFont="1" applyBorder="1" applyAlignment="1">
      <alignment horizontal="left" vertical="center"/>
    </xf>
    <xf numFmtId="3" fontId="8" fillId="0" borderId="177" xfId="0" applyNumberFormat="1" applyFont="1" applyBorder="1" applyAlignment="1">
      <alignment horizontal="right" vertical="center"/>
    </xf>
    <xf numFmtId="3" fontId="7" fillId="0" borderId="6" xfId="0" applyNumberFormat="1" applyFont="1" applyBorder="1" applyAlignment="1">
      <alignment horizontal="center"/>
    </xf>
    <xf numFmtId="3" fontId="8" fillId="0" borderId="179" xfId="0" applyNumberFormat="1" applyFont="1" applyBorder="1" applyAlignment="1">
      <alignment horizontal="right" vertical="center"/>
    </xf>
    <xf numFmtId="0" fontId="7" fillId="0" borderId="181" xfId="0" applyFont="1" applyBorder="1" applyAlignment="1">
      <alignment horizontal="center"/>
    </xf>
    <xf numFmtId="0" fontId="7" fillId="0" borderId="182" xfId="0" applyFont="1" applyBorder="1" applyAlignment="1">
      <alignment horizontal="center"/>
    </xf>
    <xf numFmtId="0" fontId="8" fillId="0" borderId="183" xfId="0" applyFont="1" applyBorder="1" applyAlignment="1">
      <alignment horizontal="center" vertical="center"/>
    </xf>
    <xf numFmtId="3" fontId="8" fillId="0" borderId="184" xfId="0" applyNumberFormat="1" applyFont="1" applyBorder="1" applyAlignment="1">
      <alignment horizontal="right" vertical="center"/>
    </xf>
    <xf numFmtId="3" fontId="8" fillId="0" borderId="185" xfId="0" applyNumberFormat="1" applyFont="1" applyBorder="1" applyAlignment="1">
      <alignment horizontal="right" vertical="center"/>
    </xf>
    <xf numFmtId="3" fontId="8" fillId="0" borderId="186" xfId="0" applyNumberFormat="1" applyFont="1" applyBorder="1" applyAlignment="1">
      <alignment horizontal="right" vertical="center"/>
    </xf>
    <xf numFmtId="3" fontId="8" fillId="0" borderId="187" xfId="0" applyNumberFormat="1" applyFont="1" applyBorder="1" applyAlignment="1">
      <alignment horizontal="right" vertical="center"/>
    </xf>
    <xf numFmtId="3" fontId="7" fillId="0" borderId="167" xfId="0" applyNumberFormat="1" applyFont="1" applyBorder="1" applyAlignment="1">
      <alignment horizontal="right" vertical="center"/>
    </xf>
    <xf numFmtId="3" fontId="7" fillId="0" borderId="171" xfId="0" applyNumberFormat="1" applyFont="1" applyBorder="1" applyAlignment="1">
      <alignment horizontal="right" vertical="center"/>
    </xf>
    <xf numFmtId="3" fontId="7" fillId="0" borderId="177" xfId="0" applyNumberFormat="1" applyFont="1" applyBorder="1" applyAlignment="1">
      <alignment horizontal="right" vertical="center"/>
    </xf>
    <xf numFmtId="3" fontId="7" fillId="0" borderId="179" xfId="0" applyNumberFormat="1" applyFont="1" applyBorder="1" applyAlignment="1">
      <alignment horizontal="right" vertical="center"/>
    </xf>
    <xf numFmtId="0" fontId="7" fillId="0" borderId="189" xfId="0" applyFont="1" applyBorder="1" applyAlignment="1">
      <alignment horizontal="center"/>
    </xf>
    <xf numFmtId="0" fontId="7" fillId="0" borderId="7" xfId="0" applyFont="1" applyBorder="1" applyAlignment="1">
      <alignment horizontal="center"/>
    </xf>
    <xf numFmtId="0" fontId="8" fillId="0" borderId="7" xfId="0" applyFont="1" applyBorder="1" applyAlignment="1">
      <alignment horizontal="left" vertical="center"/>
    </xf>
    <xf numFmtId="3" fontId="8" fillId="0" borderId="190" xfId="0" applyNumberFormat="1" applyFont="1" applyBorder="1" applyAlignment="1">
      <alignment horizontal="right" vertical="center"/>
    </xf>
    <xf numFmtId="0" fontId="8" fillId="0" borderId="0" xfId="0" applyFont="1" applyAlignment="1">
      <alignment horizontal="left" vertical="center"/>
    </xf>
    <xf numFmtId="0" fontId="7" fillId="0" borderId="0" xfId="0" applyFont="1" applyAlignment="1">
      <alignment horizontal="left" indent="2"/>
    </xf>
    <xf numFmtId="3" fontId="8" fillId="0" borderId="167" xfId="0" applyNumberFormat="1" applyFont="1" applyBorder="1" applyAlignment="1">
      <alignment horizontal="right" vertical="center"/>
    </xf>
    <xf numFmtId="0" fontId="8" fillId="0" borderId="192" xfId="0" applyFont="1" applyBorder="1" applyAlignment="1">
      <alignment horizontal="left" vertical="center"/>
    </xf>
    <xf numFmtId="0" fontId="8" fillId="0" borderId="0" xfId="0" applyFont="1" applyAlignment="1">
      <alignment horizontal="left" vertical="center" wrapText="1"/>
    </xf>
    <xf numFmtId="0" fontId="7" fillId="0" borderId="193" xfId="0" applyFont="1" applyBorder="1" applyAlignment="1">
      <alignment horizontal="center"/>
    </xf>
    <xf numFmtId="0" fontId="8" fillId="0" borderId="4" xfId="0" applyFont="1" applyBorder="1" applyAlignment="1">
      <alignment horizontal="left" vertical="center" wrapText="1"/>
    </xf>
    <xf numFmtId="3" fontId="8" fillId="0" borderId="194" xfId="0" applyNumberFormat="1" applyFont="1" applyBorder="1" applyAlignment="1">
      <alignment horizontal="right" vertical="center"/>
    </xf>
    <xf numFmtId="3" fontId="7" fillId="0" borderId="4" xfId="0" applyNumberFormat="1" applyFont="1" applyBorder="1" applyAlignment="1">
      <alignment horizontal="center"/>
    </xf>
    <xf numFmtId="0" fontId="8" fillId="0" borderId="4" xfId="0" applyFont="1" applyBorder="1" applyAlignment="1">
      <alignment horizontal="left" vertical="center"/>
    </xf>
    <xf numFmtId="3" fontId="7" fillId="0" borderId="194" xfId="0" applyNumberFormat="1" applyFont="1" applyBorder="1" applyAlignment="1">
      <alignment horizontal="right" vertical="center"/>
    </xf>
    <xf numFmtId="3" fontId="7" fillId="0" borderId="196" xfId="0" applyNumberFormat="1" applyFont="1" applyBorder="1" applyAlignment="1">
      <alignment horizontal="right" vertical="center"/>
    </xf>
    <xf numFmtId="165" fontId="7" fillId="0" borderId="167" xfId="1" applyNumberFormat="1" applyFont="1" applyBorder="1" applyAlignment="1" applyProtection="1">
      <alignment horizontal="right"/>
    </xf>
    <xf numFmtId="165" fontId="7" fillId="0" borderId="171" xfId="1" applyNumberFormat="1" applyFont="1" applyBorder="1" applyAlignment="1" applyProtection="1">
      <alignment horizontal="right"/>
    </xf>
    <xf numFmtId="0" fontId="7" fillId="0" borderId="99" xfId="0" applyFont="1" applyBorder="1" applyAlignment="1">
      <alignment horizontal="center"/>
    </xf>
    <xf numFmtId="0" fontId="7" fillId="0" borderId="8" xfId="0" applyFont="1" applyBorder="1" applyAlignment="1">
      <alignment horizontal="center"/>
    </xf>
    <xf numFmtId="0" fontId="7" fillId="0" borderId="8" xfId="0" applyFont="1" applyBorder="1"/>
    <xf numFmtId="165" fontId="7" fillId="0" borderId="197" xfId="1" applyNumberFormat="1" applyFont="1" applyBorder="1" applyAlignment="1" applyProtection="1">
      <alignment horizontal="right"/>
    </xf>
    <xf numFmtId="165" fontId="7" fillId="0" borderId="117" xfId="1" applyNumberFormat="1" applyFont="1" applyBorder="1" applyAlignment="1" applyProtection="1">
      <alignment horizontal="right"/>
    </xf>
    <xf numFmtId="0" fontId="15" fillId="0" borderId="52" xfId="47" applyFont="1" applyBorder="1" applyAlignment="1">
      <alignment horizontal="left" wrapText="1"/>
    </xf>
    <xf numFmtId="3" fontId="21" fillId="0" borderId="122" xfId="0" applyNumberFormat="1" applyFont="1" applyBorder="1"/>
    <xf numFmtId="3" fontId="14" fillId="0" borderId="62" xfId="0" applyNumberFormat="1" applyFont="1" applyBorder="1" applyAlignment="1">
      <alignment horizontal="right" wrapText="1"/>
    </xf>
    <xf numFmtId="0" fontId="13" fillId="0" borderId="0" xfId="28" applyFont="1" applyAlignment="1">
      <alignment horizontal="center" vertical="center"/>
    </xf>
    <xf numFmtId="3" fontId="7" fillId="0" borderId="0" xfId="28" applyNumberFormat="1" applyFont="1" applyAlignment="1">
      <alignment horizontal="center" vertical="center"/>
    </xf>
    <xf numFmtId="0" fontId="13" fillId="0" borderId="0" xfId="50" applyFont="1" applyAlignment="1">
      <alignment horizontal="center" vertical="center"/>
    </xf>
    <xf numFmtId="0" fontId="14" fillId="0" borderId="0" xfId="50" applyFont="1" applyAlignment="1">
      <alignment horizontal="center" vertical="center"/>
    </xf>
    <xf numFmtId="0" fontId="14" fillId="0" borderId="0" xfId="50" applyFont="1" applyAlignment="1">
      <alignment wrapText="1"/>
    </xf>
    <xf numFmtId="3" fontId="14" fillId="0" borderId="0" xfId="50" applyNumberFormat="1" applyFont="1" applyAlignment="1">
      <alignment horizontal="center" vertical="center" wrapText="1"/>
    </xf>
    <xf numFmtId="0" fontId="13" fillId="0" borderId="0" xfId="51" applyFont="1" applyAlignment="1">
      <alignment horizontal="center" vertical="center" wrapText="1"/>
    </xf>
    <xf numFmtId="3" fontId="13" fillId="0" borderId="0" xfId="51" applyNumberFormat="1" applyFont="1" applyAlignment="1">
      <alignment horizontal="center" vertical="center"/>
    </xf>
    <xf numFmtId="3" fontId="14" fillId="0" borderId="200" xfId="50" applyNumberFormat="1" applyFont="1" applyBorder="1" applyAlignment="1">
      <alignment horizontal="center" vertical="center" wrapText="1"/>
    </xf>
    <xf numFmtId="3" fontId="14" fillId="0" borderId="8" xfId="50" applyNumberFormat="1" applyFont="1" applyBorder="1" applyAlignment="1">
      <alignment horizontal="center" vertical="center" wrapText="1"/>
    </xf>
    <xf numFmtId="3" fontId="14" fillId="0" borderId="38" xfId="50" applyNumberFormat="1" applyFont="1" applyBorder="1" applyAlignment="1">
      <alignment horizontal="center" vertical="center" wrapText="1"/>
    </xf>
    <xf numFmtId="3" fontId="13" fillId="0" borderId="0" xfId="50" applyNumberFormat="1" applyFont="1" applyAlignment="1">
      <alignment horizontal="center" vertical="center"/>
    </xf>
    <xf numFmtId="0" fontId="14" fillId="0" borderId="39" xfId="50" applyFont="1" applyBorder="1" applyAlignment="1">
      <alignment horizontal="center"/>
    </xf>
    <xf numFmtId="3" fontId="14" fillId="0" borderId="77" xfId="48" applyNumberFormat="1" applyFont="1" applyBorder="1" applyAlignment="1">
      <alignment horizontal="left" vertical="center" wrapText="1"/>
    </xf>
    <xf numFmtId="3" fontId="14" fillId="0" borderId="74" xfId="50" applyNumberFormat="1" applyFont="1" applyBorder="1" applyAlignment="1">
      <alignment horizontal="right" vertical="center"/>
    </xf>
    <xf numFmtId="3" fontId="14" fillId="0" borderId="74" xfId="47" applyNumberFormat="1" applyFont="1" applyBorder="1" applyAlignment="1">
      <alignment horizontal="right" vertical="center"/>
    </xf>
    <xf numFmtId="3" fontId="14" fillId="0" borderId="75" xfId="50" applyNumberFormat="1" applyFont="1" applyBorder="1" applyAlignment="1">
      <alignment horizontal="right" vertical="center"/>
    </xf>
    <xf numFmtId="0" fontId="14" fillId="0" borderId="42" xfId="50" applyFont="1" applyBorder="1" applyAlignment="1">
      <alignment horizontal="center" vertical="center" wrapText="1"/>
    </xf>
    <xf numFmtId="3" fontId="14" fillId="0" borderId="79" xfId="47" applyNumberFormat="1" applyFont="1" applyBorder="1" applyAlignment="1">
      <alignment horizontal="right" vertical="center" wrapText="1"/>
    </xf>
    <xf numFmtId="3" fontId="14" fillId="0" borderId="74" xfId="47" applyNumberFormat="1" applyFont="1" applyBorder="1" applyAlignment="1">
      <alignment horizontal="right" vertical="center" wrapText="1"/>
    </xf>
    <xf numFmtId="3" fontId="14" fillId="0" borderId="75" xfId="47" applyNumberFormat="1" applyFont="1" applyBorder="1" applyAlignment="1">
      <alignment horizontal="right" vertical="center" wrapText="1"/>
    </xf>
    <xf numFmtId="3" fontId="14" fillId="0" borderId="134" xfId="50" applyNumberFormat="1" applyFont="1" applyBorder="1" applyAlignment="1">
      <alignment horizontal="right" vertical="center"/>
    </xf>
    <xf numFmtId="0" fontId="14" fillId="0" borderId="45" xfId="50" applyFont="1" applyBorder="1" applyAlignment="1">
      <alignment horizontal="center" vertical="center"/>
    </xf>
    <xf numFmtId="3" fontId="7" fillId="0" borderId="46" xfId="50" applyNumberFormat="1" applyFont="1" applyBorder="1" applyAlignment="1">
      <alignment horizontal="right" vertical="center"/>
    </xf>
    <xf numFmtId="3" fontId="7" fillId="0" borderId="46" xfId="47" applyNumberFormat="1" applyFont="1" applyBorder="1" applyAlignment="1">
      <alignment horizontal="right" vertical="center"/>
    </xf>
    <xf numFmtId="3" fontId="7" fillId="0" borderId="49" xfId="50" applyNumberFormat="1" applyFont="1" applyBorder="1" applyAlignment="1">
      <alignment horizontal="right" vertical="center"/>
    </xf>
    <xf numFmtId="0" fontId="7" fillId="0" borderId="48" xfId="50" applyFont="1" applyBorder="1" applyAlignment="1">
      <alignment horizontal="center" vertical="center" wrapText="1"/>
    </xf>
    <xf numFmtId="3" fontId="7" fillId="0" borderId="46" xfId="47" applyNumberFormat="1" applyFont="1" applyBorder="1" applyAlignment="1">
      <alignment horizontal="right" vertical="center" wrapText="1"/>
    </xf>
    <xf numFmtId="3" fontId="7" fillId="0" borderId="49" xfId="47" applyNumberFormat="1" applyFont="1" applyBorder="1" applyAlignment="1">
      <alignment horizontal="right" vertical="center" wrapText="1"/>
    </xf>
    <xf numFmtId="3" fontId="7" fillId="0" borderId="135" xfId="50" applyNumberFormat="1" applyFont="1" applyBorder="1" applyAlignment="1">
      <alignment horizontal="right" vertical="center"/>
    </xf>
    <xf numFmtId="3" fontId="33" fillId="0" borderId="40" xfId="46" applyNumberFormat="1" applyFont="1" applyBorder="1" applyAlignment="1">
      <alignment horizontal="left" wrapText="1"/>
    </xf>
    <xf numFmtId="3" fontId="33" fillId="0" borderId="46" xfId="50" applyNumberFormat="1" applyFont="1" applyBorder="1" applyAlignment="1">
      <alignment horizontal="right" vertical="center"/>
    </xf>
    <xf numFmtId="3" fontId="33" fillId="0" borderId="46" xfId="47" applyNumberFormat="1" applyFont="1" applyBorder="1" applyAlignment="1">
      <alignment horizontal="right" vertical="center"/>
    </xf>
    <xf numFmtId="3" fontId="33" fillId="0" borderId="49" xfId="50" applyNumberFormat="1" applyFont="1" applyBorder="1" applyAlignment="1">
      <alignment horizontal="right" vertical="center"/>
    </xf>
    <xf numFmtId="0" fontId="33" fillId="0" borderId="48" xfId="50" applyFont="1" applyBorder="1" applyAlignment="1">
      <alignment horizontal="center" vertical="center" wrapText="1"/>
    </xf>
    <xf numFmtId="3" fontId="33" fillId="0" borderId="48" xfId="47" applyNumberFormat="1" applyFont="1" applyBorder="1" applyAlignment="1">
      <alignment horizontal="right" vertical="center" wrapText="1"/>
    </xf>
    <xf numFmtId="3" fontId="33" fillId="0" borderId="46" xfId="47" applyNumberFormat="1" applyFont="1" applyBorder="1" applyAlignment="1">
      <alignment horizontal="right" vertical="center" wrapText="1"/>
    </xf>
    <xf numFmtId="3" fontId="33" fillId="0" borderId="49" xfId="47" applyNumberFormat="1" applyFont="1" applyBorder="1" applyAlignment="1">
      <alignment horizontal="right" vertical="center" wrapText="1"/>
    </xf>
    <xf numFmtId="0" fontId="8" fillId="0" borderId="51" xfId="47" applyFont="1" applyBorder="1" applyAlignment="1">
      <alignment horizontal="left"/>
    </xf>
    <xf numFmtId="3" fontId="8" fillId="0" borderId="48" xfId="47" applyNumberFormat="1" applyFont="1" applyBorder="1" applyAlignment="1">
      <alignment horizontal="right" vertical="center" wrapText="1"/>
    </xf>
    <xf numFmtId="3" fontId="8" fillId="0" borderId="46" xfId="47" applyNumberFormat="1" applyFont="1" applyBorder="1" applyAlignment="1">
      <alignment horizontal="right" vertical="center" wrapText="1"/>
    </xf>
    <xf numFmtId="0" fontId="11" fillId="0" borderId="52" xfId="47" applyFont="1" applyBorder="1" applyAlignment="1">
      <alignment horizontal="left"/>
    </xf>
    <xf numFmtId="3" fontId="11" fillId="0" borderId="46" xfId="50" applyNumberFormat="1" applyFont="1" applyBorder="1" applyAlignment="1">
      <alignment horizontal="right" vertical="center"/>
    </xf>
    <xf numFmtId="3" fontId="11" fillId="0" borderId="46" xfId="47" applyNumberFormat="1" applyFont="1" applyBorder="1" applyAlignment="1">
      <alignment horizontal="right" vertical="center"/>
    </xf>
    <xf numFmtId="3" fontId="11" fillId="0" borderId="49" xfId="50" applyNumberFormat="1" applyFont="1" applyBorder="1" applyAlignment="1">
      <alignment horizontal="right" vertical="center"/>
    </xf>
    <xf numFmtId="0" fontId="11" fillId="0" borderId="48" xfId="50" applyFont="1" applyBorder="1" applyAlignment="1">
      <alignment horizontal="center" vertical="center" wrapText="1"/>
    </xf>
    <xf numFmtId="3" fontId="11" fillId="0" borderId="48" xfId="47" applyNumberFormat="1" applyFont="1" applyBorder="1" applyAlignment="1">
      <alignment horizontal="right" vertical="center" wrapText="1"/>
    </xf>
    <xf numFmtId="3" fontId="8" fillId="0" borderId="46" xfId="50" applyNumberFormat="1" applyFont="1" applyBorder="1" applyAlignment="1">
      <alignment horizontal="right" vertical="center"/>
    </xf>
    <xf numFmtId="3" fontId="8" fillId="0" borderId="46" xfId="47" applyNumberFormat="1" applyFont="1" applyBorder="1" applyAlignment="1">
      <alignment horizontal="right" vertical="center"/>
    </xf>
    <xf numFmtId="3" fontId="8" fillId="0" borderId="49" xfId="50" applyNumberFormat="1" applyFont="1" applyBorder="1" applyAlignment="1">
      <alignment horizontal="right" vertical="center"/>
    </xf>
    <xf numFmtId="0" fontId="8" fillId="0" borderId="48" xfId="50" applyFont="1" applyBorder="1" applyAlignment="1">
      <alignment horizontal="center" vertical="center" wrapText="1"/>
    </xf>
    <xf numFmtId="0" fontId="7" fillId="0" borderId="46" xfId="50" applyFont="1" applyBorder="1" applyAlignment="1">
      <alignment wrapText="1"/>
    </xf>
    <xf numFmtId="3" fontId="7" fillId="0" borderId="48" xfId="50" applyNumberFormat="1" applyFont="1" applyBorder="1" applyAlignment="1">
      <alignment horizontal="right" vertical="center"/>
    </xf>
    <xf numFmtId="0" fontId="14" fillId="0" borderId="0" xfId="50" applyFont="1" applyAlignment="1">
      <alignment vertical="center"/>
    </xf>
    <xf numFmtId="3" fontId="7" fillId="0" borderId="63" xfId="50" applyNumberFormat="1" applyFont="1" applyBorder="1" applyAlignment="1">
      <alignment horizontal="right" vertical="center"/>
    </xf>
    <xf numFmtId="0" fontId="12" fillId="0" borderId="46" xfId="47" applyFont="1" applyBorder="1" applyAlignment="1">
      <alignment wrapText="1"/>
    </xf>
    <xf numFmtId="3" fontId="7" fillId="0" borderId="60" xfId="47" applyNumberFormat="1" applyFont="1" applyBorder="1" applyAlignment="1">
      <alignment horizontal="right" vertical="center" wrapText="1"/>
    </xf>
    <xf numFmtId="3" fontId="33" fillId="0" borderId="68" xfId="46" applyNumberFormat="1" applyFont="1" applyBorder="1" applyAlignment="1">
      <alignment wrapText="1"/>
    </xf>
    <xf numFmtId="3" fontId="15" fillId="0" borderId="46" xfId="50" applyNumberFormat="1" applyFont="1" applyBorder="1" applyAlignment="1">
      <alignment horizontal="right" vertical="center"/>
    </xf>
    <xf numFmtId="3" fontId="14" fillId="0" borderId="46" xfId="47" applyNumberFormat="1" applyFont="1" applyBorder="1" applyAlignment="1">
      <alignment horizontal="right" vertical="center"/>
    </xf>
    <xf numFmtId="3" fontId="14" fillId="0" borderId="49" xfId="50" applyNumberFormat="1" applyFont="1" applyBorder="1" applyAlignment="1">
      <alignment horizontal="right" vertical="center"/>
    </xf>
    <xf numFmtId="0" fontId="14" fillId="0" borderId="48" xfId="50" applyFont="1" applyBorder="1" applyAlignment="1">
      <alignment horizontal="center" vertical="center" wrapText="1"/>
    </xf>
    <xf numFmtId="3" fontId="14" fillId="0" borderId="46" xfId="50" applyNumberFormat="1" applyFont="1" applyBorder="1" applyAlignment="1">
      <alignment horizontal="right" vertical="center"/>
    </xf>
    <xf numFmtId="3" fontId="42" fillId="0" borderId="46" xfId="50" applyNumberFormat="1" applyFont="1" applyBorder="1" applyAlignment="1">
      <alignment horizontal="right" vertical="center"/>
    </xf>
    <xf numFmtId="3" fontId="42" fillId="0" borderId="60" xfId="47" applyNumberFormat="1" applyFont="1" applyBorder="1" applyAlignment="1">
      <alignment horizontal="right" vertical="center" wrapText="1"/>
    </xf>
    <xf numFmtId="3" fontId="14" fillId="0" borderId="63" xfId="50" applyNumberFormat="1" applyFont="1" applyBorder="1" applyAlignment="1">
      <alignment horizontal="right" vertical="center"/>
    </xf>
    <xf numFmtId="3" fontId="23" fillId="0" borderId="46" xfId="50" applyNumberFormat="1" applyFont="1" applyBorder="1" applyAlignment="1">
      <alignment horizontal="right" vertical="center"/>
    </xf>
    <xf numFmtId="3" fontId="23" fillId="0" borderId="46" xfId="47" applyNumberFormat="1" applyFont="1" applyBorder="1" applyAlignment="1">
      <alignment horizontal="right" vertical="center"/>
    </xf>
    <xf numFmtId="3" fontId="23" fillId="0" borderId="49" xfId="50" applyNumberFormat="1" applyFont="1" applyBorder="1" applyAlignment="1">
      <alignment horizontal="right" vertical="center"/>
    </xf>
    <xf numFmtId="0" fontId="23" fillId="0" borderId="48" xfId="50" applyFont="1" applyBorder="1" applyAlignment="1">
      <alignment horizontal="center" vertical="center" wrapText="1"/>
    </xf>
    <xf numFmtId="3" fontId="24" fillId="0" borderId="46" xfId="50" applyNumberFormat="1" applyFont="1" applyBorder="1" applyAlignment="1">
      <alignment horizontal="right" vertical="center"/>
    </xf>
    <xf numFmtId="3" fontId="24" fillId="0" borderId="60" xfId="47" applyNumberFormat="1" applyFont="1" applyBorder="1" applyAlignment="1">
      <alignment horizontal="right" vertical="center" wrapText="1"/>
    </xf>
    <xf numFmtId="3" fontId="10" fillId="0" borderId="40" xfId="46" applyNumberFormat="1" applyFont="1" applyBorder="1" applyAlignment="1">
      <alignment horizontal="left" vertical="top" wrapText="1" indent="4"/>
    </xf>
    <xf numFmtId="3" fontId="10" fillId="0" borderId="46" xfId="50" applyNumberFormat="1" applyFont="1" applyBorder="1" applyAlignment="1">
      <alignment horizontal="right" vertical="center"/>
    </xf>
    <xf numFmtId="3" fontId="15" fillId="0" borderId="49" xfId="47" applyNumberFormat="1" applyFont="1" applyBorder="1" applyAlignment="1">
      <alignment horizontal="right" wrapText="1"/>
    </xf>
    <xf numFmtId="3" fontId="21" fillId="0" borderId="46" xfId="50" applyNumberFormat="1" applyFont="1" applyBorder="1" applyAlignment="1">
      <alignment horizontal="right" vertical="center"/>
    </xf>
    <xf numFmtId="3" fontId="21" fillId="0" borderId="46" xfId="47" applyNumberFormat="1" applyFont="1" applyBorder="1" applyAlignment="1">
      <alignment horizontal="right" vertical="center"/>
    </xf>
    <xf numFmtId="3" fontId="21" fillId="0" borderId="49" xfId="50" applyNumberFormat="1" applyFont="1" applyBorder="1" applyAlignment="1">
      <alignment horizontal="right" vertical="center"/>
    </xf>
    <xf numFmtId="0" fontId="21" fillId="0" borderId="48" xfId="50" applyFont="1" applyBorder="1" applyAlignment="1">
      <alignment horizontal="center" vertical="center" wrapText="1"/>
    </xf>
    <xf numFmtId="3" fontId="21" fillId="0" borderId="49" xfId="47" applyNumberFormat="1" applyFont="1" applyBorder="1" applyAlignment="1">
      <alignment horizontal="right" wrapText="1"/>
    </xf>
    <xf numFmtId="3" fontId="14" fillId="0" borderId="60" xfId="47" applyNumberFormat="1" applyFont="1" applyBorder="1" applyAlignment="1">
      <alignment horizontal="right" vertical="center" wrapText="1"/>
    </xf>
    <xf numFmtId="3" fontId="10" fillId="0" borderId="60" xfId="47" applyNumberFormat="1" applyFont="1" applyBorder="1" applyAlignment="1">
      <alignment horizontal="right" vertical="center" wrapText="1"/>
    </xf>
    <xf numFmtId="3" fontId="15" fillId="0" borderId="60" xfId="47" applyNumberFormat="1" applyFont="1" applyBorder="1" applyAlignment="1">
      <alignment horizontal="right" vertical="center" wrapText="1"/>
    </xf>
    <xf numFmtId="3" fontId="10" fillId="0" borderId="49" xfId="47" applyNumberFormat="1" applyFont="1" applyBorder="1" applyAlignment="1">
      <alignment horizontal="right" wrapText="1"/>
    </xf>
    <xf numFmtId="3" fontId="21" fillId="0" borderId="60" xfId="47" applyNumberFormat="1" applyFont="1" applyBorder="1" applyAlignment="1">
      <alignment horizontal="right" wrapText="1"/>
    </xf>
    <xf numFmtId="3" fontId="10" fillId="0" borderId="46" xfId="50" applyNumberFormat="1" applyFont="1" applyBorder="1" applyAlignment="1">
      <alignment horizontal="right"/>
    </xf>
    <xf numFmtId="3" fontId="21" fillId="0" borderId="49" xfId="47" applyNumberFormat="1" applyFont="1" applyBorder="1" applyAlignment="1">
      <alignment horizontal="right" vertical="center" wrapText="1"/>
    </xf>
    <xf numFmtId="3" fontId="10" fillId="0" borderId="49" xfId="47" applyNumberFormat="1" applyFont="1" applyBorder="1" applyAlignment="1">
      <alignment horizontal="right" vertical="center" wrapText="1"/>
    </xf>
    <xf numFmtId="3" fontId="7" fillId="0" borderId="19" xfId="50" applyNumberFormat="1" applyFont="1" applyBorder="1" applyAlignment="1">
      <alignment horizontal="right" vertical="center"/>
    </xf>
    <xf numFmtId="0" fontId="14" fillId="0" borderId="82" xfId="50" applyFont="1" applyBorder="1" applyAlignment="1">
      <alignment horizontal="center" vertical="center"/>
    </xf>
    <xf numFmtId="3" fontId="7" fillId="0" borderId="98" xfId="50" applyNumberFormat="1" applyFont="1" applyBorder="1" applyAlignment="1">
      <alignment horizontal="right" vertical="center"/>
    </xf>
    <xf numFmtId="0" fontId="7" fillId="0" borderId="46" xfId="47" applyFont="1" applyBorder="1" applyAlignment="1">
      <alignment wrapText="1" shrinkToFit="1"/>
    </xf>
    <xf numFmtId="3" fontId="33" fillId="0" borderId="40" xfId="46" applyNumberFormat="1" applyFont="1" applyBorder="1" applyAlignment="1">
      <alignment wrapText="1"/>
    </xf>
    <xf numFmtId="0" fontId="7" fillId="0" borderId="46" xfId="0" applyFont="1" applyBorder="1" applyAlignment="1">
      <alignment wrapText="1" shrinkToFit="1"/>
    </xf>
    <xf numFmtId="0" fontId="7" fillId="0" borderId="46" xfId="0" applyFont="1" applyBorder="1" applyAlignment="1">
      <alignment shrinkToFit="1"/>
    </xf>
    <xf numFmtId="0" fontId="7" fillId="0" borderId="46" xfId="0" applyFont="1" applyBorder="1" applyAlignment="1">
      <alignment wrapText="1"/>
    </xf>
    <xf numFmtId="3" fontId="8" fillId="0" borderId="98" xfId="50" applyNumberFormat="1" applyFont="1" applyBorder="1" applyAlignment="1">
      <alignment horizontal="right" vertical="center"/>
    </xf>
    <xf numFmtId="0" fontId="7" fillId="0" borderId="46" xfId="47" applyFont="1" applyBorder="1" applyAlignment="1">
      <alignment shrinkToFit="1"/>
    </xf>
    <xf numFmtId="0" fontId="14" fillId="0" borderId="96" xfId="50" applyFont="1" applyBorder="1" applyAlignment="1">
      <alignment horizontal="center" vertical="center"/>
    </xf>
    <xf numFmtId="3" fontId="7" fillId="0" borderId="121" xfId="50" applyNumberFormat="1" applyFont="1" applyBorder="1" applyAlignment="1">
      <alignment horizontal="right" vertical="center"/>
    </xf>
    <xf numFmtId="3" fontId="12" fillId="0" borderId="40" xfId="49" applyNumberFormat="1" applyFont="1" applyBorder="1" applyAlignment="1" applyProtection="1">
      <alignment horizontal="left"/>
      <protection locked="0"/>
    </xf>
    <xf numFmtId="3" fontId="7" fillId="0" borderId="41" xfId="50" applyNumberFormat="1" applyFont="1" applyBorder="1" applyAlignment="1">
      <alignment horizontal="right" vertical="center"/>
    </xf>
    <xf numFmtId="3" fontId="7" fillId="0" borderId="132" xfId="50" applyNumberFormat="1" applyFont="1" applyBorder="1" applyAlignment="1">
      <alignment horizontal="right" vertical="center"/>
    </xf>
    <xf numFmtId="0" fontId="7" fillId="0" borderId="42" xfId="50" applyFont="1" applyBorder="1" applyAlignment="1">
      <alignment horizontal="center" vertical="center" wrapText="1"/>
    </xf>
    <xf numFmtId="3" fontId="7" fillId="0" borderId="40" xfId="50" applyNumberFormat="1" applyFont="1" applyBorder="1" applyAlignment="1">
      <alignment horizontal="right" vertical="center"/>
    </xf>
    <xf numFmtId="3" fontId="7" fillId="0" borderId="43" xfId="47" applyNumberFormat="1" applyFont="1" applyBorder="1" applyAlignment="1">
      <alignment horizontal="right" vertical="center" wrapText="1"/>
    </xf>
    <xf numFmtId="0" fontId="43" fillId="0" borderId="46" xfId="50" applyFont="1" applyBorder="1" applyAlignment="1">
      <alignment horizontal="left" wrapText="1"/>
    </xf>
    <xf numFmtId="3" fontId="7" fillId="0" borderId="40" xfId="47" applyNumberFormat="1" applyFont="1" applyBorder="1" applyAlignment="1">
      <alignment horizontal="right" vertical="center"/>
    </xf>
    <xf numFmtId="0" fontId="14" fillId="0" borderId="17" xfId="50" applyFont="1" applyBorder="1" applyAlignment="1">
      <alignment horizontal="center" vertical="center"/>
    </xf>
    <xf numFmtId="0" fontId="14" fillId="0" borderId="80" xfId="50" applyFont="1" applyBorder="1" applyAlignment="1">
      <alignment horizontal="center" vertical="center"/>
    </xf>
    <xf numFmtId="3" fontId="7" fillId="0" borderId="122" xfId="50" applyNumberFormat="1" applyFont="1" applyBorder="1" applyAlignment="1">
      <alignment horizontal="right" vertical="center"/>
    </xf>
    <xf numFmtId="0" fontId="8" fillId="0" borderId="94" xfId="47" applyFont="1" applyBorder="1" applyAlignment="1">
      <alignment horizontal="left"/>
    </xf>
    <xf numFmtId="0" fontId="7" fillId="0" borderId="40" xfId="50" applyFont="1" applyBorder="1" applyAlignment="1">
      <alignment horizontal="center" vertical="top"/>
    </xf>
    <xf numFmtId="0" fontId="44" fillId="0" borderId="0" xfId="47" applyFont="1" applyAlignment="1">
      <alignment horizontal="left" wrapText="1"/>
    </xf>
    <xf numFmtId="3" fontId="7" fillId="0" borderId="51" xfId="50" applyNumberFormat="1" applyFont="1" applyBorder="1" applyAlignment="1">
      <alignment horizontal="right" vertical="center"/>
    </xf>
    <xf numFmtId="3" fontId="8" fillId="0" borderId="40" xfId="50" applyNumberFormat="1" applyFont="1" applyBorder="1" applyAlignment="1">
      <alignment horizontal="right" vertical="center"/>
    </xf>
    <xf numFmtId="3" fontId="11" fillId="0" borderId="40" xfId="50" applyNumberFormat="1" applyFont="1" applyBorder="1" applyAlignment="1">
      <alignment horizontal="right" vertical="center"/>
    </xf>
    <xf numFmtId="0" fontId="8" fillId="0" borderId="52" xfId="47" applyFont="1" applyBorder="1" applyAlignment="1">
      <alignment horizontal="left"/>
    </xf>
    <xf numFmtId="3" fontId="7" fillId="0" borderId="52" xfId="50" applyNumberFormat="1" applyFont="1" applyBorder="1" applyAlignment="1">
      <alignment horizontal="right" vertical="center"/>
    </xf>
    <xf numFmtId="3" fontId="7" fillId="0" borderId="94" xfId="50" applyNumberFormat="1" applyFont="1" applyBorder="1" applyAlignment="1">
      <alignment horizontal="right" vertical="center"/>
    </xf>
    <xf numFmtId="3" fontId="7" fillId="0" borderId="68" xfId="47" applyNumberFormat="1" applyFont="1" applyBorder="1" applyAlignment="1">
      <alignment horizontal="right" vertical="center"/>
    </xf>
    <xf numFmtId="0" fontId="7" fillId="0" borderId="42" xfId="50" applyFont="1" applyBorder="1" applyAlignment="1">
      <alignment horizontal="center" vertical="top" wrapText="1"/>
    </xf>
    <xf numFmtId="0" fontId="7" fillId="0" borderId="51" xfId="47" applyFont="1" applyBorder="1" applyAlignment="1">
      <alignment horizontal="left"/>
    </xf>
    <xf numFmtId="0" fontId="7" fillId="0" borderId="51" xfId="47" applyFont="1" applyBorder="1" applyAlignment="1">
      <alignment horizontal="left" wrapText="1"/>
    </xf>
    <xf numFmtId="3" fontId="7" fillId="0" borderId="58" xfId="50" applyNumberFormat="1" applyFont="1" applyBorder="1" applyAlignment="1">
      <alignment horizontal="right" vertical="center"/>
    </xf>
    <xf numFmtId="3" fontId="7" fillId="0" borderId="58" xfId="47" applyNumberFormat="1" applyFont="1" applyBorder="1" applyAlignment="1">
      <alignment horizontal="right" vertical="center"/>
    </xf>
    <xf numFmtId="0" fontId="7" fillId="0" borderId="52" xfId="47" applyFont="1" applyBorder="1" applyAlignment="1">
      <alignment vertical="center" wrapText="1"/>
    </xf>
    <xf numFmtId="3" fontId="21" fillId="0" borderId="201" xfId="47" applyNumberFormat="1" applyFont="1" applyBorder="1" applyAlignment="1">
      <alignment vertical="center" wrapText="1"/>
    </xf>
    <xf numFmtId="3" fontId="8" fillId="0" borderId="54" xfId="47" applyNumberFormat="1" applyFont="1" applyBorder="1" applyAlignment="1">
      <alignment wrapText="1"/>
    </xf>
    <xf numFmtId="0" fontId="7" fillId="0" borderId="56" xfId="50" applyFont="1" applyBorder="1" applyAlignment="1">
      <alignment horizontal="center" vertical="center" wrapText="1"/>
    </xf>
    <xf numFmtId="3" fontId="7" fillId="0" borderId="54" xfId="50" applyNumberFormat="1" applyFont="1" applyBorder="1" applyAlignment="1">
      <alignment horizontal="right" vertical="center"/>
    </xf>
    <xf numFmtId="3" fontId="7" fillId="0" borderId="55" xfId="47" applyNumberFormat="1" applyFont="1" applyBorder="1" applyAlignment="1">
      <alignment horizontal="right" vertical="center" wrapText="1"/>
    </xf>
    <xf numFmtId="3" fontId="7" fillId="0" borderId="131" xfId="50" applyNumberFormat="1" applyFont="1" applyBorder="1" applyAlignment="1">
      <alignment horizontal="right" vertical="center"/>
    </xf>
    <xf numFmtId="3" fontId="21" fillId="0" borderId="82" xfId="47" applyNumberFormat="1" applyFont="1" applyBorder="1" applyAlignment="1">
      <alignment vertical="center" wrapText="1"/>
    </xf>
    <xf numFmtId="3" fontId="8" fillId="0" borderId="46" xfId="47" applyNumberFormat="1" applyFont="1" applyBorder="1" applyAlignment="1">
      <alignment wrapText="1"/>
    </xf>
    <xf numFmtId="3" fontId="8" fillId="0" borderId="135" xfId="47" applyNumberFormat="1" applyFont="1" applyBorder="1" applyAlignment="1">
      <alignment horizontal="right" vertical="center" wrapText="1"/>
    </xf>
    <xf numFmtId="3" fontId="8" fillId="0" borderId="53" xfId="47" applyNumberFormat="1" applyFont="1" applyBorder="1" applyAlignment="1">
      <alignment wrapText="1"/>
    </xf>
    <xf numFmtId="3" fontId="8" fillId="0" borderId="136" xfId="47" applyNumberFormat="1" applyFont="1" applyBorder="1" applyAlignment="1">
      <alignment horizontal="right" vertical="center" wrapText="1"/>
    </xf>
    <xf numFmtId="3" fontId="21" fillId="0" borderId="128" xfId="47" applyNumberFormat="1" applyFont="1" applyBorder="1" applyAlignment="1">
      <alignment vertical="center" wrapText="1"/>
    </xf>
    <xf numFmtId="3" fontId="11" fillId="0" borderId="54" xfId="0" applyNumberFormat="1" applyFont="1" applyBorder="1" applyAlignment="1">
      <alignment wrapText="1"/>
    </xf>
    <xf numFmtId="3" fontId="11" fillId="0" borderId="129" xfId="0" applyNumberFormat="1" applyFont="1" applyBorder="1" applyAlignment="1">
      <alignment wrapText="1"/>
    </xf>
    <xf numFmtId="3" fontId="9" fillId="0" borderId="56" xfId="47" applyNumberFormat="1" applyFont="1" applyBorder="1" applyAlignment="1">
      <alignment horizontal="right" vertical="center" wrapText="1"/>
    </xf>
    <xf numFmtId="3" fontId="9" fillId="0" borderId="54" xfId="47" applyNumberFormat="1" applyFont="1" applyBorder="1" applyAlignment="1">
      <alignment horizontal="right" vertical="center" wrapText="1"/>
    </xf>
    <xf numFmtId="3" fontId="9" fillId="0" borderId="55" xfId="47" applyNumberFormat="1" applyFont="1" applyBorder="1" applyAlignment="1">
      <alignment horizontal="right" vertical="center" wrapText="1"/>
    </xf>
    <xf numFmtId="3" fontId="9" fillId="0" borderId="131" xfId="47" applyNumberFormat="1" applyFont="1" applyBorder="1" applyAlignment="1">
      <alignment horizontal="right" vertical="center" wrapText="1"/>
    </xf>
    <xf numFmtId="3" fontId="21" fillId="0" borderId="45" xfId="47" applyNumberFormat="1" applyFont="1" applyBorder="1" applyAlignment="1">
      <alignment vertical="center" wrapText="1"/>
    </xf>
    <xf numFmtId="3" fontId="24" fillId="0" borderId="40" xfId="46" applyNumberFormat="1" applyFont="1" applyBorder="1" applyAlignment="1">
      <alignment wrapText="1"/>
    </xf>
    <xf numFmtId="0" fontId="26" fillId="0" borderId="46" xfId="0" applyFont="1" applyBorder="1" applyAlignment="1">
      <alignment wrapText="1"/>
    </xf>
    <xf numFmtId="0" fontId="26" fillId="0" borderId="98" xfId="0" applyFont="1" applyBorder="1" applyAlignment="1">
      <alignment wrapText="1"/>
    </xf>
    <xf numFmtId="3" fontId="24" fillId="0" borderId="48" xfId="47" applyNumberFormat="1" applyFont="1" applyBorder="1" applyAlignment="1">
      <alignment horizontal="right" vertical="center" wrapText="1"/>
    </xf>
    <xf numFmtId="3" fontId="24" fillId="0" borderId="46" xfId="50" applyNumberFormat="1" applyFont="1" applyBorder="1" applyAlignment="1">
      <alignment horizontal="right"/>
    </xf>
    <xf numFmtId="3" fontId="24" fillId="0" borderId="48" xfId="50" applyNumberFormat="1" applyFont="1" applyBorder="1" applyAlignment="1">
      <alignment horizontal="right"/>
    </xf>
    <xf numFmtId="3" fontId="24" fillId="0" borderId="47" xfId="50" applyNumberFormat="1" applyFont="1" applyBorder="1" applyAlignment="1">
      <alignment horizontal="right"/>
    </xf>
    <xf numFmtId="3" fontId="24" fillId="0" borderId="49" xfId="47" applyNumberFormat="1" applyFont="1" applyBorder="1" applyAlignment="1">
      <alignment horizontal="right" vertical="center" wrapText="1"/>
    </xf>
    <xf numFmtId="3" fontId="9" fillId="0" borderId="63" xfId="47" applyNumberFormat="1" applyFont="1" applyBorder="1" applyAlignment="1">
      <alignment horizontal="right" vertical="center" wrapText="1"/>
    </xf>
    <xf numFmtId="0" fontId="10" fillId="0" borderId="51" xfId="47" applyFont="1" applyBorder="1" applyAlignment="1">
      <alignment horizontal="left"/>
    </xf>
    <xf numFmtId="0" fontId="19" fillId="0" borderId="46" xfId="0" applyFont="1" applyBorder="1" applyAlignment="1">
      <alignment horizontal="left" wrapText="1"/>
    </xf>
    <xf numFmtId="0" fontId="19" fillId="0" borderId="98" xfId="0" applyFont="1" applyBorder="1" applyAlignment="1">
      <alignment horizontal="left" wrapText="1"/>
    </xf>
    <xf numFmtId="3" fontId="10" fillId="0" borderId="48" xfId="47" applyNumberFormat="1" applyFont="1" applyBorder="1" applyAlignment="1">
      <alignment horizontal="right" vertical="center" wrapText="1"/>
    </xf>
    <xf numFmtId="3" fontId="15" fillId="0" borderId="46" xfId="50" applyNumberFormat="1" applyFont="1" applyBorder="1" applyAlignment="1">
      <alignment horizontal="right"/>
    </xf>
    <xf numFmtId="3" fontId="15" fillId="0" borderId="46" xfId="0" applyNumberFormat="1" applyFont="1" applyBorder="1" applyAlignment="1">
      <alignment wrapText="1"/>
    </xf>
    <xf numFmtId="0" fontId="19" fillId="0" borderId="46" xfId="0" applyFont="1" applyBorder="1" applyAlignment="1">
      <alignment wrapText="1"/>
    </xf>
    <xf numFmtId="0" fontId="19" fillId="0" borderId="98" xfId="0" applyFont="1" applyBorder="1" applyAlignment="1">
      <alignment wrapText="1"/>
    </xf>
    <xf numFmtId="3" fontId="10" fillId="0" borderId="46" xfId="47" applyNumberFormat="1" applyFont="1" applyBorder="1" applyAlignment="1">
      <alignment horizontal="right" vertical="center" wrapText="1"/>
    </xf>
    <xf numFmtId="3" fontId="24" fillId="0" borderId="46" xfId="47" applyNumberFormat="1" applyFont="1" applyBorder="1" applyAlignment="1">
      <alignment horizontal="right" vertical="center" wrapText="1"/>
    </xf>
    <xf numFmtId="3" fontId="15" fillId="0" borderId="46" xfId="47" applyNumberFormat="1" applyFont="1" applyBorder="1" applyAlignment="1">
      <alignment horizontal="right" vertical="center" wrapText="1"/>
    </xf>
    <xf numFmtId="3" fontId="21" fillId="0" borderId="83" xfId="47" applyNumberFormat="1" applyFont="1" applyBorder="1" applyAlignment="1">
      <alignment vertical="center" wrapText="1"/>
    </xf>
    <xf numFmtId="3" fontId="8" fillId="0" borderId="71" xfId="47" applyNumberFormat="1" applyFont="1" applyBorder="1" applyAlignment="1">
      <alignment wrapText="1"/>
    </xf>
    <xf numFmtId="0" fontId="19" fillId="0" borderId="71" xfId="0" applyFont="1" applyBorder="1" applyAlignment="1">
      <alignment horizontal="left" wrapText="1"/>
    </xf>
    <xf numFmtId="0" fontId="19" fillId="0" borderId="92" xfId="0" applyFont="1" applyBorder="1" applyAlignment="1">
      <alignment horizontal="left" wrapText="1"/>
    </xf>
    <xf numFmtId="3" fontId="10" fillId="0" borderId="113" xfId="47" applyNumberFormat="1" applyFont="1" applyBorder="1" applyAlignment="1">
      <alignment horizontal="right" vertical="center" wrapText="1"/>
    </xf>
    <xf numFmtId="3" fontId="9" fillId="0" borderId="84" xfId="47" applyNumberFormat="1" applyFont="1" applyBorder="1" applyAlignment="1">
      <alignment horizontal="right" vertical="center" wrapText="1"/>
    </xf>
    <xf numFmtId="3" fontId="14" fillId="0" borderId="0" xfId="28" applyNumberFormat="1" applyFont="1" applyAlignment="1">
      <alignment horizontal="left" vertical="top"/>
    </xf>
    <xf numFmtId="3" fontId="14" fillId="0" borderId="0" xfId="28" applyNumberFormat="1" applyFont="1" applyAlignment="1">
      <alignment horizontal="left"/>
    </xf>
    <xf numFmtId="3" fontId="14" fillId="0" borderId="0" xfId="51" applyNumberFormat="1" applyFont="1" applyAlignment="1">
      <alignment horizontal="right"/>
    </xf>
    <xf numFmtId="3" fontId="14" fillId="0" borderId="0" xfId="51" applyNumberFormat="1" applyFont="1" applyAlignment="1">
      <alignment horizontal="right" wrapText="1"/>
    </xf>
    <xf numFmtId="3" fontId="14" fillId="0" borderId="0" xfId="28" applyNumberFormat="1" applyFont="1" applyAlignment="1">
      <alignment horizontal="center" vertical="center"/>
    </xf>
    <xf numFmtId="3" fontId="14" fillId="0" borderId="0" xfId="50" applyNumberFormat="1" applyFont="1" applyAlignment="1">
      <alignment horizontal="right" vertical="center"/>
    </xf>
    <xf numFmtId="3" fontId="14" fillId="0" borderId="0" xfId="28" applyNumberFormat="1" applyFont="1" applyAlignment="1">
      <alignment horizontal="right"/>
    </xf>
    <xf numFmtId="3" fontId="7" fillId="0" borderId="137" xfId="50" applyNumberFormat="1" applyFont="1" applyBorder="1" applyAlignment="1">
      <alignment horizontal="right" vertical="center"/>
    </xf>
    <xf numFmtId="0" fontId="12" fillId="0" borderId="46" xfId="50" applyFont="1" applyBorder="1" applyAlignment="1">
      <alignment wrapText="1"/>
    </xf>
    <xf numFmtId="0" fontId="9" fillId="0" borderId="46" xfId="50" applyFont="1" applyBorder="1" applyAlignment="1">
      <alignment wrapText="1"/>
    </xf>
    <xf numFmtId="0" fontId="43" fillId="0" borderId="46" xfId="50" applyFont="1" applyBorder="1" applyAlignment="1">
      <alignment wrapText="1"/>
    </xf>
    <xf numFmtId="0" fontId="45" fillId="0" borderId="46" xfId="50" applyFont="1" applyBorder="1" applyAlignment="1">
      <alignment horizontal="left"/>
    </xf>
    <xf numFmtId="0" fontId="46" fillId="0" borderId="46" xfId="50" applyFont="1" applyBorder="1" applyAlignment="1">
      <alignment horizontal="left"/>
    </xf>
    <xf numFmtId="0" fontId="47" fillId="0" borderId="46" xfId="50" applyFont="1" applyBorder="1" applyAlignment="1">
      <alignment wrapText="1"/>
    </xf>
    <xf numFmtId="0" fontId="43" fillId="0" borderId="46" xfId="50" applyFont="1" applyBorder="1" applyAlignment="1">
      <alignment shrinkToFit="1"/>
    </xf>
    <xf numFmtId="0" fontId="45" fillId="0" borderId="46" xfId="50" applyFont="1" applyBorder="1" applyAlignment="1">
      <alignment horizontal="left" wrapText="1"/>
    </xf>
    <xf numFmtId="0" fontId="45" fillId="0" borderId="46" xfId="50" applyFont="1" applyBorder="1" applyAlignment="1">
      <alignment horizontal="left" shrinkToFit="1"/>
    </xf>
    <xf numFmtId="3" fontId="7" fillId="0" borderId="138" xfId="50" applyNumberFormat="1" applyFont="1" applyBorder="1" applyAlignment="1">
      <alignment horizontal="right" vertical="center"/>
    </xf>
    <xf numFmtId="0" fontId="14" fillId="0" borderId="81" xfId="50" applyFont="1" applyBorder="1" applyAlignment="1">
      <alignment horizontal="center" vertical="center"/>
    </xf>
    <xf numFmtId="0" fontId="43" fillId="0" borderId="58" xfId="50" applyFont="1" applyBorder="1" applyAlignment="1">
      <alignment wrapText="1"/>
    </xf>
    <xf numFmtId="3" fontId="7" fillId="0" borderId="60" xfId="50" applyNumberFormat="1" applyFont="1" applyBorder="1" applyAlignment="1">
      <alignment horizontal="right" vertical="center"/>
    </xf>
    <xf numFmtId="0" fontId="7" fillId="0" borderId="61" xfId="50" applyFont="1" applyBorder="1" applyAlignment="1">
      <alignment horizontal="center" vertical="center" wrapText="1"/>
    </xf>
    <xf numFmtId="3" fontId="7" fillId="0" borderId="58" xfId="47" applyNumberFormat="1" applyFont="1" applyBorder="1" applyAlignment="1">
      <alignment horizontal="right" vertical="center" wrapText="1"/>
    </xf>
    <xf numFmtId="3" fontId="8" fillId="0" borderId="58" xfId="47" applyNumberFormat="1" applyFont="1" applyBorder="1" applyAlignment="1">
      <alignment horizontal="right" vertical="center" wrapText="1"/>
    </xf>
    <xf numFmtId="0" fontId="7" fillId="0" borderId="52" xfId="0" applyFont="1" applyBorder="1" applyAlignment="1">
      <alignment wrapText="1" shrinkToFit="1"/>
    </xf>
    <xf numFmtId="3" fontId="7" fillId="0" borderId="42" xfId="50" applyNumberFormat="1" applyFont="1" applyBorder="1" applyAlignment="1">
      <alignment horizontal="right" vertical="center"/>
    </xf>
    <xf numFmtId="3" fontId="7" fillId="0" borderId="134" xfId="50" applyNumberFormat="1" applyFont="1" applyBorder="1" applyAlignment="1">
      <alignment horizontal="right" vertical="center"/>
    </xf>
    <xf numFmtId="3" fontId="7" fillId="0" borderId="56" xfId="47" applyNumberFormat="1" applyFont="1" applyBorder="1" applyAlignment="1">
      <alignment horizontal="right" vertical="center" wrapText="1"/>
    </xf>
    <xf numFmtId="3" fontId="7" fillId="0" borderId="54" xfId="47" applyNumberFormat="1" applyFont="1" applyBorder="1" applyAlignment="1">
      <alignment horizontal="right" vertical="center" wrapText="1"/>
    </xf>
    <xf numFmtId="3" fontId="7" fillId="0" borderId="139" xfId="50" applyNumberFormat="1" applyFont="1" applyBorder="1" applyAlignment="1">
      <alignment horizontal="right" vertical="center"/>
    </xf>
    <xf numFmtId="3" fontId="21" fillId="0" borderId="202" xfId="47" applyNumberFormat="1" applyFont="1" applyBorder="1" applyAlignment="1">
      <alignment vertical="center" wrapText="1"/>
    </xf>
    <xf numFmtId="3" fontId="21" fillId="0" borderId="39" xfId="47" applyNumberFormat="1" applyFont="1" applyBorder="1" applyAlignment="1">
      <alignment vertical="center" wrapText="1"/>
    </xf>
    <xf numFmtId="3" fontId="8" fillId="0" borderId="40" xfId="47" applyNumberFormat="1" applyFont="1" applyBorder="1" applyAlignment="1">
      <alignment wrapText="1"/>
    </xf>
    <xf numFmtId="3" fontId="15" fillId="0" borderId="51" xfId="0" applyNumberFormat="1" applyFont="1" applyBorder="1" applyAlignment="1">
      <alignment wrapText="1"/>
    </xf>
    <xf numFmtId="3" fontId="15" fillId="0" borderId="40" xfId="0" applyNumberFormat="1" applyFont="1" applyBorder="1" applyAlignment="1">
      <alignment wrapText="1"/>
    </xf>
    <xf numFmtId="3" fontId="15" fillId="0" borderId="132" xfId="0" applyNumberFormat="1" applyFont="1" applyBorder="1" applyAlignment="1">
      <alignment wrapText="1"/>
    </xf>
    <xf numFmtId="3" fontId="21" fillId="0" borderId="42" xfId="47" applyNumberFormat="1" applyFont="1" applyBorder="1" applyAlignment="1">
      <alignment horizontal="right" vertical="center" wrapText="1"/>
    </xf>
    <xf numFmtId="3" fontId="21" fillId="0" borderId="40" xfId="47" applyNumberFormat="1" applyFont="1" applyBorder="1" applyAlignment="1">
      <alignment horizontal="right" vertical="center" wrapText="1"/>
    </xf>
    <xf numFmtId="3" fontId="21" fillId="0" borderId="43" xfId="47" applyNumberFormat="1" applyFont="1" applyBorder="1" applyAlignment="1">
      <alignment horizontal="right" vertical="center" wrapText="1"/>
    </xf>
    <xf numFmtId="3" fontId="8" fillId="0" borderId="121" xfId="47" applyNumberFormat="1" applyFont="1" applyBorder="1" applyAlignment="1">
      <alignment horizontal="right" vertical="center" wrapText="1"/>
    </xf>
    <xf numFmtId="0" fontId="25" fillId="0" borderId="40" xfId="0" applyFont="1" applyBorder="1" applyAlignment="1">
      <alignment wrapText="1"/>
    </xf>
    <xf numFmtId="0" fontId="25" fillId="0" borderId="132" xfId="0" applyFont="1" applyBorder="1" applyAlignment="1">
      <alignment wrapText="1"/>
    </xf>
    <xf numFmtId="3" fontId="23" fillId="0" borderId="48" xfId="47" applyNumberFormat="1" applyFont="1" applyBorder="1" applyAlignment="1">
      <alignment horizontal="right" vertical="center" wrapText="1"/>
    </xf>
    <xf numFmtId="0" fontId="0" fillId="0" borderId="40" xfId="0" applyBorder="1" applyAlignment="1">
      <alignment horizontal="left" wrapText="1"/>
    </xf>
    <xf numFmtId="0" fontId="0" fillId="0" borderId="132" xfId="0" applyBorder="1" applyAlignment="1">
      <alignment horizontal="left" wrapText="1"/>
    </xf>
    <xf numFmtId="3" fontId="21" fillId="0" borderId="48" xfId="47" applyNumberFormat="1" applyFont="1" applyBorder="1" applyAlignment="1">
      <alignment horizontal="right" vertical="center" wrapText="1"/>
    </xf>
    <xf numFmtId="0" fontId="25" fillId="0" borderId="46" xfId="0" applyFont="1" applyBorder="1" applyAlignment="1">
      <alignment wrapText="1"/>
    </xf>
    <xf numFmtId="0" fontId="25" fillId="0" borderId="49" xfId="0" applyFont="1" applyBorder="1" applyAlignment="1">
      <alignment wrapText="1"/>
    </xf>
    <xf numFmtId="0" fontId="0" fillId="0" borderId="46" xfId="0" applyBorder="1" applyAlignment="1">
      <alignment horizontal="left" wrapText="1"/>
    </xf>
    <xf numFmtId="0" fontId="0" fillId="0" borderId="49" xfId="0" applyBorder="1" applyAlignment="1">
      <alignment horizontal="left" wrapText="1"/>
    </xf>
    <xf numFmtId="3" fontId="14" fillId="0" borderId="102" xfId="28" applyNumberFormat="1" applyFont="1" applyBorder="1" applyAlignment="1">
      <alignment horizontal="left" vertical="top"/>
    </xf>
    <xf numFmtId="3" fontId="14" fillId="0" borderId="102" xfId="28" applyNumberFormat="1" applyFont="1" applyBorder="1" applyAlignment="1">
      <alignment horizontal="left"/>
    </xf>
    <xf numFmtId="3" fontId="14" fillId="0" borderId="102" xfId="51" applyNumberFormat="1" applyFont="1" applyBorder="1" applyAlignment="1">
      <alignment horizontal="right"/>
    </xf>
    <xf numFmtId="3" fontId="14" fillId="0" borderId="102" xfId="51" applyNumberFormat="1" applyFont="1" applyBorder="1" applyAlignment="1">
      <alignment horizontal="right" wrapText="1"/>
    </xf>
    <xf numFmtId="3" fontId="14" fillId="0" borderId="102" xfId="28" applyNumberFormat="1" applyFont="1" applyBorder="1" applyAlignment="1">
      <alignment horizontal="center" vertical="center"/>
    </xf>
    <xf numFmtId="3" fontId="7" fillId="0" borderId="102" xfId="51" applyNumberFormat="1" applyFont="1" applyBorder="1" applyAlignment="1">
      <alignment horizontal="right"/>
    </xf>
    <xf numFmtId="3" fontId="14" fillId="0" borderId="102" xfId="50" applyNumberFormat="1" applyFont="1" applyBorder="1" applyAlignment="1">
      <alignment horizontal="right" vertical="center"/>
    </xf>
    <xf numFmtId="0" fontId="7" fillId="0" borderId="0" xfId="55" applyFont="1" applyAlignment="1">
      <alignment horizontal="center" vertical="center"/>
    </xf>
    <xf numFmtId="0" fontId="7" fillId="0" borderId="0" xfId="55" applyFont="1"/>
    <xf numFmtId="0" fontId="7" fillId="0" borderId="0" xfId="55" applyFont="1" applyAlignment="1">
      <alignment vertical="center"/>
    </xf>
    <xf numFmtId="0" fontId="7" fillId="0" borderId="0" xfId="56" applyFont="1" applyAlignment="1">
      <alignment horizontal="center" vertical="center"/>
    </xf>
    <xf numFmtId="0" fontId="14" fillId="0" borderId="0" xfId="55" applyFont="1" applyAlignment="1">
      <alignment horizontal="center" vertical="center"/>
    </xf>
    <xf numFmtId="0" fontId="13" fillId="0" borderId="0" xfId="55" applyFont="1"/>
    <xf numFmtId="0" fontId="13" fillId="0" borderId="0" xfId="55" applyFont="1" applyAlignment="1">
      <alignment horizontal="center" vertical="center"/>
    </xf>
    <xf numFmtId="0" fontId="7" fillId="0" borderId="0" xfId="56" applyFont="1" applyAlignment="1">
      <alignment horizontal="center"/>
    </xf>
    <xf numFmtId="0" fontId="7" fillId="0" borderId="0" xfId="56" applyFont="1"/>
    <xf numFmtId="3" fontId="14" fillId="0" borderId="0" xfId="48" applyNumberFormat="1" applyFont="1" applyAlignment="1">
      <alignment horizontal="center"/>
    </xf>
    <xf numFmtId="3" fontId="7" fillId="0" borderId="0" xfId="48" applyNumberFormat="1" applyFont="1"/>
    <xf numFmtId="3" fontId="7" fillId="0" borderId="0" xfId="48" applyNumberFormat="1" applyFont="1" applyAlignment="1">
      <alignment horizontal="center" vertical="center"/>
    </xf>
    <xf numFmtId="3" fontId="14" fillId="0" borderId="0" xfId="48" applyNumberFormat="1" applyFont="1" applyAlignment="1">
      <alignment horizontal="left" wrapText="1"/>
    </xf>
    <xf numFmtId="14" fontId="14" fillId="0" borderId="0" xfId="48" applyNumberFormat="1" applyFont="1" applyAlignment="1">
      <alignment horizontal="center"/>
    </xf>
    <xf numFmtId="3" fontId="14" fillId="0" borderId="0" xfId="48" applyNumberFormat="1" applyFont="1"/>
    <xf numFmtId="3" fontId="14" fillId="0" borderId="0" xfId="48" applyNumberFormat="1" applyFont="1" applyAlignment="1">
      <alignment horizontal="center" wrapText="1"/>
    </xf>
    <xf numFmtId="3" fontId="14" fillId="0" borderId="19" xfId="48" applyNumberFormat="1" applyFont="1" applyBorder="1" applyAlignment="1">
      <alignment horizontal="center" vertical="center" wrapText="1"/>
    </xf>
    <xf numFmtId="3" fontId="7" fillId="0" borderId="204" xfId="48" applyNumberFormat="1" applyFont="1" applyBorder="1" applyAlignment="1">
      <alignment horizontal="center" vertical="center" wrapText="1"/>
    </xf>
    <xf numFmtId="3" fontId="7" fillId="0" borderId="0" xfId="48" applyNumberFormat="1" applyFont="1" applyAlignment="1">
      <alignment horizontal="center" vertical="center" wrapText="1"/>
    </xf>
    <xf numFmtId="3" fontId="7" fillId="0" borderId="206" xfId="48" applyNumberFormat="1" applyFont="1" applyBorder="1" applyAlignment="1">
      <alignment horizontal="center" vertical="center" wrapText="1"/>
    </xf>
    <xf numFmtId="3" fontId="7" fillId="0" borderId="208" xfId="48" applyNumberFormat="1" applyFont="1" applyBorder="1" applyAlignment="1">
      <alignment horizontal="center" vertical="center" wrapText="1"/>
    </xf>
    <xf numFmtId="0" fontId="7" fillId="0" borderId="208" xfId="48" applyFont="1" applyBorder="1" applyAlignment="1">
      <alignment horizontal="center" vertical="center" wrapText="1"/>
    </xf>
    <xf numFmtId="0" fontId="7" fillId="0" borderId="210" xfId="48" applyFont="1" applyBorder="1" applyAlignment="1">
      <alignment horizontal="center" vertical="center" wrapText="1"/>
    </xf>
    <xf numFmtId="3" fontId="7" fillId="0" borderId="210" xfId="48" applyNumberFormat="1" applyFont="1" applyBorder="1" applyAlignment="1">
      <alignment horizontal="center" vertical="center" wrapText="1"/>
    </xf>
    <xf numFmtId="3" fontId="14" fillId="0" borderId="0" xfId="48" applyNumberFormat="1" applyFont="1" applyAlignment="1">
      <alignment horizontal="center" vertical="center" wrapText="1"/>
    </xf>
    <xf numFmtId="3" fontId="7" fillId="0" borderId="17" xfId="48" applyNumberFormat="1" applyFont="1" applyBorder="1" applyAlignment="1">
      <alignment horizontal="center" wrapText="1"/>
    </xf>
    <xf numFmtId="3" fontId="12" fillId="0" borderId="93" xfId="48" applyNumberFormat="1" applyFont="1" applyBorder="1" applyAlignment="1">
      <alignment horizontal="left"/>
    </xf>
    <xf numFmtId="3" fontId="7" fillId="0" borderId="68" xfId="48" applyNumberFormat="1" applyFont="1" applyBorder="1" applyAlignment="1">
      <alignment horizontal="center" wrapText="1"/>
    </xf>
    <xf numFmtId="14" fontId="7" fillId="0" borderId="146" xfId="48" applyNumberFormat="1" applyFont="1" applyBorder="1" applyAlignment="1">
      <alignment horizontal="center" vertical="center" wrapText="1"/>
    </xf>
    <xf numFmtId="3" fontId="7" fillId="0" borderId="211" xfId="48" applyNumberFormat="1" applyFont="1" applyBorder="1" applyAlignment="1">
      <alignment horizontal="center" vertical="center" wrapText="1"/>
    </xf>
    <xf numFmtId="3" fontId="7" fillId="0" borderId="144" xfId="48" applyNumberFormat="1" applyFont="1" applyBorder="1" applyAlignment="1">
      <alignment horizontal="center" vertical="center" wrapText="1"/>
    </xf>
    <xf numFmtId="0" fontId="7" fillId="0" borderId="145" xfId="48" applyFont="1" applyBorder="1" applyAlignment="1">
      <alignment horizontal="center" vertical="center" wrapText="1"/>
    </xf>
    <xf numFmtId="0" fontId="7" fillId="0" borderId="212" xfId="48" applyFont="1" applyBorder="1" applyAlignment="1">
      <alignment horizontal="center" vertical="center" wrapText="1"/>
    </xf>
    <xf numFmtId="3" fontId="7" fillId="0" borderId="145" xfId="48" applyNumberFormat="1" applyFont="1" applyBorder="1" applyAlignment="1">
      <alignment horizontal="center" vertical="center" wrapText="1"/>
    </xf>
    <xf numFmtId="3" fontId="7" fillId="0" borderId="212" xfId="48" applyNumberFormat="1" applyFont="1" applyBorder="1" applyAlignment="1">
      <alignment horizontal="center" vertical="center" wrapText="1"/>
    </xf>
    <xf numFmtId="3" fontId="7" fillId="0" borderId="82" xfId="48" applyNumberFormat="1" applyFont="1" applyBorder="1" applyAlignment="1">
      <alignment horizontal="center" wrapText="1"/>
    </xf>
    <xf numFmtId="3" fontId="7" fillId="0" borderId="46" xfId="48" applyNumberFormat="1" applyFont="1" applyBorder="1" applyAlignment="1">
      <alignment horizontal="center" vertical="top" wrapText="1"/>
    </xf>
    <xf numFmtId="14" fontId="7" fillId="0" borderId="49" xfId="48" applyNumberFormat="1" applyFont="1" applyBorder="1" applyAlignment="1">
      <alignment horizontal="center" vertical="center" wrapText="1"/>
    </xf>
    <xf numFmtId="3" fontId="7" fillId="0" borderId="47" xfId="48" applyNumberFormat="1" applyFont="1" applyBorder="1" applyAlignment="1">
      <alignment horizontal="center" vertical="center" wrapText="1"/>
    </xf>
    <xf numFmtId="3" fontId="7" fillId="0" borderId="86" xfId="48" applyNumberFormat="1" applyFont="1" applyBorder="1" applyAlignment="1">
      <alignment horizontal="right" vertical="center" wrapText="1"/>
    </xf>
    <xf numFmtId="3" fontId="7" fillId="0" borderId="48" xfId="48" applyNumberFormat="1" applyFont="1" applyBorder="1" applyAlignment="1">
      <alignment horizontal="center" vertical="center" wrapText="1"/>
    </xf>
    <xf numFmtId="0" fontId="7" fillId="0" borderId="46" xfId="48" applyFont="1" applyBorder="1" applyAlignment="1">
      <alignment horizontal="center" vertical="center" wrapText="1"/>
    </xf>
    <xf numFmtId="3" fontId="7" fillId="0" borderId="52" xfId="48" applyNumberFormat="1" applyFont="1" applyBorder="1" applyAlignment="1">
      <alignment horizontal="right" vertical="center" wrapText="1"/>
    </xf>
    <xf numFmtId="3" fontId="7" fillId="0" borderId="46" xfId="48" applyNumberFormat="1" applyFont="1" applyBorder="1" applyAlignment="1">
      <alignment horizontal="center" vertical="center" wrapText="1"/>
    </xf>
    <xf numFmtId="3" fontId="7" fillId="0" borderId="82" xfId="48" applyNumberFormat="1" applyFont="1" applyBorder="1" applyAlignment="1">
      <alignment horizontal="center" vertical="center" wrapText="1"/>
    </xf>
    <xf numFmtId="3" fontId="7" fillId="0" borderId="46" xfId="48" applyNumberFormat="1" applyFont="1" applyBorder="1" applyAlignment="1">
      <alignment horizontal="left" vertical="center" wrapText="1"/>
    </xf>
    <xf numFmtId="3" fontId="7" fillId="0" borderId="213" xfId="48" applyNumberFormat="1" applyFont="1" applyBorder="1" applyAlignment="1">
      <alignment horizontal="right" vertical="center" wrapText="1"/>
    </xf>
    <xf numFmtId="3" fontId="7" fillId="0" borderId="85" xfId="48" applyNumberFormat="1" applyFont="1" applyBorder="1" applyAlignment="1">
      <alignment horizontal="right" vertical="center" wrapText="1"/>
    </xf>
    <xf numFmtId="3" fontId="7" fillId="0" borderId="42" xfId="48" applyNumberFormat="1" applyFont="1" applyBorder="1" applyAlignment="1">
      <alignment horizontal="right" vertical="center" wrapText="1"/>
    </xf>
    <xf numFmtId="3" fontId="7" fillId="0" borderId="46" xfId="48" applyNumberFormat="1" applyFont="1" applyBorder="1" applyAlignment="1">
      <alignment horizontal="right" vertical="center" wrapText="1"/>
    </xf>
    <xf numFmtId="3" fontId="7" fillId="0" borderId="206" xfId="48" applyNumberFormat="1" applyFont="1" applyBorder="1" applyAlignment="1">
      <alignment horizontal="right" vertical="center" wrapText="1"/>
    </xf>
    <xf numFmtId="3" fontId="7" fillId="0" borderId="45" xfId="48" applyNumberFormat="1" applyFont="1" applyBorder="1" applyAlignment="1">
      <alignment horizontal="center" vertical="center" wrapText="1"/>
    </xf>
    <xf numFmtId="3" fontId="7" fillId="0" borderId="48" xfId="48" applyNumberFormat="1" applyFont="1" applyBorder="1" applyAlignment="1">
      <alignment horizontal="center" vertical="top" wrapText="1"/>
    </xf>
    <xf numFmtId="14" fontId="7" fillId="0" borderId="43" xfId="48" applyNumberFormat="1" applyFont="1" applyBorder="1" applyAlignment="1">
      <alignment horizontal="center" vertical="center" wrapText="1"/>
    </xf>
    <xf numFmtId="3" fontId="7" fillId="0" borderId="120" xfId="48" applyNumberFormat="1" applyFont="1" applyBorder="1" applyAlignment="1">
      <alignment horizontal="right" vertical="center" wrapText="1"/>
    </xf>
    <xf numFmtId="3" fontId="7" fillId="0" borderId="48" xfId="48" applyNumberFormat="1" applyFont="1" applyBorder="1" applyAlignment="1">
      <alignment horizontal="right" vertical="center" wrapText="1"/>
    </xf>
    <xf numFmtId="3" fontId="7" fillId="0" borderId="81" xfId="48" applyNumberFormat="1" applyFont="1" applyBorder="1" applyAlignment="1">
      <alignment horizontal="center" vertical="center" wrapText="1"/>
    </xf>
    <xf numFmtId="14" fontId="7" fillId="0" borderId="60" xfId="48" applyNumberFormat="1" applyFont="1" applyBorder="1" applyAlignment="1">
      <alignment horizontal="center" vertical="center" wrapText="1"/>
    </xf>
    <xf numFmtId="3" fontId="7" fillId="0" borderId="61" xfId="48" applyNumberFormat="1" applyFont="1" applyBorder="1" applyAlignment="1">
      <alignment horizontal="right" vertical="center" wrapText="1"/>
    </xf>
    <xf numFmtId="3" fontId="7" fillId="0" borderId="58" xfId="48" applyNumberFormat="1" applyFont="1" applyBorder="1" applyAlignment="1">
      <alignment horizontal="right" vertical="center" wrapText="1"/>
    </xf>
    <xf numFmtId="3" fontId="7" fillId="0" borderId="64" xfId="48" applyNumberFormat="1" applyFont="1" applyBorder="1" applyAlignment="1">
      <alignment horizontal="right" vertical="center" wrapText="1"/>
    </xf>
    <xf numFmtId="3" fontId="7" fillId="0" borderId="58" xfId="48" applyNumberFormat="1" applyFont="1" applyBorder="1" applyAlignment="1">
      <alignment horizontal="center" vertical="top" wrapText="1"/>
    </xf>
    <xf numFmtId="3" fontId="7" fillId="0" borderId="148" xfId="48" applyNumberFormat="1" applyFont="1" applyBorder="1" applyAlignment="1">
      <alignment horizontal="right" vertical="center" wrapText="1"/>
    </xf>
    <xf numFmtId="3" fontId="7" fillId="0" borderId="83" xfId="48" applyNumberFormat="1" applyFont="1" applyBorder="1" applyAlignment="1">
      <alignment horizontal="center" vertical="center" wrapText="1"/>
    </xf>
    <xf numFmtId="3" fontId="7" fillId="0" borderId="71" xfId="48" applyNumberFormat="1" applyFont="1" applyBorder="1" applyAlignment="1">
      <alignment horizontal="center" vertical="top" wrapText="1"/>
    </xf>
    <xf numFmtId="14" fontId="7" fillId="0" borderId="92" xfId="48" applyNumberFormat="1" applyFont="1" applyBorder="1" applyAlignment="1">
      <alignment horizontal="center" vertical="center" wrapText="1"/>
    </xf>
    <xf numFmtId="3" fontId="7" fillId="0" borderId="93" xfId="48" applyNumberFormat="1" applyFont="1" applyBorder="1" applyAlignment="1">
      <alignment horizontal="right" vertical="center" wrapText="1"/>
    </xf>
    <xf numFmtId="3" fontId="7" fillId="0" borderId="68" xfId="48" applyNumberFormat="1" applyFont="1" applyBorder="1" applyAlignment="1">
      <alignment horizontal="right" vertical="center" wrapText="1"/>
    </xf>
    <xf numFmtId="3" fontId="7" fillId="0" borderId="94" xfId="48" applyNumberFormat="1" applyFont="1" applyBorder="1" applyAlignment="1">
      <alignment horizontal="right" vertical="center" wrapText="1"/>
    </xf>
    <xf numFmtId="3" fontId="8" fillId="0" borderId="214" xfId="48" applyNumberFormat="1" applyFont="1" applyBorder="1" applyAlignment="1">
      <alignment horizontal="right" vertical="center"/>
    </xf>
    <xf numFmtId="3" fontId="8" fillId="0" borderId="103" xfId="48" applyNumberFormat="1" applyFont="1" applyBorder="1" applyAlignment="1">
      <alignment horizontal="right" vertical="center"/>
    </xf>
    <xf numFmtId="3" fontId="8" fillId="0" borderId="104" xfId="48" applyNumberFormat="1" applyFont="1" applyBorder="1" applyAlignment="1">
      <alignment horizontal="right" vertical="center"/>
    </xf>
    <xf numFmtId="3" fontId="8" fillId="0" borderId="112" xfId="48" applyNumberFormat="1" applyFont="1" applyBorder="1" applyAlignment="1">
      <alignment horizontal="right" vertical="center"/>
    </xf>
    <xf numFmtId="3" fontId="8" fillId="0" borderId="215" xfId="48" applyNumberFormat="1" applyFont="1" applyBorder="1" applyAlignment="1">
      <alignment horizontal="right" vertical="center"/>
    </xf>
    <xf numFmtId="3" fontId="7" fillId="0" borderId="0" xfId="48" applyNumberFormat="1" applyFont="1" applyAlignment="1">
      <alignment horizontal="left" wrapText="1"/>
    </xf>
    <xf numFmtId="3" fontId="7" fillId="0" borderId="0" xfId="48" applyNumberFormat="1" applyFont="1" applyAlignment="1">
      <alignment horizontal="center"/>
    </xf>
    <xf numFmtId="14" fontId="7" fillId="0" borderId="0" xfId="48" applyNumberFormat="1" applyFont="1" applyAlignment="1">
      <alignment horizontal="center"/>
    </xf>
    <xf numFmtId="3" fontId="14" fillId="0" borderId="74" xfId="46" applyNumberFormat="1" applyFont="1" applyBorder="1" applyAlignment="1">
      <alignment horizontal="center" vertical="center" wrapText="1"/>
    </xf>
    <xf numFmtId="3" fontId="14" fillId="0" borderId="75" xfId="46" applyNumberFormat="1" applyFont="1" applyBorder="1" applyAlignment="1">
      <alignment horizontal="center" vertical="center" wrapText="1"/>
    </xf>
    <xf numFmtId="3" fontId="14" fillId="0" borderId="40" xfId="46" applyNumberFormat="1" applyFont="1" applyBorder="1" applyAlignment="1">
      <alignment horizontal="right"/>
    </xf>
    <xf numFmtId="3" fontId="14" fillId="0" borderId="51" xfId="46" applyNumberFormat="1" applyFont="1" applyBorder="1" applyAlignment="1">
      <alignment horizontal="right"/>
    </xf>
    <xf numFmtId="3" fontId="14" fillId="0" borderId="46" xfId="46" applyNumberFormat="1" applyFont="1" applyBorder="1" applyAlignment="1">
      <alignment horizontal="right"/>
    </xf>
    <xf numFmtId="3" fontId="14" fillId="0" borderId="52" xfId="46" applyNumberFormat="1" applyFont="1" applyBorder="1" applyAlignment="1">
      <alignment horizontal="right"/>
    </xf>
    <xf numFmtId="3" fontId="7" fillId="0" borderId="58" xfId="46" applyNumberFormat="1" applyFont="1" applyBorder="1" applyAlignment="1">
      <alignment horizontal="center" vertical="center"/>
    </xf>
    <xf numFmtId="3" fontId="7" fillId="0" borderId="46" xfId="46" applyNumberFormat="1" applyFont="1" applyBorder="1" applyAlignment="1">
      <alignment horizontal="center" vertical="center"/>
    </xf>
    <xf numFmtId="3" fontId="7" fillId="0" borderId="98" xfId="46" applyNumberFormat="1" applyFont="1" applyBorder="1" applyAlignment="1">
      <alignment horizontal="center" vertical="center"/>
    </xf>
    <xf numFmtId="3" fontId="23" fillId="0" borderId="52" xfId="46" applyNumberFormat="1" applyFont="1" applyBorder="1" applyAlignment="1">
      <alignment horizontal="right"/>
    </xf>
    <xf numFmtId="3" fontId="15" fillId="0" borderId="52" xfId="46" applyNumberFormat="1" applyFont="1" applyBorder="1" applyAlignment="1">
      <alignment horizontal="right"/>
    </xf>
    <xf numFmtId="3" fontId="7" fillId="0" borderId="49" xfId="46" applyNumberFormat="1" applyFont="1" applyBorder="1" applyAlignment="1">
      <alignment horizontal="center" vertical="center"/>
    </xf>
    <xf numFmtId="3" fontId="15" fillId="0" borderId="48" xfId="46" applyNumberFormat="1" applyFont="1" applyBorder="1" applyAlignment="1">
      <alignment horizontal="right"/>
    </xf>
    <xf numFmtId="3" fontId="24" fillId="0" borderId="52" xfId="46" applyNumberFormat="1" applyFont="1" applyBorder="1" applyAlignment="1">
      <alignment horizontal="right"/>
    </xf>
    <xf numFmtId="3" fontId="34" fillId="0" borderId="58" xfId="46" applyNumberFormat="1" applyFont="1" applyBorder="1" applyAlignment="1">
      <alignment horizontal="center" vertical="center"/>
    </xf>
    <xf numFmtId="3" fontId="34" fillId="0" borderId="46" xfId="46" applyNumberFormat="1" applyFont="1" applyBorder="1" applyAlignment="1">
      <alignment horizontal="center" vertical="center"/>
    </xf>
    <xf numFmtId="3" fontId="34" fillId="0" borderId="98" xfId="46" applyNumberFormat="1" applyFont="1" applyBorder="1" applyAlignment="1">
      <alignment horizontal="center" vertical="center"/>
    </xf>
    <xf numFmtId="3" fontId="15" fillId="0" borderId="40" xfId="46" applyNumberFormat="1" applyFont="1" applyBorder="1" applyAlignment="1">
      <alignment horizontal="right"/>
    </xf>
    <xf numFmtId="3" fontId="15" fillId="0" borderId="51" xfId="46" applyNumberFormat="1" applyFont="1" applyBorder="1" applyAlignment="1">
      <alignment horizontal="right"/>
    </xf>
    <xf numFmtId="3" fontId="23" fillId="0" borderId="51" xfId="46" applyNumberFormat="1" applyFont="1" applyBorder="1" applyAlignment="1">
      <alignment horizontal="right"/>
    </xf>
    <xf numFmtId="3" fontId="14" fillId="0" borderId="46" xfId="46" applyNumberFormat="1" applyFont="1" applyBorder="1"/>
    <xf numFmtId="3" fontId="14" fillId="0" borderId="52" xfId="46" applyNumberFormat="1" applyFont="1" applyBorder="1"/>
    <xf numFmtId="3" fontId="24" fillId="0" borderId="40" xfId="46" applyNumberFormat="1" applyFont="1" applyBorder="1" applyAlignment="1">
      <alignment horizontal="right"/>
    </xf>
    <xf numFmtId="3" fontId="24" fillId="0" borderId="51" xfId="46" applyNumberFormat="1" applyFont="1" applyBorder="1" applyAlignment="1">
      <alignment horizontal="right"/>
    </xf>
    <xf numFmtId="3" fontId="14" fillId="0" borderId="47" xfId="46" applyNumberFormat="1" applyFont="1" applyBorder="1" applyAlignment="1">
      <alignment horizontal="right"/>
    </xf>
    <xf numFmtId="3" fontId="15" fillId="0" borderId="49" xfId="46" applyNumberFormat="1" applyFont="1" applyBorder="1" applyAlignment="1">
      <alignment horizontal="right"/>
    </xf>
    <xf numFmtId="3" fontId="14" fillId="0" borderId="41" xfId="46" applyNumberFormat="1" applyFont="1" applyBorder="1" applyAlignment="1">
      <alignment horizontal="right"/>
    </xf>
    <xf numFmtId="3" fontId="15" fillId="0" borderId="43" xfId="46" applyNumberFormat="1" applyFont="1" applyBorder="1" applyAlignment="1">
      <alignment horizontal="right"/>
    </xf>
    <xf numFmtId="3" fontId="14" fillId="0" borderId="43" xfId="46" applyNumberFormat="1" applyFont="1" applyBorder="1" applyAlignment="1">
      <alignment horizontal="right"/>
    </xf>
    <xf numFmtId="3" fontId="23" fillId="0" borderId="43" xfId="46" applyNumberFormat="1" applyFont="1" applyBorder="1" applyAlignment="1">
      <alignment horizontal="right"/>
    </xf>
    <xf numFmtId="3" fontId="14" fillId="0" borderId="49" xfId="46" applyNumberFormat="1" applyFont="1" applyBorder="1" applyAlignment="1">
      <alignment horizontal="right"/>
    </xf>
    <xf numFmtId="3" fontId="15" fillId="0" borderId="58" xfId="46" applyNumberFormat="1" applyFont="1" applyBorder="1" applyAlignment="1">
      <alignment horizontal="right"/>
    </xf>
    <xf numFmtId="3" fontId="15" fillId="0" borderId="60" xfId="46" applyNumberFormat="1" applyFont="1" applyBorder="1" applyAlignment="1">
      <alignment horizontal="right"/>
    </xf>
    <xf numFmtId="3" fontId="14" fillId="0" borderId="58" xfId="46" applyNumberFormat="1" applyFont="1" applyBorder="1" applyAlignment="1">
      <alignment horizontal="right"/>
    </xf>
    <xf numFmtId="3" fontId="15" fillId="0" borderId="98" xfId="46" applyNumberFormat="1" applyFont="1" applyBorder="1" applyAlignment="1">
      <alignment horizontal="right"/>
    </xf>
    <xf numFmtId="3" fontId="15" fillId="0" borderId="97" xfId="46" applyNumberFormat="1" applyFont="1" applyBorder="1" applyAlignment="1">
      <alignment horizontal="right"/>
    </xf>
    <xf numFmtId="3" fontId="14" fillId="0" borderId="71" xfId="46" applyNumberFormat="1" applyFont="1" applyBorder="1" applyAlignment="1">
      <alignment horizontal="right"/>
    </xf>
    <xf numFmtId="3" fontId="15" fillId="0" borderId="71" xfId="46" applyNumberFormat="1" applyFont="1" applyBorder="1" applyAlignment="1">
      <alignment horizontal="right"/>
    </xf>
    <xf numFmtId="3" fontId="15" fillId="0" borderId="124" xfId="46" applyNumberFormat="1" applyFont="1" applyBorder="1" applyAlignment="1">
      <alignment horizontal="right"/>
    </xf>
    <xf numFmtId="3" fontId="23" fillId="0" borderId="58" xfId="46" applyNumberFormat="1" applyFont="1" applyBorder="1" applyAlignment="1">
      <alignment wrapText="1"/>
    </xf>
    <xf numFmtId="3" fontId="23" fillId="0" borderId="97" xfId="46" applyNumberFormat="1" applyFont="1" applyBorder="1" applyAlignment="1">
      <alignment wrapText="1"/>
    </xf>
    <xf numFmtId="3" fontId="23" fillId="0" borderId="98" xfId="46" applyNumberFormat="1" applyFont="1" applyBorder="1" applyAlignment="1">
      <alignment wrapText="1"/>
    </xf>
    <xf numFmtId="3" fontId="15" fillId="0" borderId="129" xfId="0" applyNumberFormat="1" applyFont="1" applyBorder="1" applyAlignment="1">
      <alignment wrapText="1"/>
    </xf>
    <xf numFmtId="0" fontId="0" fillId="0" borderId="40" xfId="0" applyBorder="1" applyAlignment="1">
      <alignment wrapText="1"/>
    </xf>
    <xf numFmtId="0" fontId="0" fillId="0" borderId="132" xfId="0" applyBorder="1" applyAlignment="1">
      <alignment wrapText="1"/>
    </xf>
    <xf numFmtId="0" fontId="0" fillId="0" borderId="58" xfId="0" applyBorder="1" applyAlignment="1">
      <alignment wrapText="1"/>
    </xf>
    <xf numFmtId="0" fontId="0" fillId="0" borderId="97" xfId="0" applyBorder="1" applyAlignment="1">
      <alignment wrapText="1"/>
    </xf>
    <xf numFmtId="0" fontId="0" fillId="0" borderId="71" xfId="0" applyBorder="1" applyAlignment="1">
      <alignment wrapText="1"/>
    </xf>
    <xf numFmtId="0" fontId="0" fillId="0" borderId="92" xfId="0" applyBorder="1" applyAlignment="1">
      <alignment wrapText="1"/>
    </xf>
    <xf numFmtId="0" fontId="15" fillId="0" borderId="216" xfId="47" applyFont="1" applyBorder="1" applyAlignment="1">
      <alignment horizontal="left"/>
    </xf>
    <xf numFmtId="3" fontId="15" fillId="0" borderId="71" xfId="0" applyNumberFormat="1" applyFont="1" applyBorder="1"/>
    <xf numFmtId="3" fontId="15" fillId="0" borderId="44" xfId="50" applyNumberFormat="1" applyFont="1" applyBorder="1" applyAlignment="1" applyProtection="1">
      <alignment horizontal="left"/>
      <protection locked="0"/>
    </xf>
    <xf numFmtId="3" fontId="15" fillId="0" borderId="50" xfId="50" applyNumberFormat="1" applyFont="1" applyBorder="1" applyProtection="1">
      <protection locked="0"/>
    </xf>
    <xf numFmtId="3" fontId="15" fillId="0" borderId="50" xfId="50" applyNumberFormat="1" applyFont="1" applyBorder="1" applyAlignment="1" applyProtection="1">
      <alignment horizontal="left"/>
      <protection locked="0"/>
    </xf>
    <xf numFmtId="3" fontId="15" fillId="0" borderId="50" xfId="50" applyNumberFormat="1" applyFont="1" applyBorder="1" applyAlignment="1" applyProtection="1">
      <alignment vertical="top"/>
      <protection locked="0"/>
    </xf>
    <xf numFmtId="3" fontId="15" fillId="0" borderId="62" xfId="50" applyNumberFormat="1" applyFont="1" applyBorder="1" applyProtection="1">
      <protection locked="0"/>
    </xf>
    <xf numFmtId="3" fontId="15" fillId="0" borderId="67" xfId="50" applyNumberFormat="1" applyFont="1" applyBorder="1" applyProtection="1">
      <protection locked="0"/>
    </xf>
    <xf numFmtId="3" fontId="10" fillId="0" borderId="217" xfId="50" applyNumberFormat="1" applyFont="1" applyBorder="1" applyAlignment="1" applyProtection="1">
      <alignment horizontal="right" vertical="center"/>
      <protection locked="0"/>
    </xf>
    <xf numFmtId="3" fontId="10" fillId="0" borderId="105" xfId="50" applyNumberFormat="1" applyFont="1" applyBorder="1" applyAlignment="1" applyProtection="1">
      <alignment horizontal="right" vertical="center"/>
      <protection locked="0"/>
    </xf>
    <xf numFmtId="3" fontId="10" fillId="0" borderId="76" xfId="50" applyNumberFormat="1" applyFont="1" applyBorder="1" applyAlignment="1" applyProtection="1">
      <alignment horizontal="right" vertical="center"/>
      <protection locked="0"/>
    </xf>
    <xf numFmtId="3" fontId="10" fillId="0" borderId="50" xfId="50" applyNumberFormat="1" applyFont="1" applyBorder="1" applyAlignment="1" applyProtection="1">
      <alignment horizontal="right" vertical="center"/>
      <protection locked="0"/>
    </xf>
    <xf numFmtId="3" fontId="15" fillId="0" borderId="84" xfId="50" applyNumberFormat="1" applyFont="1" applyBorder="1" applyAlignment="1" applyProtection="1">
      <alignment horizontal="right" vertical="center"/>
      <protection locked="0"/>
    </xf>
    <xf numFmtId="3" fontId="21" fillId="0" borderId="105" xfId="50" applyNumberFormat="1" applyFont="1" applyBorder="1" applyAlignment="1" applyProtection="1">
      <alignment horizontal="right" vertical="center"/>
      <protection locked="0"/>
    </xf>
    <xf numFmtId="3" fontId="15" fillId="0" borderId="113" xfId="0" applyNumberFormat="1" applyFont="1" applyBorder="1" applyAlignment="1">
      <alignment horizontal="right" wrapText="1"/>
    </xf>
    <xf numFmtId="0" fontId="15" fillId="0" borderId="71" xfId="47" applyFont="1" applyBorder="1" applyAlignment="1">
      <alignment horizontal="left"/>
    </xf>
    <xf numFmtId="3" fontId="15" fillId="0" borderId="71" xfId="0" applyNumberFormat="1" applyFont="1" applyBorder="1" applyAlignment="1">
      <alignment horizontal="right" wrapText="1"/>
    </xf>
    <xf numFmtId="3" fontId="15" fillId="0" borderId="84" xfId="0" applyNumberFormat="1" applyFont="1" applyBorder="1" applyAlignment="1">
      <alignment horizontal="right" wrapText="1"/>
    </xf>
    <xf numFmtId="3" fontId="15" fillId="0" borderId="71" xfId="47" applyNumberFormat="1" applyFont="1" applyBorder="1" applyAlignment="1">
      <alignment horizontal="right" vertical="center" wrapText="1"/>
    </xf>
    <xf numFmtId="3" fontId="15" fillId="0" borderId="92" xfId="47" applyNumberFormat="1" applyFont="1" applyBorder="1" applyAlignment="1">
      <alignment horizontal="right" wrapText="1"/>
    </xf>
    <xf numFmtId="0" fontId="11" fillId="0" borderId="65" xfId="47" applyFont="1" applyBorder="1" applyAlignment="1">
      <alignment horizontal="left"/>
    </xf>
    <xf numFmtId="3" fontId="11" fillId="0" borderId="53" xfId="50" applyNumberFormat="1" applyFont="1" applyBorder="1" applyAlignment="1">
      <alignment horizontal="right" vertical="center"/>
    </xf>
    <xf numFmtId="3" fontId="11" fillId="0" borderId="53" xfId="47" applyNumberFormat="1" applyFont="1" applyBorder="1" applyAlignment="1">
      <alignment horizontal="right" vertical="center"/>
    </xf>
    <xf numFmtId="3" fontId="11" fillId="0" borderId="66" xfId="50" applyNumberFormat="1" applyFont="1" applyBorder="1" applyAlignment="1">
      <alignment horizontal="right" vertical="center"/>
    </xf>
    <xf numFmtId="0" fontId="11" fillId="0" borderId="90" xfId="50" applyFont="1" applyBorder="1" applyAlignment="1">
      <alignment horizontal="center" vertical="center" wrapText="1"/>
    </xf>
    <xf numFmtId="3" fontId="11" fillId="0" borderId="90" xfId="47" applyNumberFormat="1" applyFont="1" applyBorder="1" applyAlignment="1">
      <alignment horizontal="right" vertical="center" wrapText="1"/>
    </xf>
    <xf numFmtId="3" fontId="11" fillId="0" borderId="66" xfId="47" applyNumberFormat="1" applyFont="1" applyBorder="1" applyAlignment="1">
      <alignment horizontal="right" wrapText="1"/>
    </xf>
    <xf numFmtId="0" fontId="11" fillId="0" borderId="71" xfId="47" applyFont="1" applyBorder="1" applyAlignment="1">
      <alignment horizontal="left"/>
    </xf>
    <xf numFmtId="3" fontId="11" fillId="0" borderId="71" xfId="47" applyNumberFormat="1" applyFont="1" applyBorder="1" applyAlignment="1">
      <alignment horizontal="right" vertical="center" wrapText="1"/>
    </xf>
    <xf numFmtId="3" fontId="11" fillId="0" borderId="92" xfId="47" applyNumberFormat="1" applyFont="1" applyBorder="1" applyAlignment="1">
      <alignment horizontal="right" vertical="center" wrapText="1"/>
    </xf>
    <xf numFmtId="3" fontId="11" fillId="0" borderId="71" xfId="47" applyNumberFormat="1" applyFont="1" applyBorder="1" applyAlignment="1">
      <alignment horizontal="right" wrapText="1"/>
    </xf>
    <xf numFmtId="3" fontId="11" fillId="0" borderId="92" xfId="47" applyNumberFormat="1" applyFont="1" applyBorder="1" applyAlignment="1">
      <alignment horizontal="right" wrapText="1"/>
    </xf>
    <xf numFmtId="0" fontId="11" fillId="0" borderId="218" xfId="47" applyFont="1" applyBorder="1" applyAlignment="1">
      <alignment horizontal="left"/>
    </xf>
    <xf numFmtId="3" fontId="11" fillId="0" borderId="154" xfId="47" applyNumberFormat="1" applyFont="1" applyBorder="1" applyAlignment="1">
      <alignment horizontal="right" wrapText="1"/>
    </xf>
    <xf numFmtId="3" fontId="7" fillId="0" borderId="68" xfId="47" applyNumberFormat="1" applyFont="1" applyBorder="1" applyAlignment="1">
      <alignment horizontal="right"/>
    </xf>
    <xf numFmtId="0" fontId="11" fillId="0" borderId="53" xfId="47" applyFont="1" applyBorder="1" applyAlignment="1">
      <alignment horizontal="left"/>
    </xf>
    <xf numFmtId="3" fontId="11" fillId="0" borderId="53" xfId="47" applyNumberFormat="1" applyFont="1" applyBorder="1" applyAlignment="1">
      <alignment horizontal="right" wrapText="1"/>
    </xf>
    <xf numFmtId="3" fontId="11" fillId="0" borderId="90" xfId="47" applyNumberFormat="1" applyFont="1" applyBorder="1" applyAlignment="1">
      <alignment horizontal="right" wrapText="1"/>
    </xf>
    <xf numFmtId="3" fontId="15" fillId="0" borderId="0" xfId="48" applyNumberFormat="1" applyFont="1" applyAlignment="1">
      <alignment horizontal="right"/>
    </xf>
    <xf numFmtId="3" fontId="7" fillId="0" borderId="207" xfId="48" applyNumberFormat="1" applyFont="1" applyBorder="1" applyAlignment="1">
      <alignment horizontal="center" vertical="center" wrapText="1"/>
    </xf>
    <xf numFmtId="0" fontId="11" fillId="0" borderId="153" xfId="47" applyFont="1" applyBorder="1" applyAlignment="1">
      <alignment horizontal="left"/>
    </xf>
    <xf numFmtId="0" fontId="11" fillId="0" borderId="70" xfId="47" applyFont="1" applyBorder="1" applyAlignment="1">
      <alignment horizontal="left"/>
    </xf>
    <xf numFmtId="3" fontId="8" fillId="0" borderId="0" xfId="45" applyNumberFormat="1" applyFont="1" applyAlignment="1">
      <alignment horizontal="center" vertical="center"/>
    </xf>
    <xf numFmtId="3" fontId="8" fillId="0" borderId="70" xfId="50" applyNumberFormat="1" applyFont="1" applyBorder="1" applyAlignment="1">
      <alignment horizontal="right"/>
    </xf>
    <xf numFmtId="3" fontId="9" fillId="0" borderId="90" xfId="47" applyNumberFormat="1" applyFont="1" applyBorder="1" applyAlignment="1">
      <alignment horizontal="right" wrapText="1"/>
    </xf>
    <xf numFmtId="3" fontId="39" fillId="0" borderId="53" xfId="47" applyNumberFormat="1" applyFont="1" applyBorder="1" applyAlignment="1">
      <alignment horizontal="right" wrapText="1"/>
    </xf>
    <xf numFmtId="0" fontId="11" fillId="0" borderId="125" xfId="47" applyFont="1" applyBorder="1" applyAlignment="1">
      <alignment horizontal="left"/>
    </xf>
    <xf numFmtId="3" fontId="11" fillId="0" borderId="113" xfId="47" applyNumberFormat="1" applyFont="1" applyBorder="1" applyAlignment="1">
      <alignment horizontal="right" wrapText="1"/>
    </xf>
    <xf numFmtId="3" fontId="8" fillId="0" borderId="0" xfId="47" applyNumberFormat="1" applyFont="1" applyAlignment="1">
      <alignment horizontal="right" wrapText="1"/>
    </xf>
    <xf numFmtId="3" fontId="36" fillId="0" borderId="0" xfId="47" applyNumberFormat="1" applyFont="1" applyAlignment="1">
      <alignment horizontal="right" wrapText="1"/>
    </xf>
    <xf numFmtId="3" fontId="8" fillId="0" borderId="126" xfId="47" applyNumberFormat="1" applyFont="1" applyBorder="1" applyAlignment="1">
      <alignment horizontal="right" vertical="center" wrapText="1"/>
    </xf>
    <xf numFmtId="3" fontId="11" fillId="0" borderId="3" xfId="45" applyNumberFormat="1" applyFont="1" applyBorder="1" applyAlignment="1">
      <alignment horizontal="center" vertical="center"/>
    </xf>
    <xf numFmtId="3" fontId="9" fillId="0" borderId="16" xfId="45" applyNumberFormat="1" applyFont="1" applyBorder="1"/>
    <xf numFmtId="3" fontId="7" fillId="0" borderId="0" xfId="45" applyNumberFormat="1" applyFont="1" applyAlignment="1">
      <alignment horizontal="left" indent="2"/>
    </xf>
    <xf numFmtId="3" fontId="9" fillId="0" borderId="24" xfId="45" applyNumberFormat="1" applyFont="1" applyBorder="1"/>
    <xf numFmtId="3" fontId="9" fillId="0" borderId="19" xfId="45" applyNumberFormat="1" applyFont="1" applyBorder="1"/>
    <xf numFmtId="3" fontId="11" fillId="0" borderId="0" xfId="45" applyNumberFormat="1" applyFont="1" applyAlignment="1">
      <alignment horizontal="left" indent="2"/>
    </xf>
    <xf numFmtId="3" fontId="7" fillId="0" borderId="0" xfId="45" applyNumberFormat="1" applyFont="1" applyAlignment="1">
      <alignment horizontal="left" indent="3"/>
    </xf>
    <xf numFmtId="3" fontId="7" fillId="0" borderId="0" xfId="45" applyNumberFormat="1" applyFont="1" applyAlignment="1">
      <alignment horizontal="left" wrapText="1" indent="3"/>
    </xf>
    <xf numFmtId="3" fontId="9" fillId="0" borderId="19" xfId="45" applyNumberFormat="1" applyFont="1" applyBorder="1" applyAlignment="1">
      <alignment vertical="center"/>
    </xf>
    <xf numFmtId="3" fontId="7" fillId="0" borderId="0" xfId="45" applyNumberFormat="1" applyFont="1" applyAlignment="1">
      <alignment wrapText="1"/>
    </xf>
    <xf numFmtId="3" fontId="9" fillId="0" borderId="5" xfId="45" applyNumberFormat="1" applyFont="1" applyBorder="1" applyAlignment="1">
      <alignment vertical="center"/>
    </xf>
    <xf numFmtId="3" fontId="7" fillId="0" borderId="0" xfId="45" applyNumberFormat="1" applyFont="1" applyAlignment="1">
      <alignment horizontal="left" indent="1"/>
    </xf>
    <xf numFmtId="3" fontId="7" fillId="0" borderId="0" xfId="45" applyNumberFormat="1" applyFont="1" applyAlignment="1">
      <alignment horizontal="center" vertical="top"/>
    </xf>
    <xf numFmtId="3" fontId="7" fillId="0" borderId="0" xfId="45" applyNumberFormat="1" applyFont="1" applyAlignment="1">
      <alignment horizontal="left" vertical="top" indent="1"/>
    </xf>
    <xf numFmtId="3" fontId="11" fillId="0" borderId="19" xfId="45" applyNumberFormat="1" applyFont="1" applyBorder="1" applyAlignment="1">
      <alignment vertical="top"/>
    </xf>
    <xf numFmtId="0" fontId="7" fillId="0" borderId="219" xfId="0" applyFont="1" applyBorder="1" applyAlignment="1">
      <alignment horizontal="center" vertical="center" wrapText="1"/>
    </xf>
    <xf numFmtId="0" fontId="7" fillId="0" borderId="220" xfId="0" applyFont="1" applyBorder="1"/>
    <xf numFmtId="0" fontId="7" fillId="0" borderId="167" xfId="0" applyFont="1" applyBorder="1"/>
    <xf numFmtId="0" fontId="7" fillId="0" borderId="167" xfId="0" applyFont="1" applyBorder="1" applyAlignment="1">
      <alignment vertical="center"/>
    </xf>
    <xf numFmtId="3" fontId="7" fillId="0" borderId="167" xfId="0" applyNumberFormat="1" applyFont="1" applyBorder="1" applyAlignment="1">
      <alignment vertical="center"/>
    </xf>
    <xf numFmtId="0" fontId="7" fillId="0" borderId="194" xfId="0" applyFont="1" applyBorder="1" applyAlignment="1">
      <alignment vertical="center"/>
    </xf>
    <xf numFmtId="3" fontId="11" fillId="0" borderId="166" xfId="0" applyNumberFormat="1" applyFont="1" applyBorder="1" applyAlignment="1">
      <alignment horizontal="center" vertical="center" wrapText="1"/>
    </xf>
    <xf numFmtId="0" fontId="11" fillId="0" borderId="221" xfId="0" applyFont="1" applyBorder="1" applyAlignment="1">
      <alignment horizontal="center" vertical="center" wrapText="1"/>
    </xf>
    <xf numFmtId="3" fontId="9" fillId="0" borderId="168" xfId="0" applyNumberFormat="1" applyFont="1" applyBorder="1" applyAlignment="1">
      <alignment horizontal="right"/>
    </xf>
    <xf numFmtId="3" fontId="11" fillId="0" borderId="168" xfId="0" applyNumberFormat="1" applyFont="1" applyBorder="1"/>
    <xf numFmtId="3" fontId="9" fillId="0" borderId="174" xfId="0" applyNumberFormat="1" applyFont="1" applyBorder="1" applyAlignment="1">
      <alignment vertical="center"/>
    </xf>
    <xf numFmtId="3" fontId="11" fillId="0" borderId="168" xfId="0" applyNumberFormat="1" applyFont="1" applyBorder="1" applyAlignment="1">
      <alignment horizontal="right"/>
    </xf>
    <xf numFmtId="3" fontId="9" fillId="0" borderId="178" xfId="0" applyNumberFormat="1" applyFont="1" applyBorder="1" applyAlignment="1">
      <alignment horizontal="right" vertical="center"/>
    </xf>
    <xf numFmtId="3" fontId="9" fillId="0" borderId="184" xfId="0" applyNumberFormat="1" applyFont="1" applyBorder="1" applyAlignment="1">
      <alignment horizontal="right" vertical="center"/>
    </xf>
    <xf numFmtId="3" fontId="11" fillId="0" borderId="168" xfId="0" applyNumberFormat="1" applyFont="1" applyBorder="1" applyAlignment="1">
      <alignment horizontal="right" vertical="center"/>
    </xf>
    <xf numFmtId="3" fontId="11" fillId="0" borderId="178" xfId="0" applyNumberFormat="1" applyFont="1" applyBorder="1" applyAlignment="1">
      <alignment horizontal="right" vertical="center"/>
    </xf>
    <xf numFmtId="3" fontId="9" fillId="0" borderId="191" xfId="0" applyNumberFormat="1" applyFont="1" applyBorder="1" applyAlignment="1">
      <alignment horizontal="right" vertical="center"/>
    </xf>
    <xf numFmtId="3" fontId="9" fillId="0" borderId="168" xfId="0" applyNumberFormat="1" applyFont="1" applyBorder="1" applyAlignment="1">
      <alignment horizontal="right" vertical="center"/>
    </xf>
    <xf numFmtId="3" fontId="9" fillId="0" borderId="195" xfId="0" applyNumberFormat="1" applyFont="1" applyBorder="1" applyAlignment="1">
      <alignment horizontal="right" vertical="center"/>
    </xf>
    <xf numFmtId="165" fontId="11" fillId="0" borderId="168" xfId="1" applyNumberFormat="1" applyFont="1" applyBorder="1" applyAlignment="1" applyProtection="1">
      <alignment horizontal="right"/>
    </xf>
    <xf numFmtId="165" fontId="11" fillId="0" borderId="198" xfId="1" applyNumberFormat="1" applyFont="1" applyBorder="1" applyAlignment="1" applyProtection="1">
      <alignment horizontal="right"/>
    </xf>
    <xf numFmtId="0" fontId="11" fillId="0" borderId="172" xfId="0" applyFont="1" applyBorder="1"/>
    <xf numFmtId="3" fontId="11" fillId="0" borderId="172" xfId="0" applyNumberFormat="1" applyFont="1" applyBorder="1"/>
    <xf numFmtId="3" fontId="9" fillId="0" borderId="176" xfId="0" applyNumberFormat="1" applyFont="1" applyBorder="1" applyAlignment="1">
      <alignment horizontal="right" vertical="center"/>
    </xf>
    <xf numFmtId="3" fontId="9" fillId="0" borderId="180" xfId="0" applyNumberFormat="1" applyFont="1" applyBorder="1" applyAlignment="1">
      <alignment horizontal="right" vertical="center"/>
    </xf>
    <xf numFmtId="3" fontId="9" fillId="0" borderId="188" xfId="0" applyNumberFormat="1" applyFont="1" applyBorder="1" applyAlignment="1">
      <alignment horizontal="right" vertical="center"/>
    </xf>
    <xf numFmtId="0" fontId="11" fillId="0" borderId="172" xfId="0" applyFont="1" applyBorder="1" applyAlignment="1">
      <alignment vertical="center"/>
    </xf>
    <xf numFmtId="3" fontId="11" fillId="0" borderId="172" xfId="0" applyNumberFormat="1" applyFont="1" applyBorder="1" applyAlignment="1">
      <alignment vertical="center"/>
    </xf>
    <xf numFmtId="3" fontId="11" fillId="0" borderId="180" xfId="0" applyNumberFormat="1" applyFont="1" applyBorder="1" applyAlignment="1">
      <alignment horizontal="right" vertical="center"/>
    </xf>
    <xf numFmtId="165" fontId="11" fillId="0" borderId="170" xfId="1" applyNumberFormat="1" applyFont="1" applyBorder="1" applyAlignment="1" applyProtection="1">
      <alignment horizontal="right"/>
    </xf>
    <xf numFmtId="165" fontId="11" fillId="0" borderId="118" xfId="1" applyNumberFormat="1" applyFont="1" applyBorder="1" applyAlignment="1" applyProtection="1">
      <alignment horizontal="right"/>
    </xf>
    <xf numFmtId="3" fontId="7" fillId="0" borderId="0" xfId="48" applyNumberFormat="1" applyFont="1" applyAlignment="1">
      <alignment horizontal="right" vertical="center" wrapText="1"/>
    </xf>
    <xf numFmtId="3" fontId="8" fillId="0" borderId="2" xfId="48" applyNumberFormat="1" applyFont="1" applyBorder="1" applyAlignment="1">
      <alignment horizontal="right" vertical="center"/>
    </xf>
    <xf numFmtId="3" fontId="11" fillId="2" borderId="204" xfId="48" applyNumberFormat="1" applyFont="1" applyFill="1" applyBorder="1" applyAlignment="1">
      <alignment horizontal="center" vertical="center" wrapText="1"/>
    </xf>
    <xf numFmtId="3" fontId="11" fillId="2" borderId="213" xfId="48" applyNumberFormat="1" applyFont="1" applyFill="1" applyBorder="1" applyAlignment="1">
      <alignment horizontal="right" vertical="center" wrapText="1"/>
    </xf>
    <xf numFmtId="3" fontId="11" fillId="2" borderId="223" xfId="48" applyNumberFormat="1" applyFont="1" applyFill="1" applyBorder="1" applyAlignment="1">
      <alignment horizontal="right" vertical="center" wrapText="1"/>
    </xf>
    <xf numFmtId="3" fontId="11" fillId="2" borderId="206" xfId="48" applyNumberFormat="1" applyFont="1" applyFill="1" applyBorder="1" applyAlignment="1">
      <alignment horizontal="right" vertical="center" wrapText="1"/>
    </xf>
    <xf numFmtId="3" fontId="8" fillId="2" borderId="214" xfId="48" applyNumberFormat="1" applyFont="1" applyFill="1" applyBorder="1" applyAlignment="1">
      <alignment horizontal="right" vertical="center"/>
    </xf>
    <xf numFmtId="3" fontId="8" fillId="2" borderId="35" xfId="48" applyNumberFormat="1" applyFont="1" applyFill="1" applyBorder="1" applyAlignment="1">
      <alignment horizontal="right" vertical="center"/>
    </xf>
    <xf numFmtId="3" fontId="15" fillId="0" borderId="0" xfId="48" applyNumberFormat="1" applyFont="1"/>
    <xf numFmtId="3" fontId="15" fillId="0" borderId="121" xfId="0" applyNumberFormat="1" applyFont="1" applyBorder="1" applyAlignment="1">
      <alignment horizontal="right" wrapText="1"/>
    </xf>
    <xf numFmtId="3" fontId="11" fillId="0" borderId="153" xfId="47" applyNumberFormat="1" applyFont="1" applyBorder="1" applyAlignment="1">
      <alignment horizontal="right" wrapText="1"/>
    </xf>
    <xf numFmtId="3" fontId="7" fillId="0" borderId="152" xfId="47" applyNumberFormat="1" applyFont="1" applyBorder="1" applyAlignment="1">
      <alignment horizontal="right" wrapText="1"/>
    </xf>
    <xf numFmtId="3" fontId="11" fillId="0" borderId="5" xfId="45" applyNumberFormat="1" applyFont="1" applyBorder="1" applyAlignment="1">
      <alignment horizontal="center" vertical="center"/>
    </xf>
    <xf numFmtId="3" fontId="9" fillId="0" borderId="16" xfId="45" applyNumberFormat="1" applyFont="1" applyBorder="1" applyAlignment="1">
      <alignment horizontal="right" wrapText="1"/>
    </xf>
    <xf numFmtId="3" fontId="8" fillId="0" borderId="0" xfId="45" applyNumberFormat="1" applyFont="1" applyAlignment="1">
      <alignment horizontal="left" wrapText="1"/>
    </xf>
    <xf numFmtId="3" fontId="7" fillId="0" borderId="0" xfId="45" applyNumberFormat="1" applyFont="1" applyAlignment="1">
      <alignment horizontal="center" wrapText="1"/>
    </xf>
    <xf numFmtId="3" fontId="8" fillId="0" borderId="0" xfId="45" applyNumberFormat="1" applyFont="1" applyAlignment="1">
      <alignment horizontal="right" wrapText="1"/>
    </xf>
    <xf numFmtId="3" fontId="9" fillId="0" borderId="19" xfId="45" applyNumberFormat="1" applyFont="1" applyBorder="1" applyAlignment="1">
      <alignment horizontal="right" wrapText="1"/>
    </xf>
    <xf numFmtId="0" fontId="8" fillId="0" borderId="0" xfId="0" applyFont="1" applyAlignment="1">
      <alignment horizontal="left"/>
    </xf>
    <xf numFmtId="3" fontId="8" fillId="0" borderId="0" xfId="0" applyNumberFormat="1" applyFont="1"/>
    <xf numFmtId="3" fontId="8" fillId="0" borderId="0" xfId="0" applyNumberFormat="1" applyFont="1" applyAlignment="1">
      <alignment horizontal="right"/>
    </xf>
    <xf numFmtId="3" fontId="9" fillId="0" borderId="19" xfId="0" applyNumberFormat="1" applyFont="1" applyBorder="1" applyAlignment="1">
      <alignment horizontal="right"/>
    </xf>
    <xf numFmtId="0" fontId="7" fillId="0" borderId="0" xfId="0" applyFont="1" applyAlignment="1">
      <alignment horizontal="center" vertical="top"/>
    </xf>
    <xf numFmtId="0" fontId="7" fillId="0" borderId="0" xfId="0" applyFont="1" applyAlignment="1">
      <alignment horizontal="left" wrapText="1" indent="1"/>
    </xf>
    <xf numFmtId="3" fontId="11" fillId="0" borderId="19" xfId="0" applyNumberFormat="1" applyFont="1" applyBorder="1"/>
    <xf numFmtId="3" fontId="11" fillId="0" borderId="19" xfId="0" applyNumberFormat="1" applyFont="1" applyBorder="1" applyAlignment="1">
      <alignment vertical="center"/>
    </xf>
    <xf numFmtId="0" fontId="8" fillId="0" borderId="0" xfId="0" applyFont="1" applyAlignment="1">
      <alignment horizontal="center" vertical="top"/>
    </xf>
    <xf numFmtId="0" fontId="8" fillId="0" borderId="0" xfId="0" applyFont="1" applyAlignment="1">
      <alignment horizontal="left" wrapText="1"/>
    </xf>
    <xf numFmtId="3" fontId="9" fillId="0" borderId="19" xfId="0" applyNumberFormat="1" applyFont="1" applyBorder="1"/>
    <xf numFmtId="3" fontId="7" fillId="0" borderId="0" xfId="45" applyNumberFormat="1" applyFont="1" applyAlignment="1">
      <alignment horizontal="center" vertical="top" wrapText="1"/>
    </xf>
    <xf numFmtId="0" fontId="9" fillId="0" borderId="0" xfId="0" applyFont="1" applyAlignment="1">
      <alignment horizontal="left" wrapText="1"/>
    </xf>
    <xf numFmtId="3" fontId="9" fillId="0" borderId="0" xfId="0" applyNumberFormat="1" applyFont="1"/>
    <xf numFmtId="3" fontId="9" fillId="0" borderId="0" xfId="0" applyNumberFormat="1" applyFont="1" applyAlignment="1">
      <alignment horizontal="right"/>
    </xf>
    <xf numFmtId="3" fontId="11" fillId="0" borderId="19" xfId="0" applyNumberFormat="1" applyFont="1" applyBorder="1" applyAlignment="1">
      <alignment horizontal="right"/>
    </xf>
    <xf numFmtId="3" fontId="9" fillId="0" borderId="24" xfId="45" applyNumberFormat="1" applyFont="1" applyBorder="1" applyAlignment="1">
      <alignment horizontal="right" wrapText="1"/>
    </xf>
    <xf numFmtId="0" fontId="7" fillId="0" borderId="0" xfId="0" applyFont="1" applyAlignment="1">
      <alignment horizontal="left" wrapText="1"/>
    </xf>
    <xf numFmtId="0" fontId="8" fillId="0" borderId="0" xfId="0" applyFont="1" applyAlignment="1">
      <alignment vertical="top" wrapText="1"/>
    </xf>
    <xf numFmtId="3" fontId="9" fillId="0" borderId="24" xfId="0" applyNumberFormat="1" applyFont="1" applyBorder="1" applyAlignment="1">
      <alignment horizontal="right" vertical="center"/>
    </xf>
    <xf numFmtId="3" fontId="9" fillId="0" borderId="226" xfId="0" applyNumberFormat="1" applyFont="1" applyBorder="1" applyAlignment="1">
      <alignment horizontal="right" vertical="center"/>
    </xf>
    <xf numFmtId="3" fontId="8" fillId="0" borderId="227" xfId="0" applyNumberFormat="1" applyFont="1" applyBorder="1" applyAlignment="1">
      <alignment horizontal="right" vertical="center"/>
    </xf>
    <xf numFmtId="3" fontId="8" fillId="0" borderId="0" xfId="0" applyNumberFormat="1" applyFont="1" applyAlignment="1">
      <alignment vertical="center"/>
    </xf>
    <xf numFmtId="3" fontId="9" fillId="0" borderId="19" xfId="0" applyNumberFormat="1" applyFont="1" applyBorder="1" applyAlignment="1">
      <alignment horizontal="right" vertical="center"/>
    </xf>
    <xf numFmtId="3" fontId="9" fillId="0" borderId="19" xfId="0" applyNumberFormat="1" applyFont="1" applyBorder="1" applyAlignment="1">
      <alignment vertical="center"/>
    </xf>
    <xf numFmtId="0" fontId="7" fillId="0" borderId="0" xfId="0" applyFont="1" applyAlignment="1">
      <alignment horizontal="left" indent="1"/>
    </xf>
    <xf numFmtId="3" fontId="9" fillId="0" borderId="228" xfId="0" applyNumberFormat="1" applyFont="1" applyBorder="1" applyAlignment="1">
      <alignment horizontal="right" vertical="center"/>
    </xf>
    <xf numFmtId="3" fontId="14" fillId="0" borderId="37" xfId="0" applyNumberFormat="1" applyFont="1" applyBorder="1" applyAlignment="1">
      <alignment horizontal="center" vertical="center" wrapText="1"/>
    </xf>
    <xf numFmtId="3" fontId="11" fillId="0" borderId="0" xfId="0" applyNumberFormat="1" applyFont="1" applyAlignment="1">
      <alignment horizontal="right"/>
    </xf>
    <xf numFmtId="0" fontId="7" fillId="0" borderId="1" xfId="0" applyFont="1" applyBorder="1" applyAlignment="1">
      <alignment horizontal="center" vertical="center" wrapText="1"/>
    </xf>
    <xf numFmtId="3" fontId="14" fillId="0" borderId="2" xfId="0" applyNumberFormat="1" applyFont="1" applyBorder="1" applyAlignment="1">
      <alignment horizontal="center" vertical="center" wrapText="1"/>
    </xf>
    <xf numFmtId="3" fontId="7" fillId="0" borderId="74" xfId="0" applyNumberFormat="1" applyFont="1" applyBorder="1" applyAlignment="1">
      <alignment vertical="center"/>
    </xf>
    <xf numFmtId="3" fontId="7" fillId="0" borderId="76" xfId="0" applyNumberFormat="1" applyFont="1" applyBorder="1" applyAlignment="1">
      <alignment vertical="center"/>
    </xf>
    <xf numFmtId="0" fontId="7" fillId="0" borderId="45" xfId="0" applyFont="1" applyBorder="1" applyAlignment="1">
      <alignment vertical="center"/>
    </xf>
    <xf numFmtId="3" fontId="7" fillId="0" borderId="46" xfId="0" applyNumberFormat="1" applyFont="1" applyBorder="1" applyAlignment="1">
      <alignment vertical="center"/>
    </xf>
    <xf numFmtId="3" fontId="7" fillId="0" borderId="50" xfId="0" applyNumberFormat="1" applyFont="1" applyBorder="1" applyAlignment="1">
      <alignment vertical="center"/>
    </xf>
    <xf numFmtId="0" fontId="7" fillId="0" borderId="45" xfId="0" applyFont="1" applyBorder="1" applyAlignment="1">
      <alignment vertical="center" wrapText="1"/>
    </xf>
    <xf numFmtId="0" fontId="7" fillId="0" borderId="83" xfId="0" applyFont="1" applyBorder="1" applyAlignment="1">
      <alignment vertical="center" wrapText="1"/>
    </xf>
    <xf numFmtId="3" fontId="7" fillId="0" borderId="71" xfId="0" applyNumberFormat="1" applyFont="1" applyBorder="1" applyAlignment="1">
      <alignment vertical="center"/>
    </xf>
    <xf numFmtId="3" fontId="7" fillId="0" borderId="84" xfId="0" applyNumberFormat="1" applyFont="1" applyBorder="1" applyAlignment="1">
      <alignment vertical="center"/>
    </xf>
    <xf numFmtId="0" fontId="8" fillId="0" borderId="111" xfId="0" applyFont="1" applyBorder="1" applyAlignment="1">
      <alignment vertical="center"/>
    </xf>
    <xf numFmtId="3" fontId="8" fillId="0" borderId="104" xfId="0" applyNumberFormat="1" applyFont="1" applyBorder="1" applyAlignment="1">
      <alignment vertical="center"/>
    </xf>
    <xf numFmtId="3" fontId="8" fillId="0" borderId="105" xfId="0" applyNumberFormat="1" applyFont="1" applyBorder="1" applyAlignment="1">
      <alignment vertical="center"/>
    </xf>
    <xf numFmtId="0" fontId="7" fillId="0" borderId="111" xfId="0" applyFont="1" applyBorder="1" applyAlignment="1">
      <alignment vertical="center" wrapText="1"/>
    </xf>
    <xf numFmtId="3" fontId="7" fillId="0" borderId="104" xfId="0" applyNumberFormat="1" applyFont="1" applyBorder="1" applyAlignment="1">
      <alignment vertical="center"/>
    </xf>
    <xf numFmtId="3" fontId="7" fillId="0" borderId="105" xfId="0" applyNumberFormat="1" applyFont="1" applyBorder="1" applyAlignment="1">
      <alignment vertical="center"/>
    </xf>
    <xf numFmtId="0" fontId="7" fillId="0" borderId="73" xfId="0" applyFont="1" applyBorder="1" applyAlignment="1">
      <alignment vertical="center"/>
    </xf>
    <xf numFmtId="3" fontId="11" fillId="2" borderId="137" xfId="48" applyNumberFormat="1" applyFont="1" applyFill="1" applyBorder="1" applyAlignment="1">
      <alignment horizontal="right" vertical="center" wrapText="1"/>
    </xf>
    <xf numFmtId="3" fontId="11" fillId="2" borderId="137" xfId="48" applyNumberFormat="1" applyFont="1" applyFill="1" applyBorder="1" applyAlignment="1">
      <alignment horizontal="right" vertical="center"/>
    </xf>
    <xf numFmtId="3" fontId="11" fillId="2" borderId="135" xfId="48" applyNumberFormat="1" applyFont="1" applyFill="1" applyBorder="1" applyAlignment="1">
      <alignment horizontal="right" vertical="center" wrapText="1"/>
    </xf>
    <xf numFmtId="3" fontId="11" fillId="2" borderId="135" xfId="48" applyNumberFormat="1" applyFont="1" applyFill="1" applyBorder="1" applyAlignment="1">
      <alignment horizontal="right"/>
    </xf>
    <xf numFmtId="3" fontId="11" fillId="2" borderId="135" xfId="48" applyNumberFormat="1" applyFont="1" applyFill="1" applyBorder="1" applyAlignment="1">
      <alignment horizontal="right" vertical="center"/>
    </xf>
    <xf numFmtId="3" fontId="13" fillId="0" borderId="0" xfId="0" applyNumberFormat="1" applyFont="1" applyAlignment="1">
      <alignment horizontal="center" vertical="center"/>
    </xf>
    <xf numFmtId="3" fontId="14" fillId="0" borderId="0" xfId="0" applyNumberFormat="1" applyFont="1" applyAlignment="1">
      <alignment horizontal="center" vertical="top"/>
    </xf>
    <xf numFmtId="3" fontId="14" fillId="0" borderId="0" xfId="0" applyNumberFormat="1" applyFont="1" applyAlignment="1">
      <alignment horizontal="right"/>
    </xf>
    <xf numFmtId="3" fontId="21" fillId="0" borderId="0" xfId="0" applyNumberFormat="1" applyFont="1" applyAlignment="1">
      <alignment horizontal="right"/>
    </xf>
    <xf numFmtId="3" fontId="14" fillId="0" borderId="38" xfId="0" applyNumberFormat="1" applyFont="1" applyBorder="1" applyAlignment="1">
      <alignment horizontal="center" vertical="center" wrapText="1"/>
    </xf>
    <xf numFmtId="3" fontId="14" fillId="0" borderId="38" xfId="45" applyNumberFormat="1" applyFont="1" applyBorder="1" applyAlignment="1">
      <alignment horizontal="center" vertical="center" wrapText="1"/>
    </xf>
    <xf numFmtId="3" fontId="14" fillId="0" borderId="39" xfId="0" applyNumberFormat="1" applyFont="1" applyBorder="1" applyAlignment="1">
      <alignment horizontal="center"/>
    </xf>
    <xf numFmtId="3" fontId="14" fillId="0" borderId="42" xfId="0" applyNumberFormat="1" applyFont="1" applyBorder="1" applyAlignment="1">
      <alignment horizontal="center"/>
    </xf>
    <xf numFmtId="3" fontId="21" fillId="0" borderId="40" xfId="49" applyNumberFormat="1" applyFont="1" applyBorder="1"/>
    <xf numFmtId="3" fontId="14" fillId="0" borderId="40" xfId="49" applyNumberFormat="1" applyFont="1" applyBorder="1" applyAlignment="1">
      <alignment horizontal="center"/>
    </xf>
    <xf numFmtId="3" fontId="14" fillId="0" borderId="40" xfId="0" applyNumberFormat="1" applyFont="1" applyBorder="1"/>
    <xf numFmtId="3" fontId="14" fillId="0" borderId="51" xfId="0" applyNumberFormat="1" applyFont="1" applyBorder="1"/>
    <xf numFmtId="3" fontId="21" fillId="0" borderId="85" xfId="0" applyNumberFormat="1" applyFont="1" applyBorder="1"/>
    <xf numFmtId="3" fontId="14" fillId="0" borderId="44" xfId="0" applyNumberFormat="1" applyFont="1" applyBorder="1"/>
    <xf numFmtId="3" fontId="14" fillId="0" borderId="45" xfId="0" applyNumberFormat="1" applyFont="1" applyBorder="1" applyAlignment="1">
      <alignment horizontal="center"/>
    </xf>
    <xf numFmtId="3" fontId="14" fillId="0" borderId="48" xfId="0" applyNumberFormat="1" applyFont="1" applyBorder="1" applyAlignment="1">
      <alignment horizontal="center"/>
    </xf>
    <xf numFmtId="3" fontId="14" fillId="0" borderId="46" xfId="49" applyNumberFormat="1" applyFont="1" applyBorder="1"/>
    <xf numFmtId="3" fontId="14" fillId="0" borderId="52" xfId="0" applyNumberFormat="1" applyFont="1" applyBorder="1"/>
    <xf numFmtId="3" fontId="21" fillId="0" borderId="86" xfId="0" applyNumberFormat="1" applyFont="1" applyBorder="1"/>
    <xf numFmtId="3" fontId="14" fillId="0" borderId="50" xfId="0" applyNumberFormat="1" applyFont="1" applyBorder="1"/>
    <xf numFmtId="3" fontId="23" fillId="0" borderId="45" xfId="0" applyNumberFormat="1" applyFont="1" applyBorder="1" applyAlignment="1">
      <alignment horizontal="center" vertical="center"/>
    </xf>
    <xf numFmtId="3" fontId="23" fillId="0" borderId="48" xfId="0" applyNumberFormat="1" applyFont="1" applyBorder="1" applyAlignment="1">
      <alignment horizontal="center" vertical="center"/>
    </xf>
    <xf numFmtId="3" fontId="23" fillId="0" borderId="46" xfId="49" applyNumberFormat="1" applyFont="1" applyBorder="1"/>
    <xf numFmtId="3" fontId="23" fillId="0" borderId="46" xfId="0" applyNumberFormat="1" applyFont="1" applyBorder="1" applyAlignment="1">
      <alignment vertical="center"/>
    </xf>
    <xf numFmtId="3" fontId="23" fillId="0" borderId="52" xfId="0" applyNumberFormat="1" applyFont="1" applyBorder="1" applyAlignment="1">
      <alignment vertical="center"/>
    </xf>
    <xf numFmtId="3" fontId="23" fillId="0" borderId="86" xfId="0" applyNumberFormat="1" applyFont="1" applyBorder="1"/>
    <xf numFmtId="3" fontId="23" fillId="0" borderId="46" xfId="0" applyNumberFormat="1" applyFont="1" applyBorder="1" applyAlignment="1">
      <alignment horizontal="right"/>
    </xf>
    <xf numFmtId="3" fontId="23" fillId="0" borderId="50" xfId="0" applyNumberFormat="1" applyFont="1" applyBorder="1" applyAlignment="1">
      <alignment horizontal="right"/>
    </xf>
    <xf numFmtId="3" fontId="23" fillId="0" borderId="0" xfId="0" applyNumberFormat="1" applyFont="1" applyAlignment="1">
      <alignment horizontal="right" vertical="center"/>
    </xf>
    <xf numFmtId="3" fontId="23" fillId="0" borderId="0" xfId="0" applyNumberFormat="1" applyFont="1" applyAlignment="1">
      <alignment vertical="center"/>
    </xf>
    <xf numFmtId="3" fontId="23" fillId="0" borderId="49" xfId="0" applyNumberFormat="1" applyFont="1" applyBorder="1" applyAlignment="1">
      <alignment vertical="center"/>
    </xf>
    <xf numFmtId="3" fontId="15" fillId="0" borderId="48" xfId="0" applyNumberFormat="1" applyFont="1" applyBorder="1"/>
    <xf numFmtId="3" fontId="15" fillId="0" borderId="46" xfId="0" applyNumberFormat="1" applyFont="1" applyBorder="1" applyAlignment="1">
      <alignment horizontal="right"/>
    </xf>
    <xf numFmtId="3" fontId="21" fillId="0" borderId="46" xfId="49" applyNumberFormat="1" applyFont="1" applyBorder="1"/>
    <xf numFmtId="3" fontId="14" fillId="0" borderId="46" xfId="49" applyNumberFormat="1" applyFont="1" applyBorder="1" applyAlignment="1">
      <alignment horizontal="center"/>
    </xf>
    <xf numFmtId="3" fontId="21" fillId="0" borderId="0" xfId="0" applyNumberFormat="1" applyFont="1" applyAlignment="1">
      <alignment horizontal="right" vertical="center"/>
    </xf>
    <xf numFmtId="3" fontId="21" fillId="0" borderId="0" xfId="0" applyNumberFormat="1" applyFont="1" applyAlignment="1">
      <alignment vertical="center"/>
    </xf>
    <xf numFmtId="3" fontId="14" fillId="0" borderId="49" xfId="0" applyNumberFormat="1" applyFont="1" applyBorder="1"/>
    <xf numFmtId="3" fontId="21" fillId="0" borderId="48" xfId="0" applyNumberFormat="1" applyFont="1" applyBorder="1"/>
    <xf numFmtId="3" fontId="23" fillId="0" borderId="48" xfId="0" applyNumberFormat="1" applyFont="1" applyBorder="1"/>
    <xf numFmtId="3" fontId="23" fillId="0" borderId="0" xfId="0" applyNumberFormat="1" applyFont="1" applyAlignment="1">
      <alignment horizontal="right"/>
    </xf>
    <xf numFmtId="3" fontId="23" fillId="0" borderId="0" xfId="0" applyNumberFormat="1" applyFont="1"/>
    <xf numFmtId="3" fontId="14" fillId="0" borderId="0" xfId="0" applyNumberFormat="1" applyFont="1" applyAlignment="1">
      <alignment horizontal="right" vertical="center"/>
    </xf>
    <xf numFmtId="3" fontId="14" fillId="0" borderId="0" xfId="0" applyNumberFormat="1" applyFont="1" applyAlignment="1">
      <alignment vertical="center"/>
    </xf>
    <xf numFmtId="3" fontId="21" fillId="0" borderId="50" xfId="0" applyNumberFormat="1" applyFont="1" applyBorder="1" applyAlignment="1">
      <alignment horizontal="right"/>
    </xf>
    <xf numFmtId="3" fontId="14" fillId="0" borderId="46" xfId="0" applyNumberFormat="1" applyFont="1" applyBorder="1" applyAlignment="1">
      <alignment horizontal="right"/>
    </xf>
    <xf numFmtId="3" fontId="14" fillId="0" borderId="50" xfId="0" applyNumberFormat="1" applyFont="1" applyBorder="1" applyAlignment="1">
      <alignment horizontal="right"/>
    </xf>
    <xf numFmtId="3" fontId="15" fillId="0" borderId="0" xfId="0" applyNumberFormat="1" applyFont="1" applyAlignment="1">
      <alignment vertical="center"/>
    </xf>
    <xf numFmtId="3" fontId="23" fillId="0" borderId="47" xfId="0" applyNumberFormat="1" applyFont="1" applyBorder="1" applyAlignment="1">
      <alignment horizontal="center" vertical="center"/>
    </xf>
    <xf numFmtId="3" fontId="23" fillId="0" borderId="52" xfId="0" applyNumberFormat="1" applyFont="1" applyBorder="1" applyAlignment="1">
      <alignment horizontal="center" vertical="center"/>
    </xf>
    <xf numFmtId="3" fontId="23" fillId="0" borderId="46" xfId="0" applyNumberFormat="1" applyFont="1" applyBorder="1" applyAlignment="1">
      <alignment horizontal="center" vertical="center"/>
    </xf>
    <xf numFmtId="3" fontId="10" fillId="0" borderId="45" xfId="0" applyNumberFormat="1" applyFont="1" applyBorder="1" applyAlignment="1">
      <alignment horizontal="center" vertical="center"/>
    </xf>
    <xf numFmtId="3" fontId="10" fillId="0" borderId="54" xfId="0" applyNumberFormat="1" applyFont="1" applyBorder="1" applyAlignment="1">
      <alignment vertical="center"/>
    </xf>
    <xf numFmtId="3" fontId="10" fillId="0" borderId="87" xfId="0" applyNumberFormat="1" applyFont="1" applyBorder="1" applyAlignment="1">
      <alignment vertical="center"/>
    </xf>
    <xf numFmtId="3" fontId="10" fillId="0" borderId="88" xfId="0" applyNumberFormat="1" applyFont="1" applyBorder="1" applyAlignment="1">
      <alignment vertical="center"/>
    </xf>
    <xf numFmtId="3" fontId="10" fillId="0" borderId="57" xfId="0" applyNumberFormat="1" applyFont="1" applyBorder="1" applyAlignment="1">
      <alignment vertical="center"/>
    </xf>
    <xf numFmtId="3" fontId="10" fillId="0" borderId="0" xfId="0" applyNumberFormat="1" applyFont="1" applyAlignment="1">
      <alignment horizontal="right" vertical="center"/>
    </xf>
    <xf numFmtId="3" fontId="10" fillId="0" borderId="0" xfId="0" applyNumberFormat="1" applyFont="1" applyAlignment="1">
      <alignment vertical="center"/>
    </xf>
    <xf numFmtId="3" fontId="23" fillId="0" borderId="58" xfId="0" applyNumberFormat="1" applyFont="1" applyBorder="1" applyAlignment="1">
      <alignment horizontal="center" vertical="center"/>
    </xf>
    <xf numFmtId="3" fontId="23" fillId="0" borderId="61" xfId="0" applyNumberFormat="1" applyFont="1" applyBorder="1" applyAlignment="1">
      <alignment horizontal="center" vertical="center"/>
    </xf>
    <xf numFmtId="3" fontId="23" fillId="0" borderId="46" xfId="49" applyNumberFormat="1" applyFont="1" applyBorder="1" applyAlignment="1">
      <alignment horizontal="left"/>
    </xf>
    <xf numFmtId="3" fontId="23" fillId="0" borderId="58" xfId="0" applyNumberFormat="1" applyFont="1" applyBorder="1" applyAlignment="1">
      <alignment vertical="center"/>
    </xf>
    <xf numFmtId="3" fontId="23" fillId="0" borderId="64" xfId="0" applyNumberFormat="1" applyFont="1" applyBorder="1" applyAlignment="1">
      <alignment vertical="center"/>
    </xf>
    <xf numFmtId="3" fontId="23" fillId="0" borderId="89" xfId="0" applyNumberFormat="1" applyFont="1" applyBorder="1"/>
    <xf numFmtId="3" fontId="23" fillId="0" borderId="58" xfId="0" applyNumberFormat="1" applyFont="1" applyBorder="1" applyAlignment="1">
      <alignment horizontal="right"/>
    </xf>
    <xf numFmtId="3" fontId="23" fillId="0" borderId="62" xfId="0" applyNumberFormat="1" applyFont="1" applyBorder="1" applyAlignment="1">
      <alignment horizontal="right"/>
    </xf>
    <xf numFmtId="3" fontId="21" fillId="0" borderId="89" xfId="0" applyNumberFormat="1" applyFont="1" applyBorder="1"/>
    <xf numFmtId="3" fontId="21" fillId="0" borderId="58" xfId="0" applyNumberFormat="1" applyFont="1" applyBorder="1" applyAlignment="1">
      <alignment horizontal="right"/>
    </xf>
    <xf numFmtId="3" fontId="21" fillId="0" borderId="62" xfId="0" applyNumberFormat="1" applyFont="1" applyBorder="1" applyAlignment="1">
      <alignment horizontal="right"/>
    </xf>
    <xf numFmtId="3" fontId="23" fillId="0" borderId="53" xfId="0" applyNumberFormat="1" applyFont="1" applyBorder="1" applyAlignment="1">
      <alignment horizontal="center" vertical="center"/>
    </xf>
    <xf numFmtId="3" fontId="23" fillId="0" borderId="90" xfId="0" applyNumberFormat="1" applyFont="1" applyBorder="1" applyAlignment="1">
      <alignment horizontal="center" vertical="center"/>
    </xf>
    <xf numFmtId="0" fontId="15" fillId="0" borderId="65" xfId="47" applyFont="1" applyBorder="1" applyAlignment="1">
      <alignment horizontal="left"/>
    </xf>
    <xf numFmtId="3" fontId="23" fillId="0" borderId="53" xfId="0" applyNumberFormat="1" applyFont="1" applyBorder="1" applyAlignment="1">
      <alignment vertical="center"/>
    </xf>
    <xf numFmtId="3" fontId="23" fillId="0" borderId="66" xfId="0" applyNumberFormat="1" applyFont="1" applyBorder="1" applyAlignment="1">
      <alignment vertical="center"/>
    </xf>
    <xf numFmtId="3" fontId="15" fillId="0" borderId="90" xfId="0" applyNumberFormat="1" applyFont="1" applyBorder="1"/>
    <xf numFmtId="3" fontId="15" fillId="0" borderId="53" xfId="0" applyNumberFormat="1" applyFont="1" applyBorder="1" applyAlignment="1">
      <alignment horizontal="right"/>
    </xf>
    <xf numFmtId="3" fontId="15" fillId="0" borderId="67" xfId="0" applyNumberFormat="1" applyFont="1" applyBorder="1" applyAlignment="1">
      <alignment horizontal="right"/>
    </xf>
    <xf numFmtId="3" fontId="21" fillId="0" borderId="40" xfId="49" applyNumberFormat="1" applyFont="1" applyBorder="1" applyAlignment="1">
      <alignment wrapText="1"/>
    </xf>
    <xf numFmtId="3" fontId="14" fillId="0" borderId="43" xfId="0" applyNumberFormat="1" applyFont="1" applyBorder="1"/>
    <xf numFmtId="3" fontId="10" fillId="0" borderId="42" xfId="0" applyNumberFormat="1" applyFont="1" applyBorder="1"/>
    <xf numFmtId="3" fontId="10" fillId="0" borderId="48" xfId="0" applyNumberFormat="1" applyFont="1" applyBorder="1"/>
    <xf numFmtId="3" fontId="21" fillId="0" borderId="45" xfId="0" applyNumberFormat="1" applyFont="1" applyBorder="1" applyAlignment="1">
      <alignment horizontal="center" vertical="center"/>
    </xf>
    <xf numFmtId="3" fontId="21" fillId="0" borderId="48" xfId="0" applyNumberFormat="1" applyFont="1" applyBorder="1" applyAlignment="1">
      <alignment horizontal="center" vertical="center"/>
    </xf>
    <xf numFmtId="3" fontId="21" fillId="0" borderId="46" xfId="0" applyNumberFormat="1" applyFont="1" applyBorder="1" applyAlignment="1">
      <alignment vertical="center"/>
    </xf>
    <xf numFmtId="3" fontId="21" fillId="0" borderId="61" xfId="0" applyNumberFormat="1" applyFont="1" applyBorder="1" applyAlignment="1">
      <alignment horizontal="center" vertical="center"/>
    </xf>
    <xf numFmtId="3" fontId="21" fillId="0" borderId="58" xfId="0" applyNumberFormat="1" applyFont="1" applyBorder="1" applyAlignment="1">
      <alignment vertical="center"/>
    </xf>
    <xf numFmtId="3" fontId="23" fillId="0" borderId="60" xfId="0" applyNumberFormat="1" applyFont="1" applyBorder="1" applyAlignment="1">
      <alignment vertical="center"/>
    </xf>
    <xf numFmtId="3" fontId="15" fillId="0" borderId="58" xfId="0" applyNumberFormat="1" applyFont="1" applyBorder="1" applyAlignment="1">
      <alignment horizontal="right"/>
    </xf>
    <xf numFmtId="3" fontId="14" fillId="0" borderId="45" xfId="0" applyNumberFormat="1" applyFont="1" applyBorder="1" applyAlignment="1">
      <alignment horizontal="center" vertical="top"/>
    </xf>
    <xf numFmtId="3" fontId="14" fillId="0" borderId="46" xfId="49" applyNumberFormat="1" applyFont="1" applyBorder="1" applyAlignment="1">
      <alignment horizontal="left"/>
    </xf>
    <xf numFmtId="3" fontId="14" fillId="0" borderId="46" xfId="49" applyNumberFormat="1" applyFont="1" applyBorder="1" applyAlignment="1">
      <alignment horizontal="center" vertical="top" wrapText="1"/>
    </xf>
    <xf numFmtId="3" fontId="15" fillId="0" borderId="50" xfId="0" applyNumberFormat="1" applyFont="1" applyBorder="1" applyAlignment="1">
      <alignment horizontal="right"/>
    </xf>
    <xf numFmtId="3" fontId="14" fillId="0" borderId="41" xfId="0" applyNumberFormat="1" applyFont="1" applyBorder="1" applyAlignment="1">
      <alignment horizontal="center" vertical="top"/>
    </xf>
    <xf numFmtId="3" fontId="14" fillId="0" borderId="58" xfId="49" applyNumberFormat="1" applyFont="1" applyBorder="1" applyAlignment="1">
      <alignment horizontal="left"/>
    </xf>
    <xf numFmtId="3" fontId="14" fillId="0" borderId="40" xfId="49" applyNumberFormat="1" applyFont="1" applyBorder="1" applyAlignment="1">
      <alignment horizontal="center" vertical="top" wrapText="1"/>
    </xf>
    <xf numFmtId="3" fontId="14" fillId="0" borderId="64" xfId="49" applyNumberFormat="1" applyFont="1" applyBorder="1" applyAlignment="1">
      <alignment horizontal="left"/>
    </xf>
    <xf numFmtId="3" fontId="14" fillId="0" borderId="48" xfId="0" applyNumberFormat="1" applyFont="1" applyBorder="1" applyAlignment="1">
      <alignment horizontal="center" vertical="top"/>
    </xf>
    <xf numFmtId="3" fontId="14" fillId="0" borderId="46" xfId="49" applyNumberFormat="1" applyFont="1" applyBorder="1" applyAlignment="1">
      <alignment horizontal="left" wrapText="1"/>
    </xf>
    <xf numFmtId="3" fontId="10" fillId="0" borderId="86" xfId="0" applyNumberFormat="1" applyFont="1" applyBorder="1"/>
    <xf numFmtId="3" fontId="10" fillId="0" borderId="54" xfId="0" applyNumberFormat="1" applyFont="1" applyBorder="1" applyAlignment="1">
      <alignment horizontal="center" vertical="center"/>
    </xf>
    <xf numFmtId="3" fontId="10" fillId="0" borderId="54" xfId="0" applyNumberFormat="1" applyFont="1" applyBorder="1" applyAlignment="1">
      <alignment horizontal="right" vertical="center"/>
    </xf>
    <xf numFmtId="3" fontId="10" fillId="0" borderId="57" xfId="0" applyNumberFormat="1" applyFont="1" applyBorder="1" applyAlignment="1">
      <alignment horizontal="right" vertical="center"/>
    </xf>
    <xf numFmtId="3" fontId="10" fillId="0" borderId="0" xfId="0" applyNumberFormat="1" applyFont="1" applyAlignment="1">
      <alignment horizontal="right" vertical="top"/>
    </xf>
    <xf numFmtId="3" fontId="10" fillId="0" borderId="0" xfId="0" applyNumberFormat="1" applyFont="1" applyAlignment="1">
      <alignment vertical="top"/>
    </xf>
    <xf numFmtId="3" fontId="21" fillId="0" borderId="58" xfId="0" applyNumberFormat="1" applyFont="1" applyBorder="1" applyAlignment="1">
      <alignment horizontal="center" vertical="center"/>
    </xf>
    <xf numFmtId="3" fontId="23" fillId="0" borderId="58" xfId="49" applyNumberFormat="1" applyFont="1" applyBorder="1"/>
    <xf numFmtId="3" fontId="21" fillId="0" borderId="39" xfId="0" applyNumberFormat="1" applyFont="1" applyBorder="1" applyAlignment="1">
      <alignment horizontal="center" vertical="center"/>
    </xf>
    <xf numFmtId="3" fontId="21" fillId="0" borderId="53" xfId="0" applyNumberFormat="1" applyFont="1" applyBorder="1" applyAlignment="1">
      <alignment horizontal="center" vertical="center"/>
    </xf>
    <xf numFmtId="3" fontId="21" fillId="0" borderId="90" xfId="0" applyNumberFormat="1" applyFont="1" applyBorder="1" applyAlignment="1">
      <alignment horizontal="center" vertical="center"/>
    </xf>
    <xf numFmtId="3" fontId="21" fillId="0" borderId="53" xfId="0" applyNumberFormat="1" applyFont="1" applyBorder="1" applyAlignment="1">
      <alignment vertical="center"/>
    </xf>
    <xf numFmtId="3" fontId="10" fillId="0" borderId="85" xfId="0" applyNumberFormat="1" applyFont="1" applyBorder="1"/>
    <xf numFmtId="3" fontId="21" fillId="0" borderId="47" xfId="0" applyNumberFormat="1" applyFont="1" applyBorder="1" applyAlignment="1">
      <alignment horizontal="center" vertical="center"/>
    </xf>
    <xf numFmtId="3" fontId="14" fillId="0" borderId="47" xfId="0" applyNumberFormat="1" applyFont="1" applyBorder="1" applyAlignment="1">
      <alignment vertical="center"/>
    </xf>
    <xf numFmtId="3" fontId="14" fillId="0" borderId="46" xfId="0" applyNumberFormat="1" applyFont="1" applyBorder="1" applyAlignment="1">
      <alignment vertical="center"/>
    </xf>
    <xf numFmtId="3" fontId="14" fillId="0" borderId="52" xfId="0" applyNumberFormat="1" applyFont="1" applyBorder="1" applyAlignment="1">
      <alignment vertical="center"/>
    </xf>
    <xf numFmtId="3" fontId="24" fillId="0" borderId="0" xfId="0" applyNumberFormat="1" applyFont="1" applyAlignment="1">
      <alignment horizontal="right" vertical="center"/>
    </xf>
    <xf numFmtId="3" fontId="24" fillId="0" borderId="0" xfId="0" applyNumberFormat="1" applyFont="1" applyAlignment="1">
      <alignment vertical="center"/>
    </xf>
    <xf numFmtId="3" fontId="14" fillId="0" borderId="48" xfId="0" applyNumberFormat="1" applyFont="1" applyBorder="1" applyAlignment="1">
      <alignment horizontal="center" vertical="center"/>
    </xf>
    <xf numFmtId="3" fontId="21" fillId="0" borderId="46" xfId="49" applyNumberFormat="1" applyFont="1" applyBorder="1" applyAlignment="1">
      <alignment horizontal="left"/>
    </xf>
    <xf numFmtId="3" fontId="21" fillId="0" borderId="46" xfId="49" applyNumberFormat="1" applyFont="1" applyBorder="1" applyAlignment="1">
      <alignment horizontal="center" vertical="center"/>
    </xf>
    <xf numFmtId="3" fontId="15" fillId="0" borderId="45" xfId="0" applyNumberFormat="1" applyFont="1" applyBorder="1" applyAlignment="1">
      <alignment horizontal="center" vertical="top"/>
    </xf>
    <xf numFmtId="3" fontId="15" fillId="0" borderId="46" xfId="49" applyNumberFormat="1" applyFont="1" applyBorder="1" applyAlignment="1">
      <alignment horizontal="left"/>
    </xf>
    <xf numFmtId="3" fontId="15" fillId="0" borderId="46" xfId="49" applyNumberFormat="1" applyFont="1" applyBorder="1" applyAlignment="1">
      <alignment horizontal="center" vertical="top" wrapText="1"/>
    </xf>
    <xf numFmtId="3" fontId="15" fillId="0" borderId="52" xfId="0" applyNumberFormat="1" applyFont="1" applyBorder="1"/>
    <xf numFmtId="3" fontId="14" fillId="0" borderId="0" xfId="0" applyNumberFormat="1" applyFont="1" applyAlignment="1">
      <alignment horizontal="right" vertical="top"/>
    </xf>
    <xf numFmtId="3" fontId="14" fillId="0" borderId="0" xfId="0" applyNumberFormat="1" applyFont="1" applyAlignment="1">
      <alignment vertical="top"/>
    </xf>
    <xf numFmtId="3" fontId="21" fillId="0" borderId="59" xfId="0" applyNumberFormat="1" applyFont="1" applyBorder="1" applyAlignment="1">
      <alignment horizontal="center" vertical="center"/>
    </xf>
    <xf numFmtId="3" fontId="10" fillId="0" borderId="54" xfId="49" applyNumberFormat="1" applyFont="1" applyBorder="1" applyAlignment="1">
      <alignment horizontal="center" vertical="center"/>
    </xf>
    <xf numFmtId="3" fontId="10" fillId="0" borderId="55" xfId="0" applyNumberFormat="1" applyFont="1" applyBorder="1" applyAlignment="1">
      <alignment vertical="center"/>
    </xf>
    <xf numFmtId="3" fontId="10" fillId="0" borderId="56" xfId="0" applyNumberFormat="1" applyFont="1" applyBorder="1" applyAlignment="1">
      <alignment horizontal="right" vertical="center"/>
    </xf>
    <xf numFmtId="3" fontId="21" fillId="0" borderId="80" xfId="0" applyNumberFormat="1" applyFont="1" applyBorder="1" applyAlignment="1">
      <alignment horizontal="center" vertical="center"/>
    </xf>
    <xf numFmtId="3" fontId="23" fillId="0" borderId="65" xfId="0" applyNumberFormat="1" applyFont="1" applyBorder="1" applyAlignment="1">
      <alignment vertical="center"/>
    </xf>
    <xf numFmtId="3" fontId="15" fillId="0" borderId="91" xfId="0" applyNumberFormat="1" applyFont="1" applyBorder="1"/>
    <xf numFmtId="3" fontId="21" fillId="0" borderId="40" xfId="0" applyNumberFormat="1" applyFont="1" applyBorder="1" applyAlignment="1">
      <alignment horizontal="left"/>
    </xf>
    <xf numFmtId="3" fontId="21" fillId="0" borderId="46" xfId="0" applyNumberFormat="1" applyFont="1" applyBorder="1" applyAlignment="1">
      <alignment horizontal="center" vertical="center"/>
    </xf>
    <xf numFmtId="3" fontId="15" fillId="0" borderId="72" xfId="0" applyNumberFormat="1" applyFont="1" applyBorder="1"/>
    <xf numFmtId="3" fontId="21" fillId="0" borderId="74" xfId="49" applyNumberFormat="1" applyFont="1" applyBorder="1" applyAlignment="1">
      <alignment horizontal="center"/>
    </xf>
    <xf numFmtId="3" fontId="21" fillId="0" borderId="74" xfId="0" applyNumberFormat="1" applyFont="1" applyBorder="1" applyAlignment="1">
      <alignment vertical="center"/>
    </xf>
    <xf numFmtId="3" fontId="21" fillId="0" borderId="77" xfId="0" applyNumberFormat="1" applyFont="1" applyBorder="1" applyAlignment="1">
      <alignment vertical="center"/>
    </xf>
    <xf numFmtId="3" fontId="21" fillId="0" borderId="85" xfId="0" applyNumberFormat="1" applyFont="1" applyBorder="1" applyAlignment="1">
      <alignment vertical="center"/>
    </xf>
    <xf numFmtId="3" fontId="21" fillId="0" borderId="74" xfId="0" applyNumberFormat="1" applyFont="1" applyBorder="1" applyAlignment="1">
      <alignment horizontal="right" vertical="center"/>
    </xf>
    <xf numFmtId="3" fontId="21" fillId="0" borderId="76" xfId="0" applyNumberFormat="1" applyFont="1" applyBorder="1" applyAlignment="1">
      <alignment horizontal="right" vertical="center"/>
    </xf>
    <xf numFmtId="3" fontId="21" fillId="0" borderId="0" xfId="0" applyNumberFormat="1" applyFont="1" applyAlignment="1">
      <alignment horizontal="right" vertical="top"/>
    </xf>
    <xf numFmtId="3" fontId="21" fillId="0" borderId="0" xfId="0" applyNumberFormat="1" applyFont="1" applyAlignment="1">
      <alignment vertical="top"/>
    </xf>
    <xf numFmtId="3" fontId="15" fillId="0" borderId="86" xfId="0" applyNumberFormat="1" applyFont="1" applyBorder="1"/>
    <xf numFmtId="3" fontId="14" fillId="0" borderId="73" xfId="0" applyNumberFormat="1" applyFont="1" applyBorder="1" applyAlignment="1">
      <alignment horizontal="center"/>
    </xf>
    <xf numFmtId="3" fontId="14" fillId="0" borderId="79" xfId="0" applyNumberFormat="1" applyFont="1" applyBorder="1" applyAlignment="1">
      <alignment horizontal="center"/>
    </xf>
    <xf numFmtId="3" fontId="21" fillId="0" borderId="77" xfId="0" applyNumberFormat="1" applyFont="1" applyBorder="1"/>
    <xf numFmtId="3" fontId="21" fillId="0" borderId="78" xfId="0" applyNumberFormat="1" applyFont="1" applyBorder="1"/>
    <xf numFmtId="3" fontId="14" fillId="0" borderId="74" xfId="0" applyNumberFormat="1" applyFont="1" applyBorder="1" applyAlignment="1">
      <alignment horizontal="center"/>
    </xf>
    <xf numFmtId="3" fontId="21" fillId="0" borderId="74" xfId="0" applyNumberFormat="1" applyFont="1" applyBorder="1" applyAlignment="1">
      <alignment horizontal="right"/>
    </xf>
    <xf numFmtId="3" fontId="21" fillId="0" borderId="77" xfId="0" applyNumberFormat="1" applyFont="1" applyBorder="1" applyAlignment="1">
      <alignment horizontal="right"/>
    </xf>
    <xf numFmtId="3" fontId="21" fillId="0" borderId="95" xfId="0" applyNumberFormat="1" applyFont="1" applyBorder="1" applyAlignment="1">
      <alignment horizontal="right"/>
    </xf>
    <xf numFmtId="3" fontId="21" fillId="0" borderId="76" xfId="0" applyNumberFormat="1" applyFont="1" applyBorder="1" applyAlignment="1">
      <alignment horizontal="right"/>
    </xf>
    <xf numFmtId="3" fontId="14" fillId="0" borderId="46" xfId="0" applyNumberFormat="1" applyFont="1" applyBorder="1" applyAlignment="1">
      <alignment horizontal="center"/>
    </xf>
    <xf numFmtId="3" fontId="14" fillId="0" borderId="52" xfId="49" applyNumberFormat="1" applyFont="1" applyBorder="1"/>
    <xf numFmtId="3" fontId="21" fillId="0" borderId="0" xfId="0" applyNumberFormat="1" applyFont="1"/>
    <xf numFmtId="3" fontId="21" fillId="0" borderId="46" xfId="0" applyNumberFormat="1" applyFont="1" applyBorder="1" applyAlignment="1">
      <alignment horizontal="center"/>
    </xf>
    <xf numFmtId="3" fontId="23" fillId="0" borderId="52" xfId="49" applyNumberFormat="1" applyFont="1" applyBorder="1"/>
    <xf numFmtId="3" fontId="21" fillId="0" borderId="52" xfId="0" applyNumberFormat="1" applyFont="1" applyBorder="1" applyAlignment="1">
      <alignment vertical="center"/>
    </xf>
    <xf numFmtId="3" fontId="21" fillId="0" borderId="49" xfId="0" applyNumberFormat="1" applyFont="1" applyBorder="1" applyAlignment="1">
      <alignment vertical="center"/>
    </xf>
    <xf numFmtId="3" fontId="15" fillId="0" borderId="45" xfId="0" applyNumberFormat="1" applyFont="1" applyBorder="1" applyAlignment="1">
      <alignment horizontal="center"/>
    </xf>
    <xf numFmtId="3" fontId="15" fillId="0" borderId="46" xfId="0" applyNumberFormat="1" applyFont="1" applyBorder="1" applyAlignment="1">
      <alignment horizontal="center"/>
    </xf>
    <xf numFmtId="3" fontId="15" fillId="0" borderId="46" xfId="49" applyNumberFormat="1" applyFont="1" applyBorder="1" applyAlignment="1">
      <alignment horizontal="center"/>
    </xf>
    <xf numFmtId="3" fontId="10" fillId="0" borderId="0" xfId="0" applyNumberFormat="1" applyFont="1" applyAlignment="1">
      <alignment horizontal="right"/>
    </xf>
    <xf numFmtId="3" fontId="10" fillId="0" borderId="0" xfId="0" applyNumberFormat="1" applyFont="1"/>
    <xf numFmtId="3" fontId="10" fillId="0" borderId="46" xfId="0" applyNumberFormat="1" applyFont="1" applyBorder="1" applyAlignment="1">
      <alignment horizontal="center"/>
    </xf>
    <xf numFmtId="3" fontId="10" fillId="0" borderId="48" xfId="0" applyNumberFormat="1" applyFont="1" applyBorder="1" applyAlignment="1">
      <alignment horizontal="center" vertical="center"/>
    </xf>
    <xf numFmtId="3" fontId="24" fillId="0" borderId="52" xfId="49" applyNumberFormat="1" applyFont="1" applyBorder="1"/>
    <xf numFmtId="3" fontId="10" fillId="0" borderId="46" xfId="0" applyNumberFormat="1" applyFont="1" applyBorder="1"/>
    <xf numFmtId="3" fontId="10" fillId="0" borderId="46" xfId="0" applyNumberFormat="1" applyFont="1" applyBorder="1" applyAlignment="1">
      <alignment vertical="center"/>
    </xf>
    <xf numFmtId="3" fontId="10" fillId="0" borderId="52" xfId="0" applyNumberFormat="1" applyFont="1" applyBorder="1" applyAlignment="1">
      <alignment vertical="center"/>
    </xf>
    <xf numFmtId="3" fontId="24" fillId="0" borderId="86" xfId="0" applyNumberFormat="1" applyFont="1" applyBorder="1"/>
    <xf numFmtId="3" fontId="24" fillId="0" borderId="46" xfId="0" applyNumberFormat="1" applyFont="1" applyBorder="1" applyAlignment="1">
      <alignment horizontal="right"/>
    </xf>
    <xf numFmtId="3" fontId="24" fillId="0" borderId="50" xfId="0" applyNumberFormat="1" applyFont="1" applyBorder="1" applyAlignment="1">
      <alignment horizontal="right"/>
    </xf>
    <xf numFmtId="3" fontId="24" fillId="0" borderId="0" xfId="0" applyNumberFormat="1" applyFont="1" applyAlignment="1">
      <alignment horizontal="right"/>
    </xf>
    <xf numFmtId="3" fontId="24" fillId="0" borderId="0" xfId="0" applyNumberFormat="1" applyFont="1"/>
    <xf numFmtId="3" fontId="21" fillId="0" borderId="40" xfId="0" applyNumberFormat="1" applyFont="1" applyBorder="1"/>
    <xf numFmtId="3" fontId="21" fillId="0" borderId="40" xfId="0" applyNumberFormat="1" applyFont="1" applyBorder="1" applyAlignment="1">
      <alignment vertical="center"/>
    </xf>
    <xf numFmtId="3" fontId="23" fillId="0" borderId="44" xfId="0" applyNumberFormat="1" applyFont="1" applyBorder="1" applyAlignment="1">
      <alignment horizontal="right"/>
    </xf>
    <xf numFmtId="3" fontId="15" fillId="0" borderId="40" xfId="0" applyNumberFormat="1" applyFont="1" applyBorder="1" applyAlignment="1">
      <alignment horizontal="right"/>
    </xf>
    <xf numFmtId="3" fontId="23" fillId="0" borderId="80" xfId="0" applyNumberFormat="1" applyFont="1" applyBorder="1" applyAlignment="1">
      <alignment horizontal="center" vertical="center"/>
    </xf>
    <xf numFmtId="3" fontId="27" fillId="0" borderId="40" xfId="49" applyNumberFormat="1" applyFont="1" applyBorder="1" applyAlignment="1">
      <alignment horizontal="center"/>
    </xf>
    <xf numFmtId="3" fontId="27" fillId="0" borderId="40" xfId="0" applyNumberFormat="1" applyFont="1" applyBorder="1" applyAlignment="1">
      <alignment vertical="center"/>
    </xf>
    <xf numFmtId="3" fontId="14" fillId="0" borderId="51" xfId="0" applyNumberFormat="1" applyFont="1" applyBorder="1" applyAlignment="1">
      <alignment vertical="center"/>
    </xf>
    <xf numFmtId="3" fontId="23" fillId="0" borderId="85" xfId="0" applyNumberFormat="1" applyFont="1" applyBorder="1"/>
    <xf numFmtId="3" fontId="23" fillId="0" borderId="40" xfId="0" applyNumberFormat="1" applyFont="1" applyBorder="1" applyAlignment="1">
      <alignment horizontal="right" vertical="center"/>
    </xf>
    <xf numFmtId="3" fontId="23" fillId="0" borderId="44" xfId="0" applyNumberFormat="1" applyFont="1" applyBorder="1" applyAlignment="1">
      <alignment horizontal="right" vertical="center"/>
    </xf>
    <xf numFmtId="3" fontId="27" fillId="0" borderId="0" xfId="0" applyNumberFormat="1" applyFont="1" applyAlignment="1">
      <alignment horizontal="right" vertical="center"/>
    </xf>
    <xf numFmtId="3" fontId="27" fillId="0" borderId="0" xfId="0" applyNumberFormat="1" applyFont="1" applyAlignment="1">
      <alignment vertical="center"/>
    </xf>
    <xf numFmtId="3" fontId="27" fillId="0" borderId="52" xfId="49" applyNumberFormat="1" applyFont="1" applyBorder="1" applyAlignment="1">
      <alignment horizontal="left" wrapText="1"/>
    </xf>
    <xf numFmtId="3" fontId="21" fillId="0" borderId="40" xfId="0" applyNumberFormat="1" applyFont="1" applyBorder="1" applyAlignment="1">
      <alignment horizontal="right" vertical="center"/>
    </xf>
    <xf numFmtId="3" fontId="14" fillId="0" borderId="49" xfId="0" applyNumberFormat="1" applyFont="1" applyBorder="1" applyAlignment="1">
      <alignment vertical="center"/>
    </xf>
    <xf numFmtId="3" fontId="27" fillId="0" borderId="51" xfId="0" applyNumberFormat="1" applyFont="1" applyBorder="1" applyAlignment="1">
      <alignment horizontal="center"/>
    </xf>
    <xf numFmtId="3" fontId="15" fillId="0" borderId="40" xfId="0" applyNumberFormat="1" applyFont="1" applyBorder="1" applyAlignment="1">
      <alignment horizontal="right" vertical="center"/>
    </xf>
    <xf numFmtId="3" fontId="14" fillId="0" borderId="46" xfId="0" applyNumberFormat="1" applyFont="1" applyBorder="1" applyAlignment="1">
      <alignment horizontal="center" vertical="top"/>
    </xf>
    <xf numFmtId="3" fontId="14" fillId="0" borderId="40" xfId="0" applyNumberFormat="1" applyFont="1" applyBorder="1" applyAlignment="1">
      <alignment vertical="center"/>
    </xf>
    <xf numFmtId="3" fontId="14" fillId="0" borderId="43" xfId="0" applyNumberFormat="1" applyFont="1" applyBorder="1" applyAlignment="1">
      <alignment vertical="center"/>
    </xf>
    <xf numFmtId="3" fontId="23" fillId="0" borderId="42" xfId="0" applyNumberFormat="1" applyFont="1" applyBorder="1"/>
    <xf numFmtId="3" fontId="28" fillId="0" borderId="40" xfId="0" applyNumberFormat="1" applyFont="1" applyBorder="1" applyAlignment="1">
      <alignment horizontal="right" vertical="center"/>
    </xf>
    <xf numFmtId="3" fontId="14" fillId="0" borderId="51" xfId="0" applyNumberFormat="1" applyFont="1" applyBorder="1" applyAlignment="1">
      <alignment horizontal="center" vertical="top"/>
    </xf>
    <xf numFmtId="0" fontId="14" fillId="0" borderId="52" xfId="0" applyFont="1" applyBorder="1" applyAlignment="1">
      <alignment horizontal="left" wrapText="1"/>
    </xf>
    <xf numFmtId="3" fontId="14" fillId="0" borderId="52" xfId="49" applyNumberFormat="1" applyFont="1" applyBorder="1" applyAlignment="1">
      <alignment vertical="top" wrapText="1"/>
    </xf>
    <xf numFmtId="3" fontId="23" fillId="0" borderId="46" xfId="0" applyNumberFormat="1" applyFont="1" applyBorder="1" applyAlignment="1">
      <alignment horizontal="right" vertical="center"/>
    </xf>
    <xf numFmtId="3" fontId="21" fillId="0" borderId="46" xfId="0" applyNumberFormat="1" applyFont="1" applyBorder="1" applyAlignment="1">
      <alignment horizontal="right" vertical="center"/>
    </xf>
    <xf numFmtId="3" fontId="21" fillId="0" borderId="50" xfId="0" applyNumberFormat="1" applyFont="1" applyBorder="1" applyAlignment="1">
      <alignment horizontal="right" vertical="center"/>
    </xf>
    <xf numFmtId="3" fontId="14" fillId="0" borderId="46" xfId="49" applyNumberFormat="1" applyFont="1" applyBorder="1" applyAlignment="1">
      <alignment vertical="top" wrapText="1"/>
    </xf>
    <xf numFmtId="3" fontId="14" fillId="0" borderId="46" xfId="0" applyNumberFormat="1" applyFont="1" applyBorder="1" applyAlignment="1">
      <alignment horizontal="right" vertical="center"/>
    </xf>
    <xf numFmtId="3" fontId="14" fillId="0" borderId="80" xfId="0" applyNumberFormat="1" applyFont="1" applyBorder="1"/>
    <xf numFmtId="3" fontId="21" fillId="0" borderId="54" xfId="49" applyNumberFormat="1" applyFont="1" applyBorder="1" applyAlignment="1">
      <alignment horizontal="center" vertical="center"/>
    </xf>
    <xf numFmtId="3" fontId="23" fillId="0" borderId="58" xfId="0" applyNumberFormat="1" applyFont="1" applyBorder="1" applyAlignment="1">
      <alignment horizontal="center"/>
    </xf>
    <xf numFmtId="3" fontId="23" fillId="0" borderId="64" xfId="49" applyNumberFormat="1" applyFont="1" applyBorder="1"/>
    <xf numFmtId="3" fontId="23" fillId="0" borderId="58" xfId="49" applyNumberFormat="1" applyFont="1" applyBorder="1" applyAlignment="1">
      <alignment horizontal="center"/>
    </xf>
    <xf numFmtId="3" fontId="23" fillId="0" borderId="89" xfId="0" applyNumberFormat="1" applyFont="1" applyBorder="1" applyAlignment="1">
      <alignment vertical="center"/>
    </xf>
    <xf numFmtId="3" fontId="23" fillId="0" borderId="58" xfId="0" applyNumberFormat="1" applyFont="1" applyBorder="1" applyAlignment="1">
      <alignment horizontal="right" vertical="center"/>
    </xf>
    <xf numFmtId="3" fontId="23" fillId="0" borderId="62" xfId="0" applyNumberFormat="1" applyFont="1" applyBorder="1" applyAlignment="1">
      <alignment horizontal="right" vertical="center"/>
    </xf>
    <xf numFmtId="3" fontId="23" fillId="0" borderId="96" xfId="0" applyNumberFormat="1" applyFont="1" applyBorder="1" applyAlignment="1">
      <alignment horizontal="center" vertical="center"/>
    </xf>
    <xf numFmtId="3" fontId="21" fillId="0" borderId="89" xfId="0" applyNumberFormat="1" applyFont="1" applyBorder="1" applyAlignment="1">
      <alignment vertical="center"/>
    </xf>
    <xf numFmtId="3" fontId="21" fillId="0" borderId="58" xfId="0" applyNumberFormat="1" applyFont="1" applyBorder="1" applyAlignment="1">
      <alignment horizontal="right" vertical="center"/>
    </xf>
    <xf numFmtId="3" fontId="21" fillId="0" borderId="62" xfId="0" applyNumberFormat="1" applyFont="1" applyBorder="1" applyAlignment="1">
      <alignment horizontal="right" vertical="center"/>
    </xf>
    <xf numFmtId="3" fontId="23" fillId="0" borderId="46" xfId="0" applyNumberFormat="1" applyFont="1" applyBorder="1" applyAlignment="1">
      <alignment horizontal="center"/>
    </xf>
    <xf numFmtId="3" fontId="23" fillId="0" borderId="46" xfId="49" applyNumberFormat="1" applyFont="1" applyBorder="1" applyAlignment="1">
      <alignment horizontal="center"/>
    </xf>
    <xf numFmtId="3" fontId="15" fillId="0" borderId="86" xfId="0" applyNumberFormat="1" applyFont="1" applyBorder="1" applyAlignment="1">
      <alignment vertical="center"/>
    </xf>
    <xf numFmtId="3" fontId="14" fillId="0" borderId="74" xfId="49" applyNumberFormat="1" applyFont="1" applyBorder="1" applyAlignment="1">
      <alignment horizontal="center" vertical="center"/>
    </xf>
    <xf numFmtId="3" fontId="10" fillId="0" borderId="74" xfId="0" applyNumberFormat="1" applyFont="1" applyBorder="1" applyAlignment="1">
      <alignment vertical="center"/>
    </xf>
    <xf numFmtId="3" fontId="10" fillId="0" borderId="95" xfId="0" applyNumberFormat="1" applyFont="1" applyBorder="1" applyAlignment="1">
      <alignment vertical="center"/>
    </xf>
    <xf numFmtId="3" fontId="10" fillId="0" borderId="76" xfId="0" applyNumberFormat="1" applyFont="1" applyBorder="1" applyAlignment="1">
      <alignment vertical="center"/>
    </xf>
    <xf numFmtId="3" fontId="23" fillId="0" borderId="61" xfId="0" applyNumberFormat="1" applyFont="1" applyBorder="1" applyAlignment="1">
      <alignment horizontal="center"/>
    </xf>
    <xf numFmtId="3" fontId="23" fillId="0" borderId="48" xfId="0" applyNumberFormat="1" applyFont="1" applyBorder="1" applyAlignment="1">
      <alignment horizontal="center"/>
    </xf>
    <xf numFmtId="3" fontId="15" fillId="0" borderId="46" xfId="0" applyNumberFormat="1" applyFont="1" applyBorder="1" applyAlignment="1">
      <alignment horizontal="right" vertical="center"/>
    </xf>
    <xf numFmtId="3" fontId="15" fillId="0" borderId="50" xfId="0" applyNumberFormat="1" applyFont="1" applyBorder="1" applyAlignment="1">
      <alignment horizontal="right" vertical="center"/>
    </xf>
    <xf numFmtId="3" fontId="21" fillId="0" borderId="74" xfId="0" applyNumberFormat="1" applyFont="1" applyBorder="1" applyAlignment="1">
      <alignment horizontal="center" vertical="center"/>
    </xf>
    <xf numFmtId="3" fontId="21" fillId="0" borderId="77" xfId="0" applyNumberFormat="1" applyFont="1" applyBorder="1" applyAlignment="1">
      <alignment horizontal="right" vertical="center"/>
    </xf>
    <xf numFmtId="3" fontId="21" fillId="0" borderId="95" xfId="0" applyNumberFormat="1" applyFont="1" applyBorder="1" applyAlignment="1">
      <alignment horizontal="right" vertical="center"/>
    </xf>
    <xf numFmtId="3" fontId="14" fillId="0" borderId="52" xfId="0" applyNumberFormat="1" applyFont="1" applyBorder="1" applyAlignment="1">
      <alignment horizontal="right" vertical="center"/>
    </xf>
    <xf numFmtId="3" fontId="21" fillId="0" borderId="86" xfId="0" applyNumberFormat="1" applyFont="1" applyBorder="1" applyAlignment="1">
      <alignment horizontal="right" vertical="center"/>
    </xf>
    <xf numFmtId="3" fontId="14" fillId="0" borderId="50" xfId="0" applyNumberFormat="1" applyFont="1" applyBorder="1" applyAlignment="1">
      <alignment vertical="center"/>
    </xf>
    <xf numFmtId="3" fontId="24" fillId="0" borderId="45" xfId="0" applyNumberFormat="1" applyFont="1" applyBorder="1" applyAlignment="1">
      <alignment horizontal="left" vertical="center" wrapText="1"/>
    </xf>
    <xf numFmtId="3" fontId="24" fillId="0" borderId="48" xfId="0" applyNumberFormat="1" applyFont="1" applyBorder="1" applyAlignment="1">
      <alignment horizontal="left" vertical="center" wrapText="1"/>
    </xf>
    <xf numFmtId="3" fontId="24" fillId="0" borderId="46" xfId="0" applyNumberFormat="1" applyFont="1" applyBorder="1" applyAlignment="1">
      <alignment horizontal="left" vertical="center" wrapText="1"/>
    </xf>
    <xf numFmtId="3" fontId="24" fillId="0" borderId="46" xfId="0" applyNumberFormat="1" applyFont="1" applyBorder="1" applyAlignment="1">
      <alignment horizontal="right" vertical="center"/>
    </xf>
    <xf numFmtId="3" fontId="24" fillId="0" borderId="49" xfId="0" applyNumberFormat="1" applyFont="1" applyBorder="1" applyAlignment="1">
      <alignment horizontal="right" vertical="center"/>
    </xf>
    <xf numFmtId="3" fontId="23" fillId="0" borderId="50" xfId="0" applyNumberFormat="1" applyFont="1" applyBorder="1" applyAlignment="1">
      <alignment horizontal="right" vertical="center"/>
    </xf>
    <xf numFmtId="3" fontId="14" fillId="0" borderId="46" xfId="0" applyNumberFormat="1" applyFont="1" applyBorder="1" applyAlignment="1">
      <alignment horizontal="center" vertical="center" wrapText="1"/>
    </xf>
    <xf numFmtId="3" fontId="14" fillId="0" borderId="49" xfId="0" applyNumberFormat="1" applyFont="1" applyBorder="1" applyAlignment="1">
      <alignment horizontal="right" vertical="center"/>
    </xf>
    <xf numFmtId="3" fontId="10" fillId="0" borderId="42" xfId="0" applyNumberFormat="1" applyFont="1" applyBorder="1" applyAlignment="1">
      <alignment horizontal="right" vertical="center"/>
    </xf>
    <xf numFmtId="3" fontId="14" fillId="0" borderId="50" xfId="0" applyNumberFormat="1" applyFont="1" applyBorder="1" applyAlignment="1">
      <alignment horizontal="right" vertical="center"/>
    </xf>
    <xf numFmtId="3" fontId="10" fillId="0" borderId="48" xfId="0" applyNumberFormat="1" applyFont="1" applyBorder="1" applyAlignment="1">
      <alignment horizontal="right" vertical="center"/>
    </xf>
    <xf numFmtId="3" fontId="23" fillId="0" borderId="48" xfId="0" applyNumberFormat="1" applyFont="1" applyBorder="1" applyAlignment="1">
      <alignment horizontal="right" vertical="center"/>
    </xf>
    <xf numFmtId="3" fontId="21" fillId="0" borderId="48" xfId="0" applyNumberFormat="1" applyFont="1" applyBorder="1" applyAlignment="1">
      <alignment horizontal="right" vertical="center"/>
    </xf>
    <xf numFmtId="3" fontId="14" fillId="0" borderId="46" xfId="0" applyNumberFormat="1" applyFont="1" applyBorder="1" applyAlignment="1">
      <alignment horizontal="right" vertical="top"/>
    </xf>
    <xf numFmtId="3" fontId="14" fillId="0" borderId="49" xfId="0" applyNumberFormat="1" applyFont="1" applyBorder="1" applyAlignment="1">
      <alignment horizontal="right" vertical="top"/>
    </xf>
    <xf numFmtId="3" fontId="24" fillId="0" borderId="80" xfId="0" applyNumberFormat="1" applyFont="1" applyBorder="1" applyAlignment="1">
      <alignment horizontal="left" vertical="center" wrapText="1"/>
    </xf>
    <xf numFmtId="3" fontId="24" fillId="0" borderId="61" xfId="0" applyNumberFormat="1" applyFont="1" applyBorder="1" applyAlignment="1">
      <alignment horizontal="left" vertical="center" wrapText="1"/>
    </xf>
    <xf numFmtId="3" fontId="24" fillId="0" borderId="58" xfId="0" applyNumberFormat="1" applyFont="1" applyBorder="1" applyAlignment="1">
      <alignment horizontal="left" vertical="center" wrapText="1"/>
    </xf>
    <xf numFmtId="3" fontId="24" fillId="0" borderId="58" xfId="0" applyNumberFormat="1" applyFont="1" applyBorder="1" applyAlignment="1">
      <alignment horizontal="right" vertical="center"/>
    </xf>
    <xf numFmtId="3" fontId="24" fillId="0" borderId="60" xfId="0" applyNumberFormat="1" applyFont="1" applyBorder="1" applyAlignment="1">
      <alignment horizontal="right" vertical="center"/>
    </xf>
    <xf numFmtId="3" fontId="23" fillId="0" borderId="61" xfId="0" applyNumberFormat="1" applyFont="1" applyBorder="1" applyAlignment="1">
      <alignment horizontal="right" vertical="center"/>
    </xf>
    <xf numFmtId="3" fontId="24" fillId="0" borderId="81" xfId="0" applyNumberFormat="1" applyFont="1" applyBorder="1" applyAlignment="1">
      <alignment horizontal="left" vertical="center" wrapText="1"/>
    </xf>
    <xf numFmtId="3" fontId="24" fillId="0" borderId="59" xfId="0" applyNumberFormat="1" applyFont="1" applyBorder="1" applyAlignment="1">
      <alignment horizontal="left" vertical="center" wrapText="1"/>
    </xf>
    <xf numFmtId="3" fontId="24" fillId="0" borderId="59" xfId="0" applyNumberFormat="1" applyFont="1" applyBorder="1" applyAlignment="1">
      <alignment horizontal="right" vertical="center"/>
    </xf>
    <xf numFmtId="3" fontId="24" fillId="0" borderId="61" xfId="0" applyNumberFormat="1" applyFont="1" applyBorder="1" applyAlignment="1">
      <alignment horizontal="right" vertical="center"/>
    </xf>
    <xf numFmtId="3" fontId="24" fillId="0" borderId="97" xfId="0" applyNumberFormat="1" applyFont="1" applyBorder="1" applyAlignment="1">
      <alignment horizontal="right" vertical="center"/>
    </xf>
    <xf numFmtId="3" fontId="21" fillId="0" borderId="61" xfId="0" applyNumberFormat="1" applyFont="1" applyBorder="1" applyAlignment="1">
      <alignment horizontal="right" vertical="center"/>
    </xf>
    <xf numFmtId="3" fontId="24" fillId="0" borderId="123" xfId="0" applyNumberFormat="1" applyFont="1" applyBorder="1" applyAlignment="1">
      <alignment horizontal="left" vertical="center" wrapText="1"/>
    </xf>
    <xf numFmtId="3" fontId="24" fillId="0" borderId="216" xfId="0" applyNumberFormat="1" applyFont="1" applyBorder="1" applyAlignment="1">
      <alignment horizontal="left" vertical="center" wrapText="1"/>
    </xf>
    <xf numFmtId="3" fontId="24" fillId="0" borderId="125" xfId="0" applyNumberFormat="1" applyFont="1" applyBorder="1" applyAlignment="1">
      <alignment horizontal="left" vertical="center" wrapText="1"/>
    </xf>
    <xf numFmtId="3" fontId="24" fillId="0" borderId="125" xfId="0" applyNumberFormat="1" applyFont="1" applyBorder="1" applyAlignment="1">
      <alignment horizontal="right" vertical="center"/>
    </xf>
    <xf numFmtId="3" fontId="24" fillId="0" borderId="113" xfId="0" applyNumberFormat="1" applyFont="1" applyBorder="1" applyAlignment="1">
      <alignment horizontal="right" vertical="center"/>
    </xf>
    <xf numFmtId="3" fontId="24" fillId="0" borderId="124" xfId="0" applyNumberFormat="1" applyFont="1" applyBorder="1" applyAlignment="1">
      <alignment horizontal="right" vertical="center"/>
    </xf>
    <xf numFmtId="3" fontId="15" fillId="0" borderId="216" xfId="0" applyNumberFormat="1" applyFont="1" applyBorder="1" applyAlignment="1">
      <alignment horizontal="right" vertical="center"/>
    </xf>
    <xf numFmtId="3" fontId="15" fillId="0" borderId="125" xfId="0" applyNumberFormat="1" applyFont="1" applyBorder="1" applyAlignment="1">
      <alignment horizontal="right" vertical="center"/>
    </xf>
    <xf numFmtId="3" fontId="15" fillId="0" borderId="126" xfId="0" applyNumberFormat="1" applyFont="1" applyBorder="1" applyAlignment="1">
      <alignment horizontal="right" vertical="center"/>
    </xf>
    <xf numFmtId="3" fontId="13" fillId="0" borderId="102" xfId="0" applyNumberFormat="1" applyFont="1" applyBorder="1"/>
    <xf numFmtId="3" fontId="14" fillId="0" borderId="102" xfId="0" applyNumberFormat="1" applyFont="1" applyBorder="1"/>
    <xf numFmtId="3" fontId="14" fillId="0" borderId="102" xfId="0" applyNumberFormat="1" applyFont="1" applyBorder="1" applyAlignment="1">
      <alignment horizontal="center"/>
    </xf>
    <xf numFmtId="3" fontId="14" fillId="0" borderId="102" xfId="0" applyNumberFormat="1" applyFont="1" applyBorder="1" applyAlignment="1">
      <alignment horizontal="right"/>
    </xf>
    <xf numFmtId="3" fontId="21" fillId="0" borderId="102" xfId="0" applyNumberFormat="1" applyFont="1" applyBorder="1" applyAlignment="1">
      <alignment horizontal="right"/>
    </xf>
    <xf numFmtId="3" fontId="15" fillId="0" borderId="0" xfId="0" applyNumberFormat="1" applyFont="1"/>
    <xf numFmtId="3" fontId="11" fillId="0" borderId="0" xfId="0" applyNumberFormat="1" applyFont="1" applyAlignment="1">
      <alignment vertical="center"/>
    </xf>
    <xf numFmtId="0" fontId="20" fillId="0" borderId="0" xfId="0" applyFont="1"/>
    <xf numFmtId="3" fontId="14" fillId="0" borderId="0" xfId="0" applyNumberFormat="1" applyFont="1" applyAlignment="1">
      <alignment horizontal="center" vertical="center"/>
    </xf>
    <xf numFmtId="3" fontId="22" fillId="0" borderId="38" xfId="0" applyNumberFormat="1" applyFont="1" applyBorder="1" applyAlignment="1">
      <alignment horizontal="center" vertical="center" wrapText="1"/>
    </xf>
    <xf numFmtId="3" fontId="14" fillId="0" borderId="40" xfId="0" applyNumberFormat="1" applyFont="1" applyBorder="1" applyAlignment="1">
      <alignment horizontal="center"/>
    </xf>
    <xf numFmtId="3" fontId="21" fillId="0" borderId="41" xfId="49" applyNumberFormat="1" applyFont="1" applyBorder="1" applyAlignment="1">
      <alignment horizontal="left"/>
    </xf>
    <xf numFmtId="3" fontId="21" fillId="0" borderId="42" xfId="49" applyNumberFormat="1" applyFont="1" applyBorder="1" applyAlignment="1">
      <alignment horizontal="left"/>
    </xf>
    <xf numFmtId="3" fontId="14" fillId="0" borderId="42" xfId="0" applyNumberFormat="1" applyFont="1" applyBorder="1"/>
    <xf numFmtId="3" fontId="15" fillId="0" borderId="44" xfId="0" applyNumberFormat="1" applyFont="1" applyBorder="1"/>
    <xf numFmtId="3" fontId="14" fillId="0" borderId="47" xfId="49" applyNumberFormat="1" applyFont="1" applyBorder="1" applyAlignment="1">
      <alignment horizontal="left"/>
    </xf>
    <xf numFmtId="3" fontId="14" fillId="0" borderId="48" xfId="49" applyNumberFormat="1" applyFont="1" applyBorder="1" applyAlignment="1">
      <alignment horizontal="left"/>
    </xf>
    <xf numFmtId="3" fontId="14" fillId="0" borderId="48" xfId="0" applyNumberFormat="1" applyFont="1" applyBorder="1"/>
    <xf numFmtId="3" fontId="23" fillId="0" borderId="47" xfId="0" applyNumberFormat="1" applyFont="1" applyBorder="1" applyAlignment="1">
      <alignment horizontal="center"/>
    </xf>
    <xf numFmtId="3" fontId="23" fillId="0" borderId="46" xfId="0" applyNumberFormat="1" applyFont="1" applyBorder="1"/>
    <xf numFmtId="3" fontId="23" fillId="0" borderId="49" xfId="0" applyNumberFormat="1" applyFont="1" applyBorder="1"/>
    <xf numFmtId="3" fontId="24" fillId="0" borderId="50" xfId="0" applyNumberFormat="1" applyFont="1" applyBorder="1"/>
    <xf numFmtId="0" fontId="25" fillId="0" borderId="0" xfId="0" applyFont="1"/>
    <xf numFmtId="3" fontId="10" fillId="0" borderId="50" xfId="0" applyNumberFormat="1" applyFont="1" applyBorder="1"/>
    <xf numFmtId="3" fontId="21" fillId="0" borderId="48" xfId="49" applyNumberFormat="1" applyFont="1" applyBorder="1" applyAlignment="1">
      <alignment horizontal="left"/>
    </xf>
    <xf numFmtId="3" fontId="15" fillId="0" borderId="0" xfId="0" applyNumberFormat="1" applyFont="1" applyAlignment="1">
      <alignment vertical="top"/>
    </xf>
    <xf numFmtId="3" fontId="23" fillId="0" borderId="0" xfId="0" applyNumberFormat="1" applyFont="1" applyAlignment="1">
      <alignment vertical="top"/>
    </xf>
    <xf numFmtId="3" fontId="14" fillId="0" borderId="45" xfId="0" applyNumberFormat="1" applyFont="1" applyBorder="1" applyAlignment="1">
      <alignment horizontal="center" vertical="center"/>
    </xf>
    <xf numFmtId="3" fontId="14" fillId="0" borderId="48" xfId="49" applyNumberFormat="1" applyFont="1" applyBorder="1"/>
    <xf numFmtId="0" fontId="0" fillId="0" borderId="46" xfId="0" applyBorder="1"/>
    <xf numFmtId="0" fontId="0" fillId="0" borderId="49" xfId="0" applyBorder="1"/>
    <xf numFmtId="0" fontId="0" fillId="0" borderId="48" xfId="0" applyBorder="1"/>
    <xf numFmtId="0" fontId="19" fillId="0" borderId="50" xfId="0" applyFont="1" applyBorder="1"/>
    <xf numFmtId="0" fontId="15" fillId="0" borderId="51" xfId="47" applyFont="1" applyBorder="1" applyAlignment="1">
      <alignment horizontal="left"/>
    </xf>
    <xf numFmtId="3" fontId="21" fillId="0" borderId="48" xfId="49" applyNumberFormat="1" applyFont="1" applyBorder="1"/>
    <xf numFmtId="3" fontId="24" fillId="0" borderId="0" xfId="0" applyNumberFormat="1" applyFont="1" applyAlignment="1">
      <alignment vertical="top"/>
    </xf>
    <xf numFmtId="3" fontId="23" fillId="0" borderId="51" xfId="0" applyNumberFormat="1" applyFont="1" applyBorder="1" applyAlignment="1">
      <alignment horizontal="center"/>
    </xf>
    <xf numFmtId="3" fontId="23" fillId="0" borderId="40" xfId="0" applyNumberFormat="1" applyFont="1" applyBorder="1"/>
    <xf numFmtId="3" fontId="23" fillId="0" borderId="43" xfId="0" applyNumberFormat="1" applyFont="1" applyBorder="1"/>
    <xf numFmtId="3" fontId="10" fillId="0" borderId="44" xfId="0" applyNumberFormat="1" applyFont="1" applyBorder="1"/>
    <xf numFmtId="3" fontId="23" fillId="0" borderId="40" xfId="0" applyNumberFormat="1" applyFont="1" applyBorder="1" applyAlignment="1">
      <alignment horizontal="center"/>
    </xf>
    <xf numFmtId="3" fontId="15" fillId="0" borderId="40" xfId="0" applyNumberFormat="1" applyFont="1" applyBorder="1"/>
    <xf numFmtId="3" fontId="21" fillId="0" borderId="54" xfId="0" applyNumberFormat="1" applyFont="1" applyBorder="1"/>
    <xf numFmtId="3" fontId="21" fillId="0" borderId="55" xfId="0" applyNumberFormat="1" applyFont="1" applyBorder="1"/>
    <xf numFmtId="3" fontId="21" fillId="0" borderId="56" xfId="0" applyNumberFormat="1" applyFont="1" applyBorder="1"/>
    <xf numFmtId="3" fontId="10" fillId="0" borderId="57" xfId="0" applyNumberFormat="1" applyFont="1" applyBorder="1"/>
    <xf numFmtId="3" fontId="23" fillId="0" borderId="45" xfId="0" applyNumberFormat="1" applyFont="1" applyBorder="1" applyAlignment="1">
      <alignment horizontal="center" vertical="top"/>
    </xf>
    <xf numFmtId="3" fontId="23" fillId="0" borderId="59" xfId="0" applyNumberFormat="1" applyFont="1" applyBorder="1" applyAlignment="1">
      <alignment horizontal="center"/>
    </xf>
    <xf numFmtId="3" fontId="23" fillId="0" borderId="58" xfId="0" applyNumberFormat="1" applyFont="1" applyBorder="1"/>
    <xf numFmtId="3" fontId="23" fillId="0" borderId="60" xfId="0" applyNumberFormat="1" applyFont="1" applyBorder="1"/>
    <xf numFmtId="3" fontId="24" fillId="0" borderId="62" xfId="0" applyNumberFormat="1" applyFont="1" applyBorder="1"/>
    <xf numFmtId="3" fontId="23" fillId="0" borderId="39" xfId="0" applyNumberFormat="1" applyFont="1" applyBorder="1" applyAlignment="1">
      <alignment horizontal="center" vertical="top"/>
    </xf>
    <xf numFmtId="3" fontId="10" fillId="0" borderId="62" xfId="0" applyNumberFormat="1" applyFont="1" applyBorder="1"/>
    <xf numFmtId="3" fontId="23" fillId="0" borderId="53" xfId="0" applyNumberFormat="1" applyFont="1" applyBorder="1" applyAlignment="1">
      <alignment horizontal="center"/>
    </xf>
    <xf numFmtId="3" fontId="23" fillId="0" borderId="70" xfId="0" applyNumberFormat="1" applyFont="1" applyBorder="1" applyAlignment="1">
      <alignment horizontal="center"/>
    </xf>
    <xf numFmtId="3" fontId="23" fillId="0" borderId="53" xfId="0" applyNumberFormat="1" applyFont="1" applyBorder="1"/>
    <xf numFmtId="3" fontId="23" fillId="0" borderId="66" xfId="0" applyNumberFormat="1" applyFont="1" applyBorder="1"/>
    <xf numFmtId="3" fontId="15" fillId="0" borderId="53" xfId="0" applyNumberFormat="1" applyFont="1" applyBorder="1"/>
    <xf numFmtId="3" fontId="15" fillId="0" borderId="67" xfId="0" applyNumberFormat="1" applyFont="1" applyBorder="1"/>
    <xf numFmtId="3" fontId="14" fillId="0" borderId="39" xfId="0" applyNumberFormat="1" applyFont="1" applyBorder="1" applyAlignment="1">
      <alignment horizontal="center" vertical="top"/>
    </xf>
    <xf numFmtId="3" fontId="15" fillId="0" borderId="58" xfId="0" applyNumberFormat="1" applyFont="1" applyBorder="1"/>
    <xf numFmtId="3" fontId="15" fillId="0" borderId="62" xfId="0" applyNumberFormat="1" applyFont="1" applyBorder="1"/>
    <xf numFmtId="3" fontId="21" fillId="0" borderId="57" xfId="0" applyNumberFormat="1" applyFont="1" applyBorder="1"/>
    <xf numFmtId="3" fontId="23" fillId="0" borderId="39" xfId="0" applyNumberFormat="1" applyFont="1" applyBorder="1" applyAlignment="1">
      <alignment horizontal="center" vertical="center"/>
    </xf>
    <xf numFmtId="3" fontId="23" fillId="0" borderId="64" xfId="0" applyNumberFormat="1" applyFont="1" applyBorder="1" applyAlignment="1">
      <alignment horizontal="center"/>
    </xf>
    <xf numFmtId="3" fontId="23" fillId="0" borderId="65" xfId="0" applyNumberFormat="1" applyFont="1" applyBorder="1" applyAlignment="1">
      <alignment horizontal="center"/>
    </xf>
    <xf numFmtId="3" fontId="21" fillId="0" borderId="42" xfId="49" applyNumberFormat="1" applyFont="1" applyBorder="1"/>
    <xf numFmtId="3" fontId="21" fillId="0" borderId="42" xfId="49" applyNumberFormat="1" applyFont="1" applyBorder="1" applyAlignment="1">
      <alignment wrapText="1"/>
    </xf>
    <xf numFmtId="3" fontId="15" fillId="0" borderId="48" xfId="49" applyNumberFormat="1" applyFont="1" applyBorder="1"/>
    <xf numFmtId="3" fontId="15" fillId="0" borderId="48" xfId="0" applyNumberFormat="1" applyFont="1" applyBorder="1" applyAlignment="1">
      <alignment horizontal="right"/>
    </xf>
    <xf numFmtId="3" fontId="21" fillId="0" borderId="48" xfId="49" applyNumberFormat="1" applyFont="1" applyBorder="1" applyAlignment="1">
      <alignment wrapText="1"/>
    </xf>
    <xf numFmtId="0" fontId="19" fillId="0" borderId="0" xfId="0" applyFont="1"/>
    <xf numFmtId="0" fontId="26" fillId="0" borderId="0" xfId="0" applyFont="1"/>
    <xf numFmtId="3" fontId="23" fillId="0" borderId="83" xfId="0" applyNumberFormat="1" applyFont="1" applyBorder="1" applyAlignment="1">
      <alignment horizontal="center" vertical="center"/>
    </xf>
    <xf numFmtId="3" fontId="23" fillId="0" borderId="71" xfId="0" applyNumberFormat="1" applyFont="1" applyBorder="1" applyAlignment="1">
      <alignment horizontal="center"/>
    </xf>
    <xf numFmtId="3" fontId="23" fillId="0" borderId="71" xfId="0" applyNumberFormat="1" applyFont="1" applyBorder="1"/>
    <xf numFmtId="3" fontId="23" fillId="0" borderId="92" xfId="0" applyNumberFormat="1" applyFont="1" applyBorder="1"/>
    <xf numFmtId="3" fontId="15" fillId="0" borderId="113" xfId="0" applyNumberFormat="1" applyFont="1" applyBorder="1"/>
    <xf numFmtId="3" fontId="15" fillId="0" borderId="84" xfId="0" applyNumberFormat="1" applyFont="1" applyBorder="1"/>
    <xf numFmtId="3" fontId="21" fillId="0" borderId="43" xfId="0" applyNumberFormat="1" applyFont="1" applyBorder="1"/>
    <xf numFmtId="3" fontId="21" fillId="0" borderId="50" xfId="0" applyNumberFormat="1" applyFont="1" applyBorder="1"/>
    <xf numFmtId="3" fontId="15" fillId="0" borderId="63" xfId="0" applyNumberFormat="1" applyFont="1" applyBorder="1"/>
    <xf numFmtId="3" fontId="14" fillId="0" borderId="73" xfId="0" applyNumberFormat="1" applyFont="1" applyBorder="1" applyAlignment="1">
      <alignment horizontal="center" vertical="top"/>
    </xf>
    <xf numFmtId="3" fontId="14" fillId="0" borderId="74" xfId="49" applyNumberFormat="1" applyFont="1" applyBorder="1" applyAlignment="1">
      <alignment wrapText="1"/>
    </xf>
    <xf numFmtId="3" fontId="14" fillId="0" borderId="75" xfId="49" applyNumberFormat="1" applyFont="1" applyBorder="1" applyAlignment="1">
      <alignment wrapText="1"/>
    </xf>
    <xf numFmtId="3" fontId="21" fillId="0" borderId="78" xfId="49" applyNumberFormat="1" applyFont="1" applyBorder="1" applyAlignment="1">
      <alignment wrapText="1"/>
    </xf>
    <xf numFmtId="3" fontId="21" fillId="0" borderId="79" xfId="49" applyNumberFormat="1" applyFont="1" applyBorder="1" applyAlignment="1">
      <alignment wrapText="1"/>
    </xf>
    <xf numFmtId="3" fontId="14" fillId="0" borderId="74" xfId="0" applyNumberFormat="1" applyFont="1" applyBorder="1"/>
    <xf numFmtId="3" fontId="15" fillId="0" borderId="76" xfId="0" applyNumberFormat="1" applyFont="1" applyBorder="1"/>
    <xf numFmtId="3" fontId="23" fillId="0" borderId="81" xfId="0" applyNumberFormat="1" applyFont="1" applyBorder="1" applyAlignment="1">
      <alignment horizontal="center" vertical="center"/>
    </xf>
    <xf numFmtId="3" fontId="23" fillId="0" borderId="82" xfId="0" applyNumberFormat="1" applyFont="1" applyBorder="1" applyAlignment="1">
      <alignment horizontal="center" vertical="center"/>
    </xf>
    <xf numFmtId="3" fontId="15" fillId="0" borderId="46" xfId="49" applyNumberFormat="1" applyFont="1" applyBorder="1"/>
    <xf numFmtId="3" fontId="21" fillId="0" borderId="74" xfId="0" applyNumberFormat="1" applyFont="1" applyBorder="1"/>
    <xf numFmtId="3" fontId="21" fillId="0" borderId="75" xfId="0" applyNumberFormat="1" applyFont="1" applyBorder="1"/>
    <xf numFmtId="3" fontId="21" fillId="0" borderId="79" xfId="0" applyNumberFormat="1" applyFont="1" applyBorder="1"/>
    <xf numFmtId="3" fontId="10" fillId="0" borderId="76" xfId="0" applyNumberFormat="1" applyFont="1" applyBorder="1"/>
    <xf numFmtId="3" fontId="23" fillId="0" borderId="58" xfId="49" applyNumberFormat="1" applyFont="1" applyBorder="1" applyAlignment="1">
      <alignment horizontal="left"/>
    </xf>
    <xf numFmtId="3" fontId="21" fillId="0" borderId="62" xfId="0" applyNumberFormat="1" applyFont="1" applyBorder="1"/>
    <xf numFmtId="0" fontId="0" fillId="0" borderId="83" xfId="0" applyBorder="1"/>
    <xf numFmtId="0" fontId="0" fillId="0" borderId="71" xfId="0" applyBorder="1"/>
    <xf numFmtId="3" fontId="0" fillId="0" borderId="71" xfId="0" applyNumberFormat="1" applyBorder="1"/>
    <xf numFmtId="3" fontId="0" fillId="0" borderId="92" xfId="0" applyNumberFormat="1" applyBorder="1"/>
    <xf numFmtId="0" fontId="18" fillId="0" borderId="0" xfId="0" applyFont="1" applyAlignment="1">
      <alignment horizontal="center" vertical="center"/>
    </xf>
    <xf numFmtId="0" fontId="50" fillId="0" borderId="0" xfId="0" applyFont="1"/>
    <xf numFmtId="0" fontId="51" fillId="0" borderId="0" xfId="0" applyFont="1" applyAlignment="1">
      <alignment vertical="center" wrapText="1"/>
    </xf>
    <xf numFmtId="0" fontId="50" fillId="0" borderId="0" xfId="0" applyFont="1" applyAlignment="1">
      <alignment horizontal="center"/>
    </xf>
    <xf numFmtId="0" fontId="7" fillId="0" borderId="0" xfId="0" applyFont="1" applyAlignment="1">
      <alignment horizontal="center" wrapText="1"/>
    </xf>
    <xf numFmtId="0" fontId="50" fillId="0" borderId="0" xfId="0" applyFont="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229" xfId="0" applyFont="1" applyBorder="1" applyAlignment="1">
      <alignment horizontal="left" vertical="center" wrapText="1"/>
    </xf>
    <xf numFmtId="0" fontId="7" fillId="0" borderId="102" xfId="0" applyFont="1" applyBorder="1"/>
    <xf numFmtId="0" fontId="7" fillId="0" borderId="230" xfId="0" applyFont="1" applyBorder="1"/>
    <xf numFmtId="0" fontId="7" fillId="0" borderId="17" xfId="0" applyFont="1" applyBorder="1" applyAlignment="1">
      <alignment horizontal="left" vertical="top" wrapText="1"/>
    </xf>
    <xf numFmtId="3" fontId="7" fillId="0" borderId="0" xfId="0" applyNumberFormat="1" applyFont="1" applyAlignment="1">
      <alignment horizontal="right" vertical="top" wrapText="1"/>
    </xf>
    <xf numFmtId="3" fontId="7" fillId="0" borderId="19" xfId="0" applyNumberFormat="1" applyFont="1" applyBorder="1" applyAlignment="1">
      <alignment horizontal="right" vertical="top" wrapText="1"/>
    </xf>
    <xf numFmtId="0" fontId="8" fillId="0" borderId="21" xfId="0" applyFont="1" applyBorder="1" applyAlignment="1">
      <alignment horizontal="left" vertical="center" wrapText="1"/>
    </xf>
    <xf numFmtId="3" fontId="8" fillId="0" borderId="23" xfId="0" applyNumberFormat="1" applyFont="1" applyBorder="1" applyAlignment="1">
      <alignment horizontal="right" vertical="center" wrapText="1"/>
    </xf>
    <xf numFmtId="3" fontId="8" fillId="0" borderId="24" xfId="0" applyNumberFormat="1" applyFont="1" applyBorder="1" applyAlignment="1">
      <alignment horizontal="right" vertical="center" wrapText="1"/>
    </xf>
    <xf numFmtId="0" fontId="8" fillId="0" borderId="26" xfId="0" applyFont="1" applyBorder="1" applyAlignment="1">
      <alignment horizontal="left" vertical="center" shrinkToFit="1"/>
    </xf>
    <xf numFmtId="3" fontId="8" fillId="0" borderId="6" xfId="0" applyNumberFormat="1" applyFont="1" applyBorder="1" applyAlignment="1">
      <alignment horizontal="right" vertical="center" wrapText="1"/>
    </xf>
    <xf numFmtId="3" fontId="8" fillId="0" borderId="226" xfId="0" applyNumberFormat="1" applyFont="1" applyBorder="1" applyAlignment="1">
      <alignment horizontal="right" vertical="center" wrapText="1"/>
    </xf>
    <xf numFmtId="0" fontId="8" fillId="0" borderId="26" xfId="0" applyFont="1" applyBorder="1" applyAlignment="1">
      <alignment horizontal="left" vertical="center" wrapText="1"/>
    </xf>
    <xf numFmtId="0" fontId="7" fillId="0" borderId="17" xfId="0" applyFont="1" applyBorder="1" applyAlignment="1">
      <alignment horizontal="left" vertical="center" shrinkToFit="1"/>
    </xf>
    <xf numFmtId="0" fontId="7" fillId="0" borderId="17" xfId="0" applyFont="1" applyBorder="1" applyAlignment="1">
      <alignment horizontal="left" vertical="top" shrinkToFit="1"/>
    </xf>
    <xf numFmtId="0" fontId="8" fillId="0" borderId="181" xfId="0" applyFont="1" applyBorder="1" applyAlignment="1">
      <alignment horizontal="left" vertical="center" wrapText="1"/>
    </xf>
    <xf numFmtId="3" fontId="8" fillId="0" borderId="182" xfId="0" applyNumberFormat="1" applyFont="1" applyBorder="1" applyAlignment="1">
      <alignment horizontal="right" vertical="center" wrapText="1"/>
    </xf>
    <xf numFmtId="3" fontId="8" fillId="0" borderId="231" xfId="0" applyNumberFormat="1" applyFont="1" applyBorder="1" applyAlignment="1">
      <alignment horizontal="right" vertical="center" wrapText="1"/>
    </xf>
    <xf numFmtId="0" fontId="8" fillId="0" borderId="28" xfId="0" applyFont="1" applyBorder="1" applyAlignment="1">
      <alignment horizontal="left" vertical="center" wrapText="1"/>
    </xf>
    <xf numFmtId="3" fontId="8" fillId="0" borderId="29" xfId="0" applyNumberFormat="1" applyFont="1" applyBorder="1" applyAlignment="1">
      <alignment horizontal="right" vertical="center" wrapText="1"/>
    </xf>
    <xf numFmtId="3" fontId="8" fillId="0" borderId="227" xfId="0" applyNumberFormat="1" applyFont="1" applyBorder="1" applyAlignment="1">
      <alignment horizontal="right" vertical="center" wrapText="1"/>
    </xf>
    <xf numFmtId="0" fontId="7" fillId="0" borderId="102" xfId="0" applyFont="1" applyBorder="1" applyAlignment="1">
      <alignment vertical="center"/>
    </xf>
    <xf numFmtId="0" fontId="7" fillId="0" borderId="230" xfId="0" applyFont="1" applyBorder="1" applyAlignment="1">
      <alignment vertical="center"/>
    </xf>
    <xf numFmtId="0" fontId="8" fillId="0" borderId="232" xfId="0" applyFont="1" applyBorder="1" applyAlignment="1">
      <alignment horizontal="left" vertical="center" wrapText="1"/>
    </xf>
    <xf numFmtId="3" fontId="8" fillId="0" borderId="233" xfId="0" applyNumberFormat="1" applyFont="1" applyBorder="1" applyAlignment="1">
      <alignment horizontal="right" vertical="center" wrapText="1"/>
    </xf>
    <xf numFmtId="3" fontId="8" fillId="0" borderId="234" xfId="0" applyNumberFormat="1" applyFont="1" applyBorder="1" applyAlignment="1">
      <alignment horizontal="right" vertical="center" wrapText="1"/>
    </xf>
    <xf numFmtId="0" fontId="7" fillId="0" borderId="0" xfId="59" applyFont="1" applyAlignment="1">
      <alignment vertical="center"/>
    </xf>
    <xf numFmtId="0" fontId="49" fillId="0" borderId="0" xfId="56" applyFont="1"/>
    <xf numFmtId="3" fontId="15" fillId="0" borderId="0" xfId="59" applyNumberFormat="1" applyFont="1" applyAlignment="1">
      <alignment horizontal="right" vertical="center"/>
    </xf>
    <xf numFmtId="0" fontId="7" fillId="0" borderId="0" xfId="57" applyFont="1" applyAlignment="1">
      <alignment horizontal="center"/>
    </xf>
    <xf numFmtId="0" fontId="14" fillId="0" borderId="236" xfId="56" applyFont="1" applyBorder="1" applyAlignment="1">
      <alignment horizontal="center" vertical="center" wrapText="1"/>
    </xf>
    <xf numFmtId="0" fontId="14" fillId="0" borderId="19" xfId="55" applyFont="1" applyBorder="1" applyAlignment="1">
      <alignment horizontal="center" vertical="top"/>
    </xf>
    <xf numFmtId="0" fontId="14" fillId="0" borderId="28" xfId="56" applyFont="1" applyBorder="1" applyAlignment="1">
      <alignment horizontal="center"/>
    </xf>
    <xf numFmtId="3" fontId="14" fillId="0" borderId="29" xfId="56" applyNumberFormat="1" applyFont="1" applyBorder="1"/>
    <xf numFmtId="0" fontId="14" fillId="0" borderId="29" xfId="56" applyFont="1" applyBorder="1" applyAlignment="1">
      <alignment horizontal="center"/>
    </xf>
    <xf numFmtId="3" fontId="14" fillId="0" borderId="29" xfId="56" applyNumberFormat="1" applyFont="1" applyBorder="1" applyAlignment="1">
      <alignment horizontal="center"/>
    </xf>
    <xf numFmtId="3" fontId="14" fillId="0" borderId="109" xfId="56" applyNumberFormat="1" applyFont="1" applyBorder="1" applyAlignment="1">
      <alignment horizontal="center"/>
    </xf>
    <xf numFmtId="3" fontId="14" fillId="0" borderId="217" xfId="56" applyNumberFormat="1" applyFont="1" applyBorder="1" applyAlignment="1">
      <alignment horizontal="center"/>
    </xf>
    <xf numFmtId="0" fontId="21" fillId="0" borderId="51" xfId="47" applyFont="1" applyFill="1" applyBorder="1" applyAlignment="1">
      <alignment horizontal="left"/>
    </xf>
    <xf numFmtId="0" fontId="7" fillId="0" borderId="0" xfId="0" applyFont="1" applyAlignment="1">
      <alignment horizontal="left"/>
    </xf>
    <xf numFmtId="0" fontId="8" fillId="0" borderId="0" xfId="0" applyFont="1" applyAlignment="1">
      <alignment horizontal="center" vertical="center"/>
    </xf>
    <xf numFmtId="3" fontId="8" fillId="0" borderId="0" xfId="45" applyNumberFormat="1" applyFont="1" applyAlignment="1">
      <alignment horizontal="center" vertical="center"/>
    </xf>
    <xf numFmtId="3" fontId="14" fillId="0" borderId="37" xfId="0" applyNumberFormat="1" applyFont="1" applyBorder="1" applyAlignment="1">
      <alignment horizontal="center" vertical="center" wrapText="1"/>
    </xf>
    <xf numFmtId="3" fontId="14" fillId="0" borderId="36" xfId="0" applyNumberFormat="1" applyFont="1" applyBorder="1" applyAlignment="1">
      <alignment horizontal="center" vertical="center" wrapText="1"/>
    </xf>
    <xf numFmtId="3" fontId="14" fillId="0" borderId="10" xfId="0" applyNumberFormat="1" applyFont="1" applyBorder="1" applyAlignment="1">
      <alignment horizontal="center" vertical="center" wrapText="1"/>
    </xf>
    <xf numFmtId="3" fontId="14" fillId="0" borderId="34" xfId="0" applyNumberFormat="1" applyFont="1" applyBorder="1" applyAlignment="1">
      <alignment horizontal="center" vertical="center" wrapText="1"/>
    </xf>
    <xf numFmtId="3" fontId="21" fillId="0" borderId="5" xfId="0" applyNumberFormat="1" applyFont="1" applyBorder="1" applyAlignment="1">
      <alignment horizontal="center" vertical="center" wrapText="1"/>
    </xf>
    <xf numFmtId="3" fontId="14" fillId="0" borderId="36" xfId="0" applyNumberFormat="1" applyFont="1" applyBorder="1" applyAlignment="1">
      <alignment horizontal="center" vertical="center"/>
    </xf>
    <xf numFmtId="3" fontId="21" fillId="0" borderId="73" xfId="49" applyNumberFormat="1" applyFont="1" applyBorder="1" applyAlignment="1">
      <alignment horizontal="center" vertical="center"/>
    </xf>
    <xf numFmtId="3" fontId="21" fillId="0" borderId="46" xfId="49" applyNumberFormat="1" applyFont="1" applyBorder="1" applyAlignment="1">
      <alignment horizontal="left" wrapText="1"/>
    </xf>
    <xf numFmtId="3" fontId="14" fillId="0" borderId="46" xfId="49" applyNumberFormat="1" applyFont="1" applyBorder="1" applyAlignment="1">
      <alignment horizontal="left" wrapText="1"/>
    </xf>
    <xf numFmtId="3" fontId="10" fillId="0" borderId="54" xfId="0" applyNumberFormat="1" applyFont="1" applyBorder="1" applyAlignment="1">
      <alignment horizontal="left" vertical="center"/>
    </xf>
    <xf numFmtId="3" fontId="21" fillId="0" borderId="39" xfId="0" applyNumberFormat="1" applyFont="1" applyBorder="1" applyAlignment="1">
      <alignment horizontal="center" vertical="center"/>
    </xf>
    <xf numFmtId="3" fontId="21" fillId="0" borderId="77" xfId="49" applyNumberFormat="1" applyFont="1" applyBorder="1" applyAlignment="1">
      <alignment horizontal="left" wrapText="1"/>
    </xf>
    <xf numFmtId="3" fontId="21" fillId="0" borderId="40" xfId="49" applyNumberFormat="1" applyFont="1" applyBorder="1" applyAlignment="1">
      <alignment horizontal="left" wrapText="1"/>
    </xf>
    <xf numFmtId="3" fontId="8" fillId="0" borderId="0" xfId="0" applyNumberFormat="1" applyFont="1" applyAlignment="1">
      <alignment horizontal="center" vertical="center"/>
    </xf>
    <xf numFmtId="3" fontId="13" fillId="0" borderId="8" xfId="0" applyNumberFormat="1" applyFont="1" applyBorder="1" applyAlignment="1">
      <alignment horizontal="center" vertical="center"/>
    </xf>
    <xf numFmtId="3" fontId="14" fillId="0" borderId="9" xfId="0" applyNumberFormat="1" applyFont="1" applyBorder="1" applyAlignment="1">
      <alignment horizontal="center" vertical="center" textRotation="90"/>
    </xf>
    <xf numFmtId="3" fontId="14" fillId="0" borderId="11" xfId="0" applyNumberFormat="1" applyFont="1" applyBorder="1" applyAlignment="1">
      <alignment horizontal="center" vertical="center" textRotation="90"/>
    </xf>
    <xf numFmtId="3" fontId="21" fillId="0" borderId="3" xfId="0" applyNumberFormat="1" applyFont="1" applyBorder="1" applyAlignment="1">
      <alignment horizontal="center" vertical="center"/>
    </xf>
    <xf numFmtId="3" fontId="15" fillId="0" borderId="0" xfId="0" applyNumberFormat="1" applyFont="1" applyAlignment="1">
      <alignment horizontal="right"/>
    </xf>
    <xf numFmtId="3" fontId="14" fillId="0" borderId="10" xfId="0" applyNumberFormat="1" applyFont="1" applyBorder="1" applyAlignment="1">
      <alignment horizontal="center" vertical="center" textRotation="90"/>
    </xf>
    <xf numFmtId="3" fontId="21" fillId="0" borderId="10" xfId="0" applyNumberFormat="1" applyFont="1" applyBorder="1" applyAlignment="1">
      <alignment horizontal="center" vertical="center"/>
    </xf>
    <xf numFmtId="3" fontId="14" fillId="0" borderId="10" xfId="0" applyNumberFormat="1" applyFont="1" applyBorder="1" applyAlignment="1">
      <alignment horizontal="center" vertical="center" textRotation="90" wrapText="1"/>
    </xf>
    <xf numFmtId="3" fontId="21" fillId="0" borderId="35" xfId="0" applyNumberFormat="1" applyFont="1" applyBorder="1" applyAlignment="1">
      <alignment horizontal="center" vertical="center" wrapText="1"/>
    </xf>
    <xf numFmtId="3" fontId="14" fillId="0" borderId="36" xfId="45" applyNumberFormat="1" applyFont="1" applyBorder="1" applyAlignment="1">
      <alignment horizontal="center" vertical="center" wrapText="1"/>
    </xf>
    <xf numFmtId="3" fontId="21" fillId="0" borderId="52" xfId="49" applyNumberFormat="1" applyFont="1" applyBorder="1" applyAlignment="1">
      <alignment horizontal="left" wrapText="1"/>
    </xf>
    <xf numFmtId="3" fontId="21" fillId="0" borderId="52" xfId="0" applyNumberFormat="1" applyFont="1" applyBorder="1" applyAlignment="1">
      <alignment horizontal="left" vertical="center" wrapText="1"/>
    </xf>
    <xf numFmtId="3" fontId="10" fillId="0" borderId="54" xfId="49" applyNumberFormat="1" applyFont="1" applyBorder="1" applyAlignment="1">
      <alignment horizontal="left" vertical="center"/>
    </xf>
    <xf numFmtId="3" fontId="15" fillId="0" borderId="46" xfId="49" applyNumberFormat="1" applyFont="1" applyBorder="1" applyAlignment="1">
      <alignment horizontal="left"/>
    </xf>
    <xf numFmtId="3" fontId="14" fillId="0" borderId="46" xfId="49" applyNumberFormat="1" applyFont="1" applyBorder="1" applyAlignment="1">
      <alignment horizontal="left"/>
    </xf>
    <xf numFmtId="0" fontId="14" fillId="0" borderId="46" xfId="0" applyFont="1" applyBorder="1" applyAlignment="1">
      <alignment horizontal="left" wrapText="1"/>
    </xf>
    <xf numFmtId="3" fontId="21" fillId="0" borderId="48" xfId="49" applyNumberFormat="1" applyFont="1" applyBorder="1" applyAlignment="1">
      <alignment horizontal="left" wrapText="1"/>
    </xf>
    <xf numFmtId="3" fontId="15" fillId="0" borderId="45" xfId="0" applyNumberFormat="1" applyFont="1" applyBorder="1" applyAlignment="1">
      <alignment horizontal="left" vertical="center" wrapText="1"/>
    </xf>
    <xf numFmtId="3" fontId="15" fillId="0" borderId="45" xfId="0" applyNumberFormat="1" applyFont="1" applyBorder="1" applyAlignment="1">
      <alignment horizontal="left" vertical="top" wrapText="1"/>
    </xf>
    <xf numFmtId="3" fontId="21" fillId="0" borderId="73" xfId="0" applyNumberFormat="1" applyFont="1" applyBorder="1" applyAlignment="1">
      <alignment horizontal="center" vertical="center"/>
    </xf>
    <xf numFmtId="3" fontId="15" fillId="0" borderId="73" xfId="0" applyNumberFormat="1" applyFont="1" applyBorder="1" applyAlignment="1">
      <alignment horizontal="left" vertical="center"/>
    </xf>
    <xf numFmtId="0" fontId="21" fillId="0" borderId="1" xfId="51" applyFont="1" applyBorder="1" applyAlignment="1" applyProtection="1">
      <alignment horizontal="center" vertical="center"/>
      <protection locked="0"/>
    </xf>
    <xf numFmtId="0" fontId="8" fillId="0" borderId="0" xfId="50" applyFont="1" applyAlignment="1" applyProtection="1">
      <alignment horizontal="center"/>
      <protection locked="0"/>
    </xf>
    <xf numFmtId="0" fontId="8" fillId="0" borderId="0" xfId="51" applyFont="1" applyAlignment="1" applyProtection="1">
      <alignment horizontal="center" vertical="center"/>
      <protection locked="0"/>
    </xf>
    <xf numFmtId="3" fontId="14" fillId="0" borderId="9" xfId="46" applyNumberFormat="1" applyFont="1" applyBorder="1" applyAlignment="1" applyProtection="1">
      <alignment horizontal="center" vertical="center" textRotation="90"/>
      <protection locked="0"/>
    </xf>
    <xf numFmtId="3" fontId="14" fillId="0" borderId="10" xfId="46" applyNumberFormat="1" applyFont="1" applyBorder="1" applyAlignment="1" applyProtection="1">
      <alignment horizontal="center" vertical="center" textRotation="90"/>
      <protection locked="0"/>
    </xf>
    <xf numFmtId="0" fontId="21" fillId="0" borderId="10" xfId="50" applyFont="1" applyBorder="1" applyAlignment="1" applyProtection="1">
      <alignment horizontal="center" vertical="center" wrapText="1"/>
      <protection locked="0"/>
    </xf>
    <xf numFmtId="0" fontId="14" fillId="0" borderId="10" xfId="50" applyFont="1" applyBorder="1" applyAlignment="1" applyProtection="1">
      <alignment horizontal="center" vertical="center" textRotation="90" wrapText="1"/>
      <protection locked="0"/>
    </xf>
    <xf numFmtId="3" fontId="14" fillId="0" borderId="10" xfId="50" applyNumberFormat="1" applyFont="1" applyBorder="1" applyAlignment="1" applyProtection="1">
      <alignment horizontal="center" vertical="center" wrapText="1"/>
      <protection locked="0"/>
    </xf>
    <xf numFmtId="3" fontId="14" fillId="0" borderId="11" xfId="50" applyNumberFormat="1" applyFont="1" applyBorder="1" applyAlignment="1" applyProtection="1">
      <alignment horizontal="center" vertical="center" wrapText="1"/>
      <protection locked="0"/>
    </xf>
    <xf numFmtId="3" fontId="21" fillId="0" borderId="103" xfId="50" applyNumberFormat="1" applyFont="1" applyBorder="1" applyAlignment="1" applyProtection="1">
      <alignment horizontal="center" vertical="center" wrapText="1"/>
      <protection locked="0"/>
    </xf>
    <xf numFmtId="3" fontId="21" fillId="0" borderId="104" xfId="50" applyNumberFormat="1" applyFont="1" applyBorder="1" applyAlignment="1" applyProtection="1">
      <alignment horizontal="center" vertical="center" wrapText="1"/>
      <protection locked="0"/>
    </xf>
    <xf numFmtId="3" fontId="15" fillId="0" borderId="105" xfId="50" applyNumberFormat="1" applyFont="1" applyBorder="1" applyAlignment="1" applyProtection="1">
      <alignment horizontal="center" vertical="center"/>
      <protection locked="0"/>
    </xf>
    <xf numFmtId="0" fontId="21" fillId="0" borderId="108" xfId="51" applyFont="1" applyBorder="1" applyAlignment="1" applyProtection="1">
      <alignment horizontal="center" vertical="center"/>
      <protection locked="0"/>
    </xf>
    <xf numFmtId="0" fontId="21" fillId="0" borderId="111" xfId="51" applyFont="1" applyBorder="1" applyAlignment="1" applyProtection="1">
      <alignment horizontal="center" vertical="center"/>
      <protection locked="0"/>
    </xf>
    <xf numFmtId="0" fontId="21" fillId="0" borderId="74" xfId="51" applyFont="1" applyBorder="1" applyAlignment="1" applyProtection="1">
      <alignment horizontal="left" vertical="center"/>
      <protection locked="0"/>
    </xf>
    <xf numFmtId="3" fontId="7" fillId="0" borderId="0" xfId="46" applyNumberFormat="1" applyFont="1" applyAlignment="1">
      <alignment horizontal="right"/>
    </xf>
    <xf numFmtId="3" fontId="8" fillId="0" borderId="0" xfId="46" applyNumberFormat="1" applyFont="1" applyAlignment="1">
      <alignment horizontal="center"/>
    </xf>
    <xf numFmtId="3" fontId="8" fillId="0" borderId="0" xfId="46" applyNumberFormat="1" applyFont="1" applyAlignment="1">
      <alignment horizontal="center" vertical="center"/>
    </xf>
    <xf numFmtId="3" fontId="15" fillId="0" borderId="0" xfId="46" applyNumberFormat="1" applyFont="1" applyAlignment="1">
      <alignment horizontal="right"/>
    </xf>
    <xf numFmtId="3" fontId="21" fillId="0" borderId="10" xfId="46" applyNumberFormat="1" applyFont="1" applyBorder="1" applyAlignment="1">
      <alignment horizontal="center" vertical="center" wrapText="1"/>
    </xf>
    <xf numFmtId="3" fontId="14" fillId="0" borderId="116" xfId="0" applyNumberFormat="1" applyFont="1" applyBorder="1" applyAlignment="1">
      <alignment horizontal="center" vertical="center"/>
    </xf>
    <xf numFmtId="3" fontId="15" fillId="0" borderId="46" xfId="46" applyNumberFormat="1" applyFont="1" applyBorder="1" applyAlignment="1">
      <alignment horizontal="left" vertical="center" wrapText="1"/>
    </xf>
    <xf numFmtId="3" fontId="14" fillId="0" borderId="9" xfId="46" applyNumberFormat="1" applyFont="1" applyBorder="1" applyAlignment="1">
      <alignment horizontal="center" vertical="center" textRotation="90"/>
    </xf>
    <xf numFmtId="3" fontId="14" fillId="0" borderId="10" xfId="46" applyNumberFormat="1" applyFont="1" applyBorder="1" applyAlignment="1">
      <alignment horizontal="center" vertical="center" textRotation="90"/>
    </xf>
    <xf numFmtId="0" fontId="21" fillId="0" borderId="10" xfId="46" applyFont="1" applyBorder="1" applyAlignment="1">
      <alignment horizontal="center" vertical="center" wrapText="1"/>
    </xf>
    <xf numFmtId="3" fontId="14" fillId="0" borderId="10" xfId="46" applyNumberFormat="1" applyFont="1" applyBorder="1" applyAlignment="1">
      <alignment horizontal="center" vertical="center" wrapText="1"/>
    </xf>
    <xf numFmtId="3" fontId="21" fillId="0" borderId="69" xfId="46" applyNumberFormat="1" applyFont="1" applyBorder="1" applyAlignment="1">
      <alignment horizontal="center" vertical="center" wrapText="1"/>
    </xf>
    <xf numFmtId="3" fontId="13" fillId="0" borderId="0" xfId="0" applyNumberFormat="1" applyFont="1" applyAlignment="1">
      <alignment horizontal="left" vertical="top"/>
    </xf>
    <xf numFmtId="3" fontId="14" fillId="0" borderId="34" xfId="46" applyNumberFormat="1" applyFont="1" applyBorder="1" applyAlignment="1">
      <alignment horizontal="center" vertical="center" wrapText="1"/>
    </xf>
    <xf numFmtId="3" fontId="14" fillId="0" borderId="115" xfId="0" applyNumberFormat="1" applyFont="1" applyBorder="1" applyAlignment="1">
      <alignment horizontal="center" vertical="center" textRotation="90" wrapText="1"/>
    </xf>
    <xf numFmtId="0" fontId="8" fillId="0" borderId="0" xfId="50" applyFont="1" applyAlignment="1">
      <alignment horizontal="center"/>
    </xf>
    <xf numFmtId="3" fontId="7" fillId="0" borderId="0" xfId="50" applyNumberFormat="1" applyFont="1" applyAlignment="1">
      <alignment horizontal="right"/>
    </xf>
    <xf numFmtId="3" fontId="14" fillId="0" borderId="200" xfId="50" applyNumberFormat="1" applyFont="1" applyBorder="1" applyAlignment="1">
      <alignment horizontal="center" vertical="center" wrapText="1"/>
    </xf>
    <xf numFmtId="3" fontId="21" fillId="0" borderId="100" xfId="50" applyNumberFormat="1" applyFont="1" applyBorder="1" applyAlignment="1">
      <alignment horizontal="center" vertical="center" wrapText="1"/>
    </xf>
    <xf numFmtId="3" fontId="8" fillId="0" borderId="55" xfId="47" applyNumberFormat="1" applyFont="1" applyBorder="1" applyAlignment="1">
      <alignment horizontal="center" vertical="center" wrapText="1"/>
    </xf>
    <xf numFmtId="0" fontId="8" fillId="0" borderId="0" xfId="51" applyFont="1" applyAlignment="1">
      <alignment horizontal="center" vertical="center"/>
    </xf>
    <xf numFmtId="0" fontId="21" fillId="0" borderId="10" xfId="50" applyFont="1" applyBorder="1" applyAlignment="1">
      <alignment horizontal="center" vertical="center" wrapText="1"/>
    </xf>
    <xf numFmtId="3" fontId="14" fillId="0" borderId="10" xfId="50" applyNumberFormat="1" applyFont="1" applyBorder="1" applyAlignment="1">
      <alignment horizontal="center" vertical="center" wrapText="1"/>
    </xf>
    <xf numFmtId="3" fontId="14" fillId="0" borderId="11" xfId="50" applyNumberFormat="1" applyFont="1" applyBorder="1" applyAlignment="1">
      <alignment horizontal="center" vertical="center" wrapText="1"/>
    </xf>
    <xf numFmtId="0" fontId="14" fillId="0" borderId="133" xfId="50" applyFont="1" applyBorder="1" applyAlignment="1">
      <alignment horizontal="center" vertical="center" textRotation="90" wrapText="1"/>
    </xf>
    <xf numFmtId="3" fontId="21" fillId="0" borderId="199" xfId="50" applyNumberFormat="1" applyFont="1" applyBorder="1" applyAlignment="1">
      <alignment horizontal="center" vertical="center" wrapText="1"/>
    </xf>
    <xf numFmtId="3" fontId="14" fillId="0" borderId="5" xfId="50" applyNumberFormat="1" applyFont="1" applyBorder="1" applyAlignment="1">
      <alignment horizontal="center" vertical="center" wrapText="1"/>
    </xf>
    <xf numFmtId="0" fontId="8" fillId="0" borderId="0" xfId="51" applyFont="1" applyAlignment="1">
      <alignment horizontal="center"/>
    </xf>
    <xf numFmtId="3" fontId="7" fillId="0" borderId="9" xfId="46" applyNumberFormat="1" applyFont="1" applyBorder="1" applyAlignment="1">
      <alignment horizontal="center" vertical="center" textRotation="90"/>
    </xf>
    <xf numFmtId="3" fontId="7" fillId="0" borderId="10" xfId="46" applyNumberFormat="1" applyFont="1" applyBorder="1" applyAlignment="1">
      <alignment horizontal="center" vertical="center" textRotation="90"/>
    </xf>
    <xf numFmtId="0" fontId="7" fillId="0" borderId="10" xfId="50" applyFont="1" applyBorder="1" applyAlignment="1">
      <alignment horizontal="center" vertical="center"/>
    </xf>
    <xf numFmtId="3" fontId="7" fillId="0" borderId="10" xfId="50" applyNumberFormat="1" applyFont="1" applyBorder="1" applyAlignment="1">
      <alignment horizontal="center" vertical="center" wrapText="1"/>
    </xf>
    <xf numFmtId="3" fontId="7" fillId="0" borderId="11" xfId="50" applyNumberFormat="1" applyFont="1" applyBorder="1" applyAlignment="1">
      <alignment horizontal="center" vertical="center" wrapText="1"/>
    </xf>
    <xf numFmtId="3" fontId="7" fillId="0" borderId="140" xfId="50" applyNumberFormat="1" applyFont="1" applyBorder="1" applyAlignment="1">
      <alignment horizontal="center" vertical="center" wrapText="1"/>
    </xf>
    <xf numFmtId="3" fontId="7" fillId="0" borderId="5" xfId="50" applyNumberFormat="1" applyFont="1" applyBorder="1" applyAlignment="1">
      <alignment horizontal="center" vertical="center" wrapText="1"/>
    </xf>
    <xf numFmtId="0" fontId="7" fillId="0" borderId="0" xfId="50" applyFont="1" applyAlignment="1">
      <alignment horizontal="center"/>
    </xf>
    <xf numFmtId="3" fontId="7" fillId="0" borderId="141" xfId="50" applyNumberFormat="1" applyFont="1" applyBorder="1" applyAlignment="1">
      <alignment horizontal="center" vertical="center" wrapText="1"/>
    </xf>
    <xf numFmtId="3" fontId="7" fillId="0" borderId="142" xfId="50" applyNumberFormat="1" applyFont="1" applyBorder="1" applyAlignment="1">
      <alignment horizontal="center" vertical="center" wrapText="1"/>
    </xf>
    <xf numFmtId="3" fontId="8" fillId="0" borderId="143" xfId="50" applyNumberFormat="1" applyFont="1" applyBorder="1" applyAlignment="1">
      <alignment horizontal="center" vertical="center" wrapText="1"/>
    </xf>
    <xf numFmtId="3" fontId="8" fillId="0" borderId="147" xfId="47" applyNumberFormat="1" applyFont="1" applyBorder="1" applyAlignment="1">
      <alignment horizontal="center" vertical="center" wrapText="1"/>
    </xf>
    <xf numFmtId="3" fontId="8" fillId="0" borderId="149" xfId="47" applyNumberFormat="1" applyFont="1" applyBorder="1" applyAlignment="1">
      <alignment horizontal="center" vertical="center" wrapText="1"/>
    </xf>
    <xf numFmtId="3" fontId="8" fillId="0" borderId="162" xfId="47" applyNumberFormat="1" applyFont="1" applyBorder="1" applyAlignment="1">
      <alignment horizontal="center" vertical="center" wrapText="1"/>
    </xf>
    <xf numFmtId="3" fontId="14" fillId="0" borderId="62" xfId="7" applyNumberFormat="1" applyFont="1" applyBorder="1" applyAlignment="1">
      <alignment horizontal="center" vertical="center"/>
    </xf>
    <xf numFmtId="3" fontId="14" fillId="0" borderId="238" xfId="7" applyNumberFormat="1" applyFont="1" applyBorder="1" applyAlignment="1">
      <alignment horizontal="center" vertical="center"/>
    </xf>
    <xf numFmtId="3" fontId="14" fillId="0" borderId="58" xfId="7" applyNumberFormat="1" applyFont="1" applyBorder="1" applyAlignment="1">
      <alignment horizontal="center" vertical="center"/>
    </xf>
    <xf numFmtId="3" fontId="14" fillId="0" borderId="68" xfId="7" applyNumberFormat="1" applyFont="1" applyBorder="1" applyAlignment="1">
      <alignment horizontal="center" vertical="center"/>
    </xf>
    <xf numFmtId="3" fontId="14" fillId="0" borderId="40" xfId="7" applyNumberFormat="1" applyFont="1" applyBorder="1" applyAlignment="1">
      <alignment horizontal="center" vertical="center"/>
    </xf>
    <xf numFmtId="3" fontId="14" fillId="0" borderId="44" xfId="7" applyNumberFormat="1" applyFont="1" applyBorder="1" applyAlignment="1">
      <alignment horizontal="center" vertical="center"/>
    </xf>
    <xf numFmtId="0" fontId="14" fillId="0" borderId="19" xfId="55" applyFont="1" applyBorder="1" applyAlignment="1">
      <alignment horizontal="center" vertical="top"/>
    </xf>
    <xf numFmtId="0" fontId="14" fillId="0" borderId="80" xfId="55" applyFont="1" applyBorder="1" applyAlignment="1">
      <alignment horizontal="center" vertical="top"/>
    </xf>
    <xf numFmtId="0" fontId="14" fillId="0" borderId="237" xfId="55" applyFont="1" applyBorder="1" applyAlignment="1">
      <alignment horizontal="center" vertical="top"/>
    </xf>
    <xf numFmtId="0" fontId="14" fillId="0" borderId="58" xfId="55" applyFont="1" applyBorder="1" applyAlignment="1">
      <alignment horizontal="center" vertical="center" wrapText="1"/>
    </xf>
    <xf numFmtId="0" fontId="14" fillId="0" borderId="68" xfId="55" applyFont="1" applyBorder="1" applyAlignment="1">
      <alignment horizontal="center" vertical="center" wrapText="1"/>
    </xf>
    <xf numFmtId="14" fontId="14" fillId="0" borderId="58" xfId="55" applyNumberFormat="1" applyFont="1" applyBorder="1" applyAlignment="1">
      <alignment horizontal="center" vertical="center"/>
    </xf>
    <xf numFmtId="14" fontId="14" fillId="0" borderId="68" xfId="55" applyNumberFormat="1" applyFont="1" applyBorder="1" applyAlignment="1">
      <alignment horizontal="center" vertical="center"/>
    </xf>
    <xf numFmtId="0" fontId="14" fillId="0" borderId="39" xfId="55" applyFont="1" applyBorder="1" applyAlignment="1">
      <alignment horizontal="center" vertical="top"/>
    </xf>
    <xf numFmtId="0" fontId="14" fillId="0" borderId="40" xfId="55" applyFont="1" applyBorder="1" applyAlignment="1">
      <alignment horizontal="center" vertical="center" wrapText="1"/>
    </xf>
    <xf numFmtId="14" fontId="14" fillId="0" borderId="40" xfId="55" applyNumberFormat="1" applyFont="1" applyBorder="1" applyAlignment="1">
      <alignment horizontal="center" vertical="center"/>
    </xf>
    <xf numFmtId="0" fontId="8" fillId="0" borderId="0" xfId="56" applyFont="1" applyAlignment="1">
      <alignment horizontal="center" vertical="center"/>
    </xf>
    <xf numFmtId="0" fontId="7" fillId="0" borderId="8" xfId="57" applyFont="1" applyBorder="1" applyAlignment="1">
      <alignment horizontal="center"/>
    </xf>
    <xf numFmtId="0" fontId="14" fillId="0" borderId="203" xfId="56" applyFont="1" applyBorder="1" applyAlignment="1">
      <alignment horizontal="center" vertical="center" wrapText="1"/>
    </xf>
    <xf numFmtId="0" fontId="14" fillId="0" borderId="235" xfId="56" applyFont="1" applyBorder="1" applyAlignment="1">
      <alignment horizontal="center" vertical="center" wrapText="1"/>
    </xf>
    <xf numFmtId="3" fontId="11" fillId="2" borderId="224" xfId="48" applyNumberFormat="1" applyFont="1" applyFill="1" applyBorder="1" applyAlignment="1">
      <alignment horizontal="center" vertical="center" wrapText="1"/>
    </xf>
    <xf numFmtId="3" fontId="11" fillId="2" borderId="137" xfId="48" applyNumberFormat="1" applyFont="1" applyFill="1" applyBorder="1" applyAlignment="1">
      <alignment horizontal="center" vertical="center" wrapText="1"/>
    </xf>
    <xf numFmtId="3" fontId="11" fillId="2" borderId="225" xfId="48" applyNumberFormat="1" applyFont="1" applyFill="1" applyBorder="1" applyAlignment="1">
      <alignment horizontal="center" vertical="center" wrapText="1"/>
    </xf>
    <xf numFmtId="3" fontId="8" fillId="0" borderId="0" xfId="48" applyNumberFormat="1" applyFont="1" applyAlignment="1">
      <alignment horizontal="center"/>
    </xf>
    <xf numFmtId="0" fontId="7" fillId="0" borderId="173" xfId="48" applyFont="1" applyBorder="1" applyAlignment="1">
      <alignment horizontal="center" vertical="center" wrapText="1"/>
    </xf>
    <xf numFmtId="0" fontId="7" fillId="0" borderId="23" xfId="48" applyFont="1" applyBorder="1" applyAlignment="1">
      <alignment horizontal="center" vertical="center" wrapText="1"/>
    </xf>
    <xf numFmtId="0" fontId="7" fillId="0" borderId="209" xfId="48" applyFont="1" applyBorder="1" applyAlignment="1">
      <alignment horizontal="center" vertical="center" wrapText="1"/>
    </xf>
    <xf numFmtId="3" fontId="7" fillId="0" borderId="210" xfId="48" applyNumberFormat="1" applyFont="1" applyBorder="1" applyAlignment="1">
      <alignment horizontal="center" vertical="center" wrapText="1"/>
    </xf>
    <xf numFmtId="3" fontId="11" fillId="2" borderId="204" xfId="48" applyNumberFormat="1" applyFont="1" applyFill="1" applyBorder="1" applyAlignment="1">
      <alignment horizontal="center" vertical="center" wrapText="1"/>
    </xf>
    <xf numFmtId="3" fontId="11" fillId="2" borderId="206" xfId="48" applyNumberFormat="1" applyFont="1" applyFill="1" applyBorder="1" applyAlignment="1">
      <alignment horizontal="center" vertical="center" wrapText="1"/>
    </xf>
    <xf numFmtId="3" fontId="11" fillId="2" borderId="222" xfId="48" applyNumberFormat="1" applyFont="1" applyFill="1" applyBorder="1" applyAlignment="1">
      <alignment horizontal="center" vertical="center" wrapText="1"/>
    </xf>
    <xf numFmtId="3" fontId="8" fillId="0" borderId="1" xfId="48" applyNumberFormat="1" applyFont="1" applyBorder="1" applyAlignment="1">
      <alignment horizontal="center" vertical="center"/>
    </xf>
    <xf numFmtId="3" fontId="7" fillId="0" borderId="0" xfId="48" applyNumberFormat="1" applyFont="1" applyAlignment="1">
      <alignment horizontal="left" wrapText="1"/>
    </xf>
    <xf numFmtId="3" fontId="7" fillId="0" borderId="9" xfId="48" applyNumberFormat="1" applyFont="1" applyBorder="1" applyAlignment="1">
      <alignment horizontal="center" vertical="center" textRotation="90" wrapText="1"/>
    </xf>
    <xf numFmtId="3" fontId="7" fillId="0" borderId="10" xfId="48" applyNumberFormat="1" applyFont="1" applyBorder="1" applyAlignment="1">
      <alignment horizontal="center" vertical="center" textRotation="90" wrapText="1"/>
    </xf>
    <xf numFmtId="3" fontId="7" fillId="0" borderId="115" xfId="48" applyNumberFormat="1" applyFont="1" applyBorder="1" applyAlignment="1">
      <alignment horizontal="center" vertical="center" wrapText="1"/>
    </xf>
    <xf numFmtId="14" fontId="7" fillId="0" borderId="11" xfId="48" applyNumberFormat="1" applyFont="1" applyBorder="1" applyAlignment="1">
      <alignment horizontal="center" vertical="center" wrapText="1"/>
    </xf>
    <xf numFmtId="3" fontId="7" fillId="0" borderId="140" xfId="48" applyNumberFormat="1" applyFont="1" applyBorder="1" applyAlignment="1">
      <alignment horizontal="center" vertical="center" wrapText="1"/>
    </xf>
    <xf numFmtId="3" fontId="7" fillId="0" borderId="14" xfId="48" applyNumberFormat="1" applyFont="1" applyBorder="1" applyAlignment="1">
      <alignment horizontal="center" vertical="center" wrapText="1"/>
    </xf>
    <xf numFmtId="3" fontId="7" fillId="0" borderId="102" xfId="48" applyNumberFormat="1" applyFont="1" applyBorder="1" applyAlignment="1">
      <alignment horizontal="center" vertical="center" wrapText="1"/>
    </xf>
    <xf numFmtId="3" fontId="7" fillId="0" borderId="205" xfId="48" applyNumberFormat="1" applyFont="1" applyBorder="1" applyAlignment="1">
      <alignment horizontal="center" vertical="center" wrapText="1"/>
    </xf>
    <xf numFmtId="3" fontId="7" fillId="0" borderId="0" xfId="48" applyNumberFormat="1" applyFont="1" applyAlignment="1">
      <alignment horizontal="center" vertical="center" wrapText="1"/>
    </xf>
    <xf numFmtId="3" fontId="7" fillId="0" borderId="192" xfId="48" applyNumberFormat="1" applyFont="1" applyBorder="1" applyAlignment="1">
      <alignment horizontal="center" vertical="center" wrapText="1"/>
    </xf>
    <xf numFmtId="3" fontId="7" fillId="0" borderId="11" xfId="48" applyNumberFormat="1" applyFont="1" applyBorder="1" applyAlignment="1">
      <alignment horizontal="center" vertical="center" wrapText="1"/>
    </xf>
    <xf numFmtId="3" fontId="7" fillId="0" borderId="207" xfId="48" applyNumberFormat="1" applyFont="1" applyBorder="1" applyAlignment="1">
      <alignment horizontal="center" vertical="center" wrapText="1"/>
    </xf>
    <xf numFmtId="3" fontId="7" fillId="0" borderId="208" xfId="48" applyNumberFormat="1" applyFont="1" applyBorder="1" applyAlignment="1">
      <alignment horizontal="center" vertical="center" wrapText="1"/>
    </xf>
    <xf numFmtId="3" fontId="7" fillId="0" borderId="0" xfId="46" applyNumberFormat="1" applyFont="1" applyAlignment="1">
      <alignment horizontal="left"/>
    </xf>
    <xf numFmtId="0" fontId="7" fillId="0" borderId="0" xfId="0" applyFont="1" applyAlignment="1">
      <alignment horizontal="left" vertical="center"/>
    </xf>
    <xf numFmtId="0" fontId="8" fillId="0" borderId="0" xfId="0" applyFont="1" applyAlignment="1">
      <alignment horizontal="center" vertical="center" wrapText="1"/>
    </xf>
    <xf numFmtId="10" fontId="11" fillId="0" borderId="0" xfId="0" applyNumberFormat="1" applyFont="1" applyAlignment="1">
      <alignment horizontal="right" vertical="center"/>
    </xf>
  </cellXfs>
  <cellStyles count="60">
    <cellStyle name="Ezres 2" xfId="2"/>
    <cellStyle name="Ezres 3" xfId="3"/>
    <cellStyle name="Ezres 4" xfId="4"/>
    <cellStyle name="Ezres 4 2" xfId="5"/>
    <cellStyle name="Ezres 4 3" xfId="6"/>
    <cellStyle name="Ezres 4 4" xfId="7"/>
    <cellStyle name="Ezres 4 4 2" xfId="8"/>
    <cellStyle name="Ezres 4 4 2 2" xfId="58"/>
    <cellStyle name="Ezres 5" xfId="9"/>
    <cellStyle name="Normál" xfId="0" builtinId="0"/>
    <cellStyle name="Normál 10" xfId="10"/>
    <cellStyle name="Normál 10 2" xfId="11"/>
    <cellStyle name="Normál 10 3" xfId="12"/>
    <cellStyle name="Normál 11" xfId="13"/>
    <cellStyle name="Normál 11 2" xfId="14"/>
    <cellStyle name="Normál 12" xfId="15"/>
    <cellStyle name="Normál 13" xfId="16"/>
    <cellStyle name="Normál 14" xfId="17"/>
    <cellStyle name="Normál 14 2" xfId="18"/>
    <cellStyle name="Normál 14 2 2" xfId="19"/>
    <cellStyle name="Normál 15" xfId="20"/>
    <cellStyle name="Normál 16" xfId="59"/>
    <cellStyle name="Normál 2" xfId="21"/>
    <cellStyle name="Normál 3" xfId="22"/>
    <cellStyle name="Normál 4" xfId="23"/>
    <cellStyle name="Normál 5" xfId="24"/>
    <cellStyle name="Normál 6" xfId="25"/>
    <cellStyle name="Normál 6 2" xfId="26"/>
    <cellStyle name="Normál 6 3" xfId="27"/>
    <cellStyle name="Normál 6 3 2" xfId="28"/>
    <cellStyle name="Normál 6 3 2 2" xfId="29"/>
    <cellStyle name="Normál 6 3 2 3" xfId="30"/>
    <cellStyle name="Normál 6 3 2 3 2" xfId="31"/>
    <cellStyle name="Normál 6 3 2 3 3" xfId="32"/>
    <cellStyle name="Normál 6 3 2 4" xfId="33"/>
    <cellStyle name="Normál 6 3 2 5" xfId="34"/>
    <cellStyle name="Normál 6 3 2 6" xfId="35"/>
    <cellStyle name="Normál 7" xfId="36"/>
    <cellStyle name="Normál 8" xfId="37"/>
    <cellStyle name="Normál 8 2" xfId="38"/>
    <cellStyle name="Normál 8 2 2" xfId="39"/>
    <cellStyle name="Normál 8 2 3" xfId="40"/>
    <cellStyle name="Normál 8 3" xfId="41"/>
    <cellStyle name="Normál 9" xfId="42"/>
    <cellStyle name="Normál 9 2" xfId="43"/>
    <cellStyle name="Normál 9 3" xfId="44"/>
    <cellStyle name="Normál_2007.évi konc. összefoglaló bevétel" xfId="45"/>
    <cellStyle name="Normál_2007.évi konc. összefoglaló bevétel 2" xfId="46"/>
    <cellStyle name="Normál_Beruházási tábla 2007" xfId="47"/>
    <cellStyle name="Normál_EU-s tábla kv-hez_EU projektek tábla" xfId="48"/>
    <cellStyle name="Normál_Hitel tábla 2012 terv" xfId="56"/>
    <cellStyle name="Normál_Hitel tábla 2012 terv (2)" xfId="57"/>
    <cellStyle name="Normál_hiteltörl költségvetés 2014" xfId="55"/>
    <cellStyle name="Normál_Intézményi bevétel-kiadás" xfId="49"/>
    <cellStyle name="Normál_Városfejlesztési Iroda - 2008. kv. tervezés" xfId="50"/>
    <cellStyle name="Normál_Városfejlesztési Iroda - 2008. kv. tervezés_2014.évi eredeti előirányzat 2" xfId="51"/>
    <cellStyle name="Százalék" xfId="1" builtinId="5"/>
    <cellStyle name="Százalék 2" xfId="52"/>
    <cellStyle name="Százalék 3" xfId="53"/>
    <cellStyle name="Százalék 3 2" xfId="54"/>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DCE6F2"/>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84807"/>
      <rgbColor rgb="FF993366"/>
      <rgbColor rgb="FF333399"/>
      <rgbColor rgb="FF63252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3"/>
  <sheetViews>
    <sheetView view="pageBreakPreview" topLeftCell="E60" zoomScaleNormal="100" workbookViewId="0">
      <selection activeCell="A4" sqref="A4:L73"/>
    </sheetView>
  </sheetViews>
  <sheetFormatPr defaultColWidth="9.26953125" defaultRowHeight="15.5"/>
  <cols>
    <col min="1" max="1" width="3.7265625" style="19" customWidth="1"/>
    <col min="2" max="5" width="5.7265625" style="12" customWidth="1"/>
    <col min="6" max="6" width="59.7265625" style="6" customWidth="1"/>
    <col min="7" max="9" width="13.7265625" style="9" customWidth="1"/>
    <col min="10" max="11" width="15.7265625" style="11" customWidth="1"/>
    <col min="12" max="12" width="15.7265625" style="16" customWidth="1"/>
    <col min="13" max="16384" width="9.26953125" style="6"/>
  </cols>
  <sheetData>
    <row r="1" spans="1:12">
      <c r="B1" s="1893" t="s">
        <v>1186</v>
      </c>
      <c r="C1" s="1893"/>
      <c r="D1" s="1893"/>
      <c r="E1" s="1893"/>
      <c r="F1" s="1893"/>
      <c r="G1" s="6"/>
      <c r="H1" s="6"/>
      <c r="I1" s="6"/>
      <c r="J1" s="20"/>
      <c r="K1" s="20"/>
    </row>
    <row r="2" spans="1:12" s="10" customFormat="1" ht="24.75" customHeight="1">
      <c r="A2" s="19"/>
      <c r="B2" s="1894" t="s">
        <v>70</v>
      </c>
      <c r="C2" s="1894"/>
      <c r="D2" s="1894"/>
      <c r="E2" s="1894"/>
      <c r="F2" s="1894"/>
      <c r="G2" s="1894"/>
      <c r="H2" s="1894"/>
      <c r="I2" s="1894"/>
      <c r="J2" s="1894"/>
      <c r="K2" s="1894"/>
      <c r="L2" s="1894"/>
    </row>
    <row r="3" spans="1:12" s="10" customFormat="1" ht="24.75" customHeight="1">
      <c r="A3" s="19"/>
      <c r="B3" s="1894" t="s">
        <v>71</v>
      </c>
      <c r="C3" s="1894"/>
      <c r="D3" s="1894"/>
      <c r="E3" s="1894"/>
      <c r="F3" s="1894"/>
      <c r="G3" s="1894"/>
      <c r="H3" s="1894"/>
      <c r="I3" s="1894"/>
      <c r="J3" s="1894"/>
      <c r="K3" s="1894"/>
      <c r="L3" s="1894"/>
    </row>
    <row r="4" spans="1:12" s="25" customFormat="1" ht="14.5">
      <c r="A4" s="19"/>
      <c r="B4" s="21"/>
      <c r="C4" s="21"/>
      <c r="D4" s="21"/>
      <c r="E4" s="21"/>
      <c r="F4" s="21"/>
      <c r="G4" s="22"/>
      <c r="H4" s="22"/>
      <c r="I4" s="23"/>
      <c r="J4" s="24"/>
      <c r="K4" s="24"/>
      <c r="L4" s="24" t="s">
        <v>0</v>
      </c>
    </row>
    <row r="5" spans="1:12" s="31" customFormat="1" ht="13.5" thickBot="1">
      <c r="A5" s="19"/>
      <c r="B5" s="26" t="s">
        <v>1</v>
      </c>
      <c r="C5" s="26" t="s">
        <v>2</v>
      </c>
      <c r="D5" s="26" t="s">
        <v>72</v>
      </c>
      <c r="E5" s="26" t="s">
        <v>73</v>
      </c>
      <c r="F5" s="26" t="s">
        <v>74</v>
      </c>
      <c r="G5" s="27" t="s">
        <v>75</v>
      </c>
      <c r="H5" s="27" t="s">
        <v>76</v>
      </c>
      <c r="I5" s="27" t="s">
        <v>77</v>
      </c>
      <c r="J5" s="27" t="s">
        <v>78</v>
      </c>
      <c r="K5" s="28" t="s">
        <v>79</v>
      </c>
      <c r="L5" s="29" t="s">
        <v>80</v>
      </c>
    </row>
    <row r="6" spans="1:12" s="41" customFormat="1" ht="79.5" customHeight="1" thickBot="1">
      <c r="A6" s="32"/>
      <c r="B6" s="33" t="s">
        <v>82</v>
      </c>
      <c r="C6" s="34" t="s">
        <v>83</v>
      </c>
      <c r="D6" s="35" t="s">
        <v>84</v>
      </c>
      <c r="E6" s="35" t="s">
        <v>85</v>
      </c>
      <c r="F6" s="36" t="s">
        <v>3</v>
      </c>
      <c r="G6" s="37" t="s">
        <v>86</v>
      </c>
      <c r="H6" s="38" t="s">
        <v>87</v>
      </c>
      <c r="I6" s="39" t="s">
        <v>88</v>
      </c>
      <c r="J6" s="40" t="s">
        <v>89</v>
      </c>
      <c r="K6" s="36" t="s">
        <v>764</v>
      </c>
      <c r="L6" s="1412" t="s">
        <v>1020</v>
      </c>
    </row>
    <row r="7" spans="1:12" s="48" customFormat="1" ht="36" customHeight="1">
      <c r="A7" s="32">
        <v>1</v>
      </c>
      <c r="B7" s="42"/>
      <c r="C7" s="43"/>
      <c r="D7" s="44">
        <v>1</v>
      </c>
      <c r="E7" s="44"/>
      <c r="F7" s="45" t="s">
        <v>90</v>
      </c>
      <c r="G7" s="46">
        <f t="shared" ref="G7:L7" si="0">SUM(G8,G21,G33,G39,G42,G20,G38)</f>
        <v>24945646</v>
      </c>
      <c r="H7" s="46">
        <f t="shared" si="0"/>
        <v>22639410</v>
      </c>
      <c r="I7" s="46">
        <f t="shared" si="0"/>
        <v>33712776</v>
      </c>
      <c r="J7" s="47">
        <f t="shared" si="0"/>
        <v>26826816</v>
      </c>
      <c r="K7" s="46">
        <f t="shared" si="0"/>
        <v>27817064</v>
      </c>
      <c r="L7" s="1413">
        <f t="shared" si="0"/>
        <v>28369256</v>
      </c>
    </row>
    <row r="8" spans="1:12" s="48" customFormat="1" ht="36" customHeight="1">
      <c r="A8" s="32">
        <v>2</v>
      </c>
      <c r="B8" s="49">
        <v>18</v>
      </c>
      <c r="C8" s="1414"/>
      <c r="D8" s="1415"/>
      <c r="E8" s="1415">
        <v>1</v>
      </c>
      <c r="F8" s="1414" t="s">
        <v>91</v>
      </c>
      <c r="G8" s="1416">
        <f t="shared" ref="G8:K8" si="1">SUM(G9,G18:G18)</f>
        <v>6793994</v>
      </c>
      <c r="H8" s="1416">
        <f t="shared" si="1"/>
        <v>6909755</v>
      </c>
      <c r="I8" s="1416">
        <f t="shared" si="1"/>
        <v>7999614</v>
      </c>
      <c r="J8" s="50">
        <f t="shared" si="1"/>
        <v>8407420</v>
      </c>
      <c r="K8" s="1416">
        <f t="shared" si="1"/>
        <v>8815839</v>
      </c>
      <c r="L8" s="1417">
        <f>SUM(L9,L18:L18)</f>
        <v>8806897</v>
      </c>
    </row>
    <row r="9" spans="1:12" s="15" customFormat="1">
      <c r="A9" s="32">
        <v>3</v>
      </c>
      <c r="B9" s="51"/>
      <c r="C9" s="5"/>
      <c r="D9" s="12"/>
      <c r="E9" s="12"/>
      <c r="F9" s="1418" t="s">
        <v>92</v>
      </c>
      <c r="G9" s="1419">
        <f t="shared" ref="G9:L9" si="2">SUM(G10:G17)</f>
        <v>5600725</v>
      </c>
      <c r="H9" s="1419">
        <f t="shared" si="2"/>
        <v>6055286</v>
      </c>
      <c r="I9" s="1419">
        <f t="shared" si="2"/>
        <v>6825509</v>
      </c>
      <c r="J9" s="52">
        <f t="shared" si="2"/>
        <v>6886393</v>
      </c>
      <c r="K9" s="1420">
        <f t="shared" si="2"/>
        <v>7246465</v>
      </c>
      <c r="L9" s="1421">
        <f t="shared" si="2"/>
        <v>7246465</v>
      </c>
    </row>
    <row r="10" spans="1:12" ht="16.5" customHeight="1">
      <c r="A10" s="32">
        <v>4</v>
      </c>
      <c r="B10" s="53"/>
      <c r="C10" s="1422"/>
      <c r="D10" s="1422"/>
      <c r="E10" s="1422"/>
      <c r="F10" s="1423" t="s">
        <v>93</v>
      </c>
      <c r="G10" s="9">
        <v>1223867</v>
      </c>
      <c r="H10" s="9">
        <v>1216983</v>
      </c>
      <c r="I10" s="9">
        <v>1263768</v>
      </c>
      <c r="J10" s="54">
        <v>1358062</v>
      </c>
      <c r="K10" s="11">
        <v>1358062</v>
      </c>
      <c r="L10" s="1424">
        <v>1358062</v>
      </c>
    </row>
    <row r="11" spans="1:12" ht="32.25" customHeight="1">
      <c r="A11" s="32">
        <v>5</v>
      </c>
      <c r="B11" s="53"/>
      <c r="C11" s="1422"/>
      <c r="D11" s="1422"/>
      <c r="E11" s="1422"/>
      <c r="F11" s="1423" t="s">
        <v>94</v>
      </c>
      <c r="G11" s="55">
        <v>1409859</v>
      </c>
      <c r="H11" s="55">
        <v>1366131</v>
      </c>
      <c r="I11" s="55">
        <v>1575246</v>
      </c>
      <c r="J11" s="56">
        <v>2022488</v>
      </c>
      <c r="K11" s="57">
        <v>2022367</v>
      </c>
      <c r="L11" s="1425">
        <v>2022367</v>
      </c>
    </row>
    <row r="12" spans="1:12" ht="33.75" customHeight="1">
      <c r="A12" s="32">
        <v>6</v>
      </c>
      <c r="B12" s="53"/>
      <c r="C12" s="1422"/>
      <c r="D12" s="1422"/>
      <c r="E12" s="1422"/>
      <c r="F12" s="1423" t="s">
        <v>95</v>
      </c>
      <c r="G12" s="55">
        <v>1624155</v>
      </c>
      <c r="H12" s="55">
        <v>1409957</v>
      </c>
      <c r="I12" s="55">
        <v>1831922</v>
      </c>
      <c r="J12" s="56">
        <v>1836205</v>
      </c>
      <c r="K12" s="57">
        <v>2139405</v>
      </c>
      <c r="L12" s="1425">
        <v>2139405</v>
      </c>
    </row>
    <row r="13" spans="1:12" ht="32.25" customHeight="1">
      <c r="A13" s="32">
        <v>7</v>
      </c>
      <c r="B13" s="53"/>
      <c r="C13" s="1422"/>
      <c r="D13" s="1422"/>
      <c r="E13" s="1422"/>
      <c r="F13" s="1423" t="s">
        <v>96</v>
      </c>
      <c r="G13" s="9">
        <v>756978</v>
      </c>
      <c r="H13" s="9">
        <v>707499</v>
      </c>
      <c r="I13" s="9">
        <v>731430</v>
      </c>
      <c r="J13" s="54">
        <v>872006</v>
      </c>
      <c r="K13" s="11">
        <v>875057</v>
      </c>
      <c r="L13" s="1424">
        <v>875057</v>
      </c>
    </row>
    <row r="14" spans="1:12" ht="16.5" customHeight="1">
      <c r="A14" s="32">
        <v>8</v>
      </c>
      <c r="B14" s="53"/>
      <c r="C14" s="1422"/>
      <c r="D14" s="1422"/>
      <c r="E14" s="1422"/>
      <c r="F14" s="1423" t="s">
        <v>97</v>
      </c>
      <c r="G14" s="9">
        <v>492051</v>
      </c>
      <c r="H14" s="9">
        <f>1348087-569075</f>
        <v>779012</v>
      </c>
      <c r="I14" s="9">
        <v>782440</v>
      </c>
      <c r="J14" s="54">
        <v>793912</v>
      </c>
      <c r="K14" s="11">
        <v>814784</v>
      </c>
      <c r="L14" s="1424">
        <v>814784</v>
      </c>
    </row>
    <row r="15" spans="1:12" ht="36" customHeight="1">
      <c r="A15" s="32">
        <v>9</v>
      </c>
      <c r="B15" s="53"/>
      <c r="C15" s="1422"/>
      <c r="D15" s="1422"/>
      <c r="E15" s="1422"/>
      <c r="F15" s="1423" t="s">
        <v>98</v>
      </c>
      <c r="G15" s="55">
        <v>53240</v>
      </c>
      <c r="H15" s="9">
        <v>6629</v>
      </c>
      <c r="I15" s="9">
        <v>71628</v>
      </c>
      <c r="J15" s="54">
        <v>3720</v>
      </c>
      <c r="K15" s="11">
        <v>36790</v>
      </c>
      <c r="L15" s="1424">
        <v>36790</v>
      </c>
    </row>
    <row r="16" spans="1:12" ht="31.5" customHeight="1">
      <c r="A16" s="32">
        <v>10</v>
      </c>
      <c r="B16" s="53"/>
      <c r="C16" s="1422"/>
      <c r="D16" s="1422"/>
      <c r="E16" s="1422"/>
      <c r="F16" s="1423" t="s">
        <v>99</v>
      </c>
      <c r="G16" s="55"/>
      <c r="H16" s="9">
        <v>569075</v>
      </c>
      <c r="I16" s="9">
        <v>569075</v>
      </c>
      <c r="J16" s="56"/>
      <c r="K16" s="57"/>
      <c r="L16" s="1424"/>
    </row>
    <row r="17" spans="1:12">
      <c r="A17" s="32">
        <v>11</v>
      </c>
      <c r="B17" s="51"/>
      <c r="C17" s="1422"/>
      <c r="D17" s="1422"/>
      <c r="E17" s="1422"/>
      <c r="F17" s="1423" t="s">
        <v>100</v>
      </c>
      <c r="G17" s="9">
        <v>40575</v>
      </c>
      <c r="J17" s="54"/>
      <c r="L17" s="1424"/>
    </row>
    <row r="18" spans="1:12" s="15" customFormat="1">
      <c r="A18" s="32">
        <v>12</v>
      </c>
      <c r="B18" s="51"/>
      <c r="C18" s="1426"/>
      <c r="D18" s="1422"/>
      <c r="E18" s="1422"/>
      <c r="F18" s="1427" t="s">
        <v>101</v>
      </c>
      <c r="G18" s="1419">
        <v>1193269</v>
      </c>
      <c r="H18" s="1419">
        <v>854469</v>
      </c>
      <c r="I18" s="1419">
        <v>1174105</v>
      </c>
      <c r="J18" s="52">
        <v>1521027</v>
      </c>
      <c r="K18" s="1419">
        <v>1569374</v>
      </c>
      <c r="L18" s="1428">
        <v>1560432</v>
      </c>
    </row>
    <row r="19" spans="1:12" ht="16.5" customHeight="1">
      <c r="A19" s="32">
        <v>13</v>
      </c>
      <c r="B19" s="51"/>
      <c r="C19" s="1422"/>
      <c r="D19" s="1422"/>
      <c r="E19" s="1422"/>
      <c r="F19" s="1423" t="s">
        <v>102</v>
      </c>
      <c r="G19" s="9">
        <v>294456</v>
      </c>
      <c r="H19" s="9">
        <v>260000</v>
      </c>
      <c r="I19" s="9">
        <v>295289</v>
      </c>
      <c r="J19" s="54">
        <v>325200</v>
      </c>
      <c r="K19" s="11">
        <v>357474</v>
      </c>
      <c r="L19" s="1424">
        <v>357474</v>
      </c>
    </row>
    <row r="20" spans="1:12" ht="36" customHeight="1">
      <c r="A20" s="32">
        <v>14</v>
      </c>
      <c r="B20" s="58" t="s">
        <v>103</v>
      </c>
      <c r="C20" s="1422"/>
      <c r="D20" s="1422"/>
      <c r="E20" s="1429">
        <v>1</v>
      </c>
      <c r="F20" s="1414" t="s">
        <v>104</v>
      </c>
      <c r="G20" s="1419">
        <v>333704</v>
      </c>
      <c r="H20" s="1419">
        <v>80024</v>
      </c>
      <c r="I20" s="1419">
        <v>287279</v>
      </c>
      <c r="J20" s="52">
        <v>32938</v>
      </c>
      <c r="K20" s="1420">
        <v>202832</v>
      </c>
      <c r="L20" s="1428">
        <f>'3.Inbe '!K112</f>
        <v>203738</v>
      </c>
    </row>
    <row r="21" spans="1:12" s="15" customFormat="1" ht="36" customHeight="1">
      <c r="A21" s="32">
        <v>15</v>
      </c>
      <c r="B21" s="51">
        <v>18</v>
      </c>
      <c r="C21" s="5"/>
      <c r="D21" s="12"/>
      <c r="E21" s="12">
        <v>2</v>
      </c>
      <c r="F21" s="15" t="s">
        <v>6</v>
      </c>
      <c r="G21" s="1419">
        <f t="shared" ref="G21:K21" si="3">SUM(G22,G29:G32)</f>
        <v>10626844</v>
      </c>
      <c r="H21" s="1419">
        <f t="shared" si="3"/>
        <v>10042100</v>
      </c>
      <c r="I21" s="1419">
        <f t="shared" si="3"/>
        <v>15107943</v>
      </c>
      <c r="J21" s="52">
        <f t="shared" si="3"/>
        <v>13625150</v>
      </c>
      <c r="K21" s="1420">
        <f t="shared" si="3"/>
        <v>14132419</v>
      </c>
      <c r="L21" s="1421">
        <f>SUM(L22,L29:L32)</f>
        <v>14500214</v>
      </c>
    </row>
    <row r="22" spans="1:12" s="15" customFormat="1">
      <c r="A22" s="32">
        <v>16</v>
      </c>
      <c r="B22" s="51"/>
      <c r="C22" s="5"/>
      <c r="D22" s="12"/>
      <c r="E22" s="12"/>
      <c r="F22" s="1430" t="s">
        <v>105</v>
      </c>
      <c r="G22" s="1431">
        <f t="shared" ref="G22:K22" si="4">SUM(G23:G28)</f>
        <v>10613389</v>
      </c>
      <c r="H22" s="1431">
        <f t="shared" si="4"/>
        <v>10037000</v>
      </c>
      <c r="I22" s="1431">
        <f t="shared" si="4"/>
        <v>15080210</v>
      </c>
      <c r="J22" s="59">
        <f t="shared" si="4"/>
        <v>13625000</v>
      </c>
      <c r="K22" s="1432">
        <f t="shared" si="4"/>
        <v>14125000</v>
      </c>
      <c r="L22" s="1421">
        <f>SUM(L23:L28)</f>
        <v>14484948</v>
      </c>
    </row>
    <row r="23" spans="1:12" ht="16.5" customHeight="1">
      <c r="A23" s="32">
        <v>17</v>
      </c>
      <c r="B23" s="51"/>
      <c r="F23" s="1423" t="s">
        <v>106</v>
      </c>
      <c r="G23" s="9">
        <v>1356360</v>
      </c>
      <c r="H23" s="9">
        <v>1310000</v>
      </c>
      <c r="I23" s="9">
        <v>1373659</v>
      </c>
      <c r="J23" s="54">
        <v>1310000</v>
      </c>
      <c r="K23" s="11">
        <v>1310000</v>
      </c>
      <c r="L23" s="1424">
        <v>1321811</v>
      </c>
    </row>
    <row r="24" spans="1:12">
      <c r="A24" s="32">
        <v>18</v>
      </c>
      <c r="B24" s="51"/>
      <c r="F24" s="1423" t="s">
        <v>107</v>
      </c>
      <c r="G24" s="9">
        <v>45221</v>
      </c>
      <c r="H24" s="9">
        <v>36000</v>
      </c>
      <c r="I24" s="9">
        <v>57941</v>
      </c>
      <c r="J24" s="54">
        <v>45000</v>
      </c>
      <c r="K24" s="11">
        <v>45000</v>
      </c>
      <c r="L24" s="1424">
        <v>49027</v>
      </c>
    </row>
    <row r="25" spans="1:12">
      <c r="A25" s="32">
        <v>19</v>
      </c>
      <c r="B25" s="51"/>
      <c r="F25" s="1423" t="s">
        <v>108</v>
      </c>
      <c r="G25" s="9">
        <v>150187</v>
      </c>
      <c r="H25" s="9">
        <v>145000</v>
      </c>
      <c r="I25" s="9">
        <v>153455</v>
      </c>
      <c r="J25" s="54">
        <v>145000</v>
      </c>
      <c r="K25" s="11">
        <v>145000</v>
      </c>
      <c r="L25" s="1424">
        <v>151635</v>
      </c>
    </row>
    <row r="26" spans="1:12">
      <c r="A26" s="32">
        <v>20</v>
      </c>
      <c r="B26" s="51"/>
      <c r="F26" s="1423" t="s">
        <v>109</v>
      </c>
      <c r="G26" s="9">
        <v>117120</v>
      </c>
      <c r="H26" s="9">
        <v>95000</v>
      </c>
      <c r="I26" s="9">
        <v>127207</v>
      </c>
      <c r="J26" s="54">
        <v>110000</v>
      </c>
      <c r="K26" s="11">
        <v>110000</v>
      </c>
      <c r="L26" s="1424">
        <v>137993</v>
      </c>
    </row>
    <row r="27" spans="1:12">
      <c r="A27" s="32">
        <v>21</v>
      </c>
      <c r="B27" s="51"/>
      <c r="F27" s="1423" t="s">
        <v>7</v>
      </c>
      <c r="G27" s="9">
        <v>8924834</v>
      </c>
      <c r="H27" s="9">
        <v>8440000</v>
      </c>
      <c r="I27" s="9">
        <v>13330454</v>
      </c>
      <c r="J27" s="54">
        <v>12000000</v>
      </c>
      <c r="K27" s="11">
        <v>12500000</v>
      </c>
      <c r="L27" s="1424">
        <v>12787629</v>
      </c>
    </row>
    <row r="28" spans="1:12">
      <c r="A28" s="32">
        <v>22</v>
      </c>
      <c r="B28" s="51"/>
      <c r="F28" s="1423" t="s">
        <v>110</v>
      </c>
      <c r="G28" s="9">
        <v>19667</v>
      </c>
      <c r="H28" s="9">
        <v>11000</v>
      </c>
      <c r="I28" s="9">
        <v>37494</v>
      </c>
      <c r="J28" s="54">
        <v>15000</v>
      </c>
      <c r="K28" s="11">
        <v>15000</v>
      </c>
      <c r="L28" s="1424">
        <v>36853</v>
      </c>
    </row>
    <row r="29" spans="1:12" s="15" customFormat="1" ht="31">
      <c r="A29" s="32">
        <v>23</v>
      </c>
      <c r="B29" s="51"/>
      <c r="C29" s="5"/>
      <c r="D29" s="12"/>
      <c r="E29" s="12"/>
      <c r="F29" s="1430" t="s">
        <v>111</v>
      </c>
      <c r="G29" s="1431">
        <v>13260</v>
      </c>
      <c r="H29" s="1431">
        <v>5100</v>
      </c>
      <c r="I29" s="1431">
        <v>13599</v>
      </c>
      <c r="J29" s="59">
        <v>150</v>
      </c>
      <c r="K29" s="1432">
        <v>150</v>
      </c>
      <c r="L29" s="1428">
        <v>7121</v>
      </c>
    </row>
    <row r="30" spans="1:12" s="15" customFormat="1">
      <c r="A30" s="32">
        <v>24</v>
      </c>
      <c r="B30" s="51"/>
      <c r="C30" s="5"/>
      <c r="D30" s="12"/>
      <c r="E30" s="12"/>
      <c r="F30" s="1430" t="s">
        <v>112</v>
      </c>
      <c r="G30" s="1431"/>
      <c r="H30" s="1431"/>
      <c r="I30" s="1431">
        <v>6524</v>
      </c>
      <c r="J30" s="59"/>
      <c r="K30" s="1432">
        <v>6619</v>
      </c>
      <c r="L30" s="1424">
        <v>6619</v>
      </c>
    </row>
    <row r="31" spans="1:12" s="15" customFormat="1">
      <c r="A31" s="32">
        <v>25</v>
      </c>
      <c r="B31" s="51"/>
      <c r="C31" s="5"/>
      <c r="D31" s="12"/>
      <c r="E31" s="12"/>
      <c r="F31" s="1430" t="s">
        <v>113</v>
      </c>
      <c r="G31" s="1431"/>
      <c r="H31" s="1431"/>
      <c r="I31" s="1431">
        <v>7600</v>
      </c>
      <c r="J31" s="59"/>
      <c r="K31" s="1432">
        <v>650</v>
      </c>
      <c r="L31" s="1424">
        <v>650</v>
      </c>
    </row>
    <row r="32" spans="1:12" s="15" customFormat="1">
      <c r="A32" s="32">
        <v>26</v>
      </c>
      <c r="B32" s="51"/>
      <c r="C32" s="5"/>
      <c r="D32" s="12"/>
      <c r="E32" s="12"/>
      <c r="F32" s="1430" t="s">
        <v>114</v>
      </c>
      <c r="G32" s="1431">
        <v>195</v>
      </c>
      <c r="H32" s="1431"/>
      <c r="I32" s="1431">
        <v>10</v>
      </c>
      <c r="J32" s="59"/>
      <c r="K32" s="1432"/>
      <c r="L32" s="1428">
        <v>876</v>
      </c>
    </row>
    <row r="33" spans="1:12" s="15" customFormat="1" ht="36" customHeight="1">
      <c r="A33" s="32">
        <v>27</v>
      </c>
      <c r="B33" s="51">
        <v>18</v>
      </c>
      <c r="C33" s="5"/>
      <c r="D33" s="12"/>
      <c r="E33" s="12">
        <v>3</v>
      </c>
      <c r="F33" s="15" t="s">
        <v>115</v>
      </c>
      <c r="G33" s="1419">
        <f t="shared" ref="G33:L33" si="5">SUM(G34:G37)</f>
        <v>4164227</v>
      </c>
      <c r="H33" s="1419">
        <f t="shared" si="5"/>
        <v>4184512</v>
      </c>
      <c r="I33" s="1419">
        <f t="shared" si="5"/>
        <v>7382152</v>
      </c>
      <c r="J33" s="52">
        <f t="shared" si="5"/>
        <v>3494801</v>
      </c>
      <c r="K33" s="1420">
        <f t="shared" si="5"/>
        <v>2607981</v>
      </c>
      <c r="L33" s="1421">
        <f t="shared" si="5"/>
        <v>2644521</v>
      </c>
    </row>
    <row r="34" spans="1:12" ht="16.5" customHeight="1">
      <c r="A34" s="32">
        <v>28</v>
      </c>
      <c r="B34" s="51"/>
      <c r="F34" s="1423" t="s">
        <v>116</v>
      </c>
      <c r="G34" s="9">
        <v>408337</v>
      </c>
      <c r="H34" s="9">
        <v>360273</v>
      </c>
      <c r="I34" s="9">
        <v>651630</v>
      </c>
      <c r="J34" s="54">
        <v>412241</v>
      </c>
      <c r="K34" s="11">
        <v>658717</v>
      </c>
      <c r="L34" s="1424">
        <v>649353</v>
      </c>
    </row>
    <row r="35" spans="1:12" ht="16.5" customHeight="1">
      <c r="A35" s="32">
        <v>29</v>
      </c>
      <c r="B35" s="51"/>
      <c r="F35" s="1423" t="s">
        <v>117</v>
      </c>
      <c r="G35" s="9">
        <v>238577</v>
      </c>
      <c r="H35" s="9">
        <v>526923</v>
      </c>
      <c r="I35" s="9">
        <v>1646737</v>
      </c>
      <c r="J35" s="54">
        <v>1723717</v>
      </c>
      <c r="K35" s="11">
        <v>188041</v>
      </c>
      <c r="L35" s="1424">
        <v>210820</v>
      </c>
    </row>
    <row r="36" spans="1:12" ht="16.5" customHeight="1">
      <c r="A36" s="32">
        <v>30</v>
      </c>
      <c r="B36" s="51"/>
      <c r="F36" s="1423" t="s">
        <v>118</v>
      </c>
      <c r="G36" s="9">
        <v>2386724</v>
      </c>
      <c r="H36" s="9">
        <v>2793379</v>
      </c>
      <c r="I36" s="9">
        <v>3212029</v>
      </c>
      <c r="J36" s="54">
        <v>716355</v>
      </c>
      <c r="K36" s="11">
        <v>791962</v>
      </c>
      <c r="L36" s="1433">
        <v>691017</v>
      </c>
    </row>
    <row r="37" spans="1:12" ht="16.5" customHeight="1">
      <c r="A37" s="32">
        <v>31</v>
      </c>
      <c r="B37" s="51"/>
      <c r="F37" s="1423" t="s">
        <v>119</v>
      </c>
      <c r="G37" s="9">
        <v>1130589</v>
      </c>
      <c r="H37" s="9">
        <v>503937</v>
      </c>
      <c r="I37" s="9">
        <v>1871756</v>
      </c>
      <c r="J37" s="54">
        <v>642488</v>
      </c>
      <c r="K37" s="11">
        <v>969261</v>
      </c>
      <c r="L37" s="1424">
        <v>1093331</v>
      </c>
    </row>
    <row r="38" spans="1:12" s="15" customFormat="1" ht="36" customHeight="1">
      <c r="A38" s="32">
        <v>32</v>
      </c>
      <c r="B38" s="60" t="s">
        <v>103</v>
      </c>
      <c r="C38" s="5"/>
      <c r="D38" s="12"/>
      <c r="E38" s="12">
        <v>3</v>
      </c>
      <c r="F38" s="15" t="s">
        <v>120</v>
      </c>
      <c r="G38" s="1419">
        <v>1113418</v>
      </c>
      <c r="H38" s="1419">
        <v>916787</v>
      </c>
      <c r="I38" s="1419">
        <v>1596147</v>
      </c>
      <c r="J38" s="52">
        <v>1095969</v>
      </c>
      <c r="K38" s="1420">
        <v>1423842</v>
      </c>
      <c r="L38" s="1428">
        <f>'3.Inbe '!J112</f>
        <v>1577079</v>
      </c>
    </row>
    <row r="39" spans="1:12" s="15" customFormat="1" ht="36" customHeight="1">
      <c r="A39" s="32">
        <v>33</v>
      </c>
      <c r="B39" s="51">
        <v>18</v>
      </c>
      <c r="C39" s="5"/>
      <c r="D39" s="12"/>
      <c r="E39" s="12">
        <v>4</v>
      </c>
      <c r="F39" s="15" t="s">
        <v>121</v>
      </c>
      <c r="G39" s="1419">
        <v>1525737</v>
      </c>
      <c r="H39" s="1419">
        <v>220740</v>
      </c>
      <c r="I39" s="1419">
        <v>934001</v>
      </c>
      <c r="J39" s="52">
        <v>127555</v>
      </c>
      <c r="K39" s="1420">
        <v>529283</v>
      </c>
      <c r="L39" s="1428">
        <v>531802</v>
      </c>
    </row>
    <row r="40" spans="1:12" s="15" customFormat="1" ht="16.5" customHeight="1">
      <c r="A40" s="32">
        <v>34</v>
      </c>
      <c r="B40" s="51"/>
      <c r="C40" s="5"/>
      <c r="D40" s="12"/>
      <c r="E40" s="12"/>
      <c r="F40" s="1423" t="s">
        <v>122</v>
      </c>
      <c r="G40" s="9">
        <v>4235</v>
      </c>
      <c r="H40" s="9"/>
      <c r="I40" s="9"/>
      <c r="J40" s="54"/>
      <c r="K40" s="11"/>
      <c r="L40" s="1428"/>
    </row>
    <row r="41" spans="1:12" s="15" customFormat="1" ht="16.5" customHeight="1">
      <c r="A41" s="32">
        <v>35</v>
      </c>
      <c r="B41" s="51"/>
      <c r="C41" s="5"/>
      <c r="D41" s="12"/>
      <c r="E41" s="12"/>
      <c r="F41" s="1423" t="s">
        <v>123</v>
      </c>
      <c r="G41" s="9"/>
      <c r="H41" s="9">
        <v>3000</v>
      </c>
      <c r="I41" s="9">
        <v>0</v>
      </c>
      <c r="J41" s="54"/>
      <c r="K41" s="11"/>
      <c r="L41" s="1428"/>
    </row>
    <row r="42" spans="1:12" s="15" customFormat="1" ht="36" customHeight="1">
      <c r="A42" s="32">
        <v>36</v>
      </c>
      <c r="B42" s="61" t="s">
        <v>103</v>
      </c>
      <c r="C42" s="62"/>
      <c r="D42" s="62"/>
      <c r="E42" s="63">
        <v>4</v>
      </c>
      <c r="F42" s="64" t="s">
        <v>9</v>
      </c>
      <c r="G42" s="65">
        <v>387722</v>
      </c>
      <c r="H42" s="65">
        <v>285492</v>
      </c>
      <c r="I42" s="65">
        <v>405640</v>
      </c>
      <c r="J42" s="66">
        <f>66977-23994</f>
        <v>42983</v>
      </c>
      <c r="K42" s="1420">
        <v>104868</v>
      </c>
      <c r="L42" s="1428">
        <f>'3.Inbe '!L112</f>
        <v>105005</v>
      </c>
    </row>
    <row r="43" spans="1:12" s="48" customFormat="1" ht="36" customHeight="1">
      <c r="A43" s="32">
        <v>37</v>
      </c>
      <c r="B43" s="67"/>
      <c r="C43" s="68"/>
      <c r="D43" s="69">
        <v>2</v>
      </c>
      <c r="E43" s="69"/>
      <c r="F43" s="70" t="s">
        <v>124</v>
      </c>
      <c r="G43" s="71">
        <f t="shared" ref="G43:K43" si="6">SUM(G44,G47:G48,G50:G52)</f>
        <v>19881360</v>
      </c>
      <c r="H43" s="71">
        <f t="shared" si="6"/>
        <v>6311912</v>
      </c>
      <c r="I43" s="72">
        <f t="shared" si="6"/>
        <v>11786876</v>
      </c>
      <c r="J43" s="71">
        <f t="shared" si="6"/>
        <v>4031558</v>
      </c>
      <c r="K43" s="73">
        <f t="shared" si="6"/>
        <v>4440030</v>
      </c>
      <c r="L43" s="1434">
        <f>SUM(L44,L47:L48,L50:L52)</f>
        <v>3919512</v>
      </c>
    </row>
    <row r="44" spans="1:12" s="15" customFormat="1" ht="36" customHeight="1">
      <c r="A44" s="32">
        <v>38</v>
      </c>
      <c r="B44" s="51"/>
      <c r="C44" s="5"/>
      <c r="D44" s="12"/>
      <c r="E44" s="12">
        <v>5</v>
      </c>
      <c r="F44" s="15" t="s">
        <v>125</v>
      </c>
      <c r="G44" s="1419">
        <f t="shared" ref="G44:L44" si="7">SUM(G45,G46)</f>
        <v>3252624</v>
      </c>
      <c r="H44" s="1419">
        <f t="shared" si="7"/>
        <v>1313210</v>
      </c>
      <c r="I44" s="1419">
        <f t="shared" si="7"/>
        <v>2689454</v>
      </c>
      <c r="J44" s="52">
        <f t="shared" si="7"/>
        <v>2594724</v>
      </c>
      <c r="K44" s="1420">
        <f t="shared" si="7"/>
        <v>2792929</v>
      </c>
      <c r="L44" s="1421">
        <f t="shared" si="7"/>
        <v>2594724</v>
      </c>
    </row>
    <row r="45" spans="1:12">
      <c r="A45" s="32">
        <v>39</v>
      </c>
      <c r="B45" s="51">
        <v>18</v>
      </c>
      <c r="F45" s="1435" t="s">
        <v>126</v>
      </c>
      <c r="J45" s="54"/>
      <c r="L45" s="1424"/>
    </row>
    <row r="46" spans="1:12">
      <c r="A46" s="32">
        <v>40</v>
      </c>
      <c r="B46" s="51">
        <v>18</v>
      </c>
      <c r="C46" s="1422"/>
      <c r="D46" s="1422"/>
      <c r="E46" s="1422"/>
      <c r="F46" s="1435" t="s">
        <v>127</v>
      </c>
      <c r="G46" s="9">
        <v>3252624</v>
      </c>
      <c r="H46" s="9">
        <v>1313210</v>
      </c>
      <c r="I46" s="9">
        <v>2689454</v>
      </c>
      <c r="J46" s="54">
        <v>2594724</v>
      </c>
      <c r="K46" s="11">
        <v>2792929</v>
      </c>
      <c r="L46" s="1424">
        <v>2594724</v>
      </c>
    </row>
    <row r="47" spans="1:12" s="15" customFormat="1" ht="36" customHeight="1">
      <c r="A47" s="32">
        <v>41</v>
      </c>
      <c r="B47" s="61" t="s">
        <v>103</v>
      </c>
      <c r="C47" s="1426"/>
      <c r="D47" s="1426"/>
      <c r="E47" s="1422">
        <v>5</v>
      </c>
      <c r="F47" s="1427" t="s">
        <v>128</v>
      </c>
      <c r="G47" s="1419">
        <v>67600</v>
      </c>
      <c r="H47" s="1419">
        <v>2741</v>
      </c>
      <c r="I47" s="1419">
        <v>69526</v>
      </c>
      <c r="J47" s="52"/>
      <c r="K47" s="1420">
        <v>4336</v>
      </c>
      <c r="L47" s="1428">
        <f>'3.Inbe '!N112</f>
        <v>4336</v>
      </c>
    </row>
    <row r="48" spans="1:12" s="15" customFormat="1" ht="36" customHeight="1">
      <c r="A48" s="32">
        <v>42</v>
      </c>
      <c r="B48" s="51">
        <v>18</v>
      </c>
      <c r="C48" s="5"/>
      <c r="D48" s="12"/>
      <c r="E48" s="12">
        <v>6</v>
      </c>
      <c r="F48" s="15" t="s">
        <v>129</v>
      </c>
      <c r="G48" s="1419">
        <f t="shared" ref="G48:L48" si="8">SUM(G49:G49)</f>
        <v>335724</v>
      </c>
      <c r="H48" s="1419">
        <f t="shared" si="8"/>
        <v>750000</v>
      </c>
      <c r="I48" s="1419">
        <f t="shared" si="8"/>
        <v>579073</v>
      </c>
      <c r="J48" s="52">
        <f t="shared" si="8"/>
        <v>388700</v>
      </c>
      <c r="K48" s="1420">
        <f t="shared" si="8"/>
        <v>411300</v>
      </c>
      <c r="L48" s="1421">
        <f t="shared" si="8"/>
        <v>76822</v>
      </c>
    </row>
    <row r="49" spans="1:12">
      <c r="A49" s="32">
        <v>43</v>
      </c>
      <c r="B49" s="51"/>
      <c r="F49" s="1423" t="s">
        <v>130</v>
      </c>
      <c r="G49" s="9">
        <v>335724</v>
      </c>
      <c r="H49" s="9">
        <v>750000</v>
      </c>
      <c r="I49" s="9">
        <v>579073</v>
      </c>
      <c r="J49" s="54">
        <v>388700</v>
      </c>
      <c r="K49" s="11">
        <v>411300</v>
      </c>
      <c r="L49" s="1424">
        <v>76822</v>
      </c>
    </row>
    <row r="50" spans="1:12" ht="36" customHeight="1">
      <c r="A50" s="32">
        <v>44</v>
      </c>
      <c r="B50" s="51"/>
      <c r="E50" s="12">
        <v>6</v>
      </c>
      <c r="F50" s="1427" t="s">
        <v>131</v>
      </c>
      <c r="G50" s="1419">
        <v>4000</v>
      </c>
      <c r="H50" s="1419"/>
      <c r="I50" s="1419">
        <v>886</v>
      </c>
      <c r="J50" s="52"/>
      <c r="K50" s="1420">
        <v>227</v>
      </c>
      <c r="L50" s="1428">
        <f>'3.Inbe '!M112</f>
        <v>1100</v>
      </c>
    </row>
    <row r="51" spans="1:12" s="15" customFormat="1" ht="36" customHeight="1">
      <c r="A51" s="32">
        <v>45</v>
      </c>
      <c r="B51" s="51">
        <v>18</v>
      </c>
      <c r="C51" s="5"/>
      <c r="D51" s="12"/>
      <c r="E51" s="12">
        <v>7</v>
      </c>
      <c r="F51" s="15" t="s">
        <v>132</v>
      </c>
      <c r="G51" s="1419">
        <v>16072292</v>
      </c>
      <c r="H51" s="1419">
        <v>4234039</v>
      </c>
      <c r="I51" s="1419">
        <v>8351717</v>
      </c>
      <c r="J51" s="52">
        <v>1024140</v>
      </c>
      <c r="K51" s="1420">
        <v>1204342</v>
      </c>
      <c r="L51" s="1428">
        <f>1215662-28</f>
        <v>1215634</v>
      </c>
    </row>
    <row r="52" spans="1:12" s="15" customFormat="1" ht="36" customHeight="1">
      <c r="A52" s="32">
        <v>46</v>
      </c>
      <c r="B52" s="61" t="s">
        <v>103</v>
      </c>
      <c r="C52" s="1426"/>
      <c r="D52" s="1426"/>
      <c r="E52" s="1422">
        <v>7</v>
      </c>
      <c r="F52" s="1436" t="s">
        <v>133</v>
      </c>
      <c r="G52" s="1419">
        <v>149120</v>
      </c>
      <c r="H52" s="1419">
        <v>11922</v>
      </c>
      <c r="I52" s="1419">
        <v>96220</v>
      </c>
      <c r="J52" s="52">
        <v>23994</v>
      </c>
      <c r="K52" s="1420">
        <v>26896</v>
      </c>
      <c r="L52" s="1428">
        <f>'3.Inbe '!O112</f>
        <v>26896</v>
      </c>
    </row>
    <row r="53" spans="1:12" s="14" customFormat="1" ht="36" customHeight="1">
      <c r="A53" s="32">
        <v>47</v>
      </c>
      <c r="B53" s="74">
        <v>18</v>
      </c>
      <c r="C53" s="75"/>
      <c r="D53" s="76"/>
      <c r="E53" s="76"/>
      <c r="F53" s="77" t="s">
        <v>134</v>
      </c>
      <c r="G53" s="78">
        <f t="shared" ref="G53:L53" si="9">SUM(G54:G54)</f>
        <v>0</v>
      </c>
      <c r="H53" s="78">
        <f t="shared" si="9"/>
        <v>0</v>
      </c>
      <c r="I53" s="78">
        <f t="shared" si="9"/>
        <v>28</v>
      </c>
      <c r="J53" s="79">
        <f t="shared" si="9"/>
        <v>0</v>
      </c>
      <c r="K53" s="80">
        <f t="shared" si="9"/>
        <v>0</v>
      </c>
      <c r="L53" s="1437">
        <f t="shared" si="9"/>
        <v>28</v>
      </c>
    </row>
    <row r="54" spans="1:12" ht="31">
      <c r="A54" s="32">
        <v>48</v>
      </c>
      <c r="B54" s="51"/>
      <c r="C54" s="81"/>
      <c r="D54" s="81"/>
      <c r="E54" s="81"/>
      <c r="F54" s="82" t="s">
        <v>135</v>
      </c>
      <c r="G54" s="17"/>
      <c r="H54" s="17"/>
      <c r="I54" s="17">
        <v>28</v>
      </c>
      <c r="J54" s="83"/>
      <c r="L54" s="1424">
        <v>28</v>
      </c>
    </row>
    <row r="55" spans="1:12" s="14" customFormat="1" ht="39.75" customHeight="1" thickBot="1">
      <c r="A55" s="32">
        <v>49</v>
      </c>
      <c r="B55" s="84"/>
      <c r="C55" s="85"/>
      <c r="D55" s="86"/>
      <c r="E55" s="86"/>
      <c r="F55" s="87" t="s">
        <v>136</v>
      </c>
      <c r="G55" s="88">
        <f t="shared" ref="G55:K55" si="10">SUM(G7,G43,G53)</f>
        <v>44827006</v>
      </c>
      <c r="H55" s="88">
        <f t="shared" si="10"/>
        <v>28951322</v>
      </c>
      <c r="I55" s="88">
        <f t="shared" si="10"/>
        <v>45499680</v>
      </c>
      <c r="J55" s="89">
        <f t="shared" si="10"/>
        <v>30858374</v>
      </c>
      <c r="K55" s="90">
        <f t="shared" si="10"/>
        <v>32257094</v>
      </c>
      <c r="L55" s="1438">
        <f>SUM(L7,L43,L53)</f>
        <v>32288796</v>
      </c>
    </row>
    <row r="56" spans="1:12" s="14" customFormat="1" ht="39.75" customHeight="1" thickTop="1" thickBot="1">
      <c r="A56" s="32">
        <v>50</v>
      </c>
      <c r="B56" s="91"/>
      <c r="C56" s="92"/>
      <c r="D56" s="93"/>
      <c r="E56" s="93"/>
      <c r="F56" s="94" t="s">
        <v>137</v>
      </c>
      <c r="G56" s="95">
        <f>+G55-'2.Onki'!G38</f>
        <v>2318382</v>
      </c>
      <c r="H56" s="95">
        <f>+H55-'2.Onki'!H38</f>
        <v>-20218282</v>
      </c>
      <c r="I56" s="95">
        <f>+I55-'2.Onki'!I38</f>
        <v>-6554468</v>
      </c>
      <c r="J56" s="96">
        <f>+J55-'2.Onki'!J38</f>
        <v>-12231660</v>
      </c>
      <c r="K56" s="97">
        <f>+K55-'2.Onki'!K38</f>
        <v>-14648157</v>
      </c>
      <c r="L56" s="1439">
        <f>+L55-'2.Onki'!L38</f>
        <v>-1457728</v>
      </c>
    </row>
    <row r="57" spans="1:12" s="14" customFormat="1" ht="36" customHeight="1">
      <c r="A57" s="32">
        <v>51</v>
      </c>
      <c r="B57" s="74"/>
      <c r="C57" s="2"/>
      <c r="D57" s="4"/>
      <c r="E57" s="4"/>
      <c r="F57" s="14" t="s">
        <v>138</v>
      </c>
      <c r="G57" s="1440">
        <f>SUM(G60,G69)+G58</f>
        <v>21096688</v>
      </c>
      <c r="H57" s="1440">
        <f>SUM(H60,H69)+H58</f>
        <v>20651277</v>
      </c>
      <c r="I57" s="1440">
        <f>SUM(I60,I69)+I58</f>
        <v>23797191</v>
      </c>
      <c r="J57" s="98">
        <f>SUM(J60,J69)+J58</f>
        <v>12689397</v>
      </c>
      <c r="K57" s="99">
        <f>SUM(K60,K69)+K58+K59</f>
        <v>17175242</v>
      </c>
      <c r="L57" s="1441">
        <f>SUM(L60,L69)+L58+L59</f>
        <v>17175240</v>
      </c>
    </row>
    <row r="58" spans="1:12" s="14" customFormat="1" ht="27.75" customHeight="1">
      <c r="A58" s="32">
        <v>52</v>
      </c>
      <c r="B58" s="74"/>
      <c r="C58" s="2"/>
      <c r="D58" s="4">
        <v>1</v>
      </c>
      <c r="E58" s="4">
        <v>9</v>
      </c>
      <c r="F58" s="14" t="s">
        <v>139</v>
      </c>
      <c r="G58" s="1440">
        <v>307291</v>
      </c>
      <c r="H58" s="1440"/>
      <c r="I58" s="1440">
        <v>378732</v>
      </c>
      <c r="J58" s="98"/>
      <c r="K58" s="99">
        <v>569348</v>
      </c>
      <c r="L58" s="1442">
        <v>569346</v>
      </c>
    </row>
    <row r="59" spans="1:12" s="14" customFormat="1" ht="27.75" customHeight="1">
      <c r="A59" s="32">
        <v>53</v>
      </c>
      <c r="B59" s="74"/>
      <c r="C59" s="2"/>
      <c r="D59" s="4"/>
      <c r="E59" s="4">
        <v>12</v>
      </c>
      <c r="F59" s="14" t="s">
        <v>140</v>
      </c>
      <c r="G59" s="1440"/>
      <c r="H59" s="1440"/>
      <c r="I59" s="1440"/>
      <c r="J59" s="98"/>
      <c r="K59" s="99"/>
      <c r="L59" s="1442"/>
    </row>
    <row r="60" spans="1:12" s="14" customFormat="1" ht="33" customHeight="1">
      <c r="A60" s="32">
        <v>54</v>
      </c>
      <c r="B60" s="100"/>
      <c r="C60" s="75"/>
      <c r="D60" s="76"/>
      <c r="E60" s="76"/>
      <c r="F60" s="101" t="s">
        <v>141</v>
      </c>
      <c r="G60" s="78">
        <f t="shared" ref="G60:L60" si="11">SUM(G61,G65)</f>
        <v>20752528</v>
      </c>
      <c r="H60" s="78">
        <f t="shared" si="11"/>
        <v>20126255</v>
      </c>
      <c r="I60" s="78">
        <f t="shared" si="11"/>
        <v>22898752</v>
      </c>
      <c r="J60" s="79">
        <f t="shared" si="11"/>
        <v>12689397</v>
      </c>
      <c r="K60" s="102">
        <f t="shared" si="11"/>
        <v>16605894</v>
      </c>
      <c r="L60" s="1437">
        <f t="shared" si="11"/>
        <v>16605894</v>
      </c>
    </row>
    <row r="61" spans="1:12" s="15" customFormat="1" ht="24" customHeight="1">
      <c r="A61" s="32">
        <v>55</v>
      </c>
      <c r="B61" s="51"/>
      <c r="C61" s="5"/>
      <c r="D61" s="12">
        <v>1</v>
      </c>
      <c r="E61" s="12">
        <v>8</v>
      </c>
      <c r="F61" s="15" t="s">
        <v>142</v>
      </c>
      <c r="G61" s="1419">
        <f t="shared" ref="G61:L61" si="12">SUM(G62:G64)</f>
        <v>5745192</v>
      </c>
      <c r="H61" s="1419">
        <f t="shared" si="12"/>
        <v>5112488</v>
      </c>
      <c r="I61" s="1419">
        <f t="shared" si="12"/>
        <v>7764718</v>
      </c>
      <c r="J61" s="52">
        <f t="shared" si="12"/>
        <v>6572145</v>
      </c>
      <c r="K61" s="1420">
        <f t="shared" si="12"/>
        <v>10243449</v>
      </c>
      <c r="L61" s="1421">
        <f t="shared" si="12"/>
        <v>10243449</v>
      </c>
    </row>
    <row r="62" spans="1:12">
      <c r="A62" s="32">
        <v>56</v>
      </c>
      <c r="B62" s="58" t="s">
        <v>143</v>
      </c>
      <c r="F62" s="1423" t="s">
        <v>144</v>
      </c>
      <c r="G62" s="9">
        <v>899446</v>
      </c>
      <c r="H62" s="9">
        <v>514533</v>
      </c>
      <c r="I62" s="9">
        <v>944483</v>
      </c>
      <c r="J62" s="54">
        <f>430762-116782</f>
        <v>313980</v>
      </c>
      <c r="K62" s="11">
        <v>1044828</v>
      </c>
      <c r="L62" s="1424">
        <v>1044828</v>
      </c>
    </row>
    <row r="63" spans="1:12">
      <c r="A63" s="32">
        <v>57</v>
      </c>
      <c r="B63" s="51">
        <v>17</v>
      </c>
      <c r="F63" s="1423" t="s">
        <v>145</v>
      </c>
      <c r="G63" s="9">
        <v>696995</v>
      </c>
      <c r="H63" s="9">
        <v>204269</v>
      </c>
      <c r="I63" s="9">
        <v>657003</v>
      </c>
      <c r="J63" s="54">
        <v>10712</v>
      </c>
      <c r="K63" s="11">
        <v>625428</v>
      </c>
      <c r="L63" s="1424">
        <v>625428</v>
      </c>
    </row>
    <row r="64" spans="1:12">
      <c r="A64" s="32">
        <v>58</v>
      </c>
      <c r="B64" s="51">
        <v>18</v>
      </c>
      <c r="F64" s="1423" t="s">
        <v>146</v>
      </c>
      <c r="G64" s="9">
        <v>4148751</v>
      </c>
      <c r="H64" s="9">
        <v>4393686</v>
      </c>
      <c r="I64" s="9">
        <v>6163232</v>
      </c>
      <c r="J64" s="54">
        <v>6247453</v>
      </c>
      <c r="K64" s="11">
        <v>8573193</v>
      </c>
      <c r="L64" s="1424">
        <v>8573193</v>
      </c>
    </row>
    <row r="65" spans="1:12" s="15" customFormat="1" ht="24" customHeight="1">
      <c r="A65" s="32">
        <v>59</v>
      </c>
      <c r="B65" s="51"/>
      <c r="C65" s="5"/>
      <c r="D65" s="12">
        <v>2</v>
      </c>
      <c r="E65" s="12">
        <v>11</v>
      </c>
      <c r="F65" s="15" t="s">
        <v>147</v>
      </c>
      <c r="G65" s="1419">
        <f t="shared" ref="G65:L65" si="13">SUM(G66:G68)</f>
        <v>15007336</v>
      </c>
      <c r="H65" s="1419">
        <f t="shared" si="13"/>
        <v>15013767</v>
      </c>
      <c r="I65" s="1419">
        <f t="shared" si="13"/>
        <v>15134034</v>
      </c>
      <c r="J65" s="52">
        <f t="shared" si="13"/>
        <v>6117252</v>
      </c>
      <c r="K65" s="1420">
        <f t="shared" si="13"/>
        <v>6362445</v>
      </c>
      <c r="L65" s="1421">
        <f t="shared" si="13"/>
        <v>6362445</v>
      </c>
    </row>
    <row r="66" spans="1:12" s="15" customFormat="1">
      <c r="A66" s="32">
        <v>60</v>
      </c>
      <c r="B66" s="60" t="s">
        <v>143</v>
      </c>
      <c r="C66" s="12"/>
      <c r="D66" s="12"/>
      <c r="E66" s="12"/>
      <c r="F66" s="1443" t="s">
        <v>144</v>
      </c>
      <c r="G66" s="9">
        <v>178511</v>
      </c>
      <c r="H66" s="9">
        <v>218963</v>
      </c>
      <c r="I66" s="9">
        <v>302812</v>
      </c>
      <c r="J66" s="54">
        <v>116782</v>
      </c>
      <c r="K66" s="11">
        <v>215702</v>
      </c>
      <c r="L66" s="1424">
        <v>215702</v>
      </c>
    </row>
    <row r="67" spans="1:12" s="15" customFormat="1">
      <c r="A67" s="32">
        <v>61</v>
      </c>
      <c r="B67" s="60" t="s">
        <v>148</v>
      </c>
      <c r="C67" s="12"/>
      <c r="D67" s="12"/>
      <c r="E67" s="12"/>
      <c r="F67" s="1423" t="s">
        <v>145</v>
      </c>
      <c r="G67" s="9">
        <v>35711</v>
      </c>
      <c r="H67" s="9">
        <v>54678</v>
      </c>
      <c r="I67" s="9">
        <v>65678</v>
      </c>
      <c r="J67" s="54"/>
      <c r="K67" s="11">
        <v>75275</v>
      </c>
      <c r="L67" s="1424">
        <v>75275</v>
      </c>
    </row>
    <row r="68" spans="1:12" s="15" customFormat="1">
      <c r="A68" s="32">
        <v>62</v>
      </c>
      <c r="B68" s="51">
        <v>18</v>
      </c>
      <c r="C68" s="12"/>
      <c r="D68" s="12"/>
      <c r="E68" s="12"/>
      <c r="F68" s="1443" t="s">
        <v>146</v>
      </c>
      <c r="G68" s="9">
        <v>14793114</v>
      </c>
      <c r="H68" s="9">
        <v>14740126</v>
      </c>
      <c r="I68" s="9">
        <v>14765544</v>
      </c>
      <c r="J68" s="54">
        <v>6000470</v>
      </c>
      <c r="K68" s="11">
        <v>6071468</v>
      </c>
      <c r="L68" s="1424">
        <v>6071468</v>
      </c>
    </row>
    <row r="69" spans="1:12" s="14" customFormat="1" ht="30" customHeight="1">
      <c r="A69" s="32">
        <v>63</v>
      </c>
      <c r="B69" s="100"/>
      <c r="C69" s="75"/>
      <c r="D69" s="76"/>
      <c r="E69" s="76"/>
      <c r="F69" s="101" t="s">
        <v>149</v>
      </c>
      <c r="G69" s="78">
        <f t="shared" ref="G69:L69" si="14">SUM(G70:G72)</f>
        <v>36869</v>
      </c>
      <c r="H69" s="78">
        <f t="shared" si="14"/>
        <v>525022</v>
      </c>
      <c r="I69" s="78">
        <f t="shared" si="14"/>
        <v>519707</v>
      </c>
      <c r="J69" s="79">
        <f t="shared" si="14"/>
        <v>0</v>
      </c>
      <c r="K69" s="80">
        <f t="shared" si="14"/>
        <v>0</v>
      </c>
      <c r="L69" s="1437">
        <f t="shared" si="14"/>
        <v>0</v>
      </c>
    </row>
    <row r="70" spans="1:12" s="15" customFormat="1" ht="24" customHeight="1">
      <c r="A70" s="32">
        <v>64</v>
      </c>
      <c r="B70" s="51">
        <v>18</v>
      </c>
      <c r="C70" s="5"/>
      <c r="D70" s="12">
        <v>2</v>
      </c>
      <c r="E70" s="12">
        <v>10</v>
      </c>
      <c r="F70" s="15" t="s">
        <v>150</v>
      </c>
      <c r="G70" s="1419"/>
      <c r="H70" s="1419"/>
      <c r="I70" s="1419"/>
      <c r="J70" s="52"/>
      <c r="K70" s="1420"/>
      <c r="L70" s="1428"/>
    </row>
    <row r="71" spans="1:12">
      <c r="A71" s="32">
        <v>65</v>
      </c>
      <c r="B71" s="51"/>
      <c r="F71" s="1423" t="s">
        <v>150</v>
      </c>
      <c r="J71" s="54"/>
      <c r="L71" s="1424"/>
    </row>
    <row r="72" spans="1:12">
      <c r="A72" s="32">
        <v>66</v>
      </c>
      <c r="B72" s="51"/>
      <c r="F72" s="103" t="s">
        <v>151</v>
      </c>
      <c r="G72" s="17">
        <v>36869</v>
      </c>
      <c r="H72" s="17">
        <v>525022</v>
      </c>
      <c r="I72" s="17">
        <v>519707</v>
      </c>
      <c r="J72" s="54"/>
      <c r="L72" s="1424"/>
    </row>
    <row r="73" spans="1:12" s="14" customFormat="1" ht="36" customHeight="1" thickBot="1">
      <c r="A73" s="32">
        <v>67</v>
      </c>
      <c r="B73" s="104"/>
      <c r="C73" s="105"/>
      <c r="D73" s="106"/>
      <c r="E73" s="106"/>
      <c r="F73" s="107" t="s">
        <v>152</v>
      </c>
      <c r="G73" s="108">
        <f t="shared" ref="G73:L73" si="15">SUM(G55,G57)</f>
        <v>65923694</v>
      </c>
      <c r="H73" s="108">
        <f t="shared" si="15"/>
        <v>49602599</v>
      </c>
      <c r="I73" s="108">
        <f t="shared" si="15"/>
        <v>69296871</v>
      </c>
      <c r="J73" s="109">
        <f t="shared" si="15"/>
        <v>43547771</v>
      </c>
      <c r="K73" s="110">
        <f t="shared" si="15"/>
        <v>49432336</v>
      </c>
      <c r="L73" s="1444">
        <f t="shared" si="15"/>
        <v>49464036</v>
      </c>
    </row>
  </sheetData>
  <mergeCells count="3">
    <mergeCell ref="B1:F1"/>
    <mergeCell ref="B2:L2"/>
    <mergeCell ref="B3:L3"/>
  </mergeCells>
  <printOptions horizontalCentered="1"/>
  <pageMargins left="0.196527777777778" right="0.196527777777778" top="0.59027777777777801" bottom="0.59027777777777801" header="0.511811023622047" footer="0.51180555555555596"/>
  <pageSetup paperSize="9" scale="58" fitToHeight="2" orientation="portrait" verticalDpi="300" r:id="rId1"/>
  <headerFooter>
    <oddFooter>&amp;C- &amp;P -</oddFooter>
  </headerFooter>
  <rowBreaks count="1" manualBreakCount="1">
    <brk id="50"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3"/>
  <sheetViews>
    <sheetView view="pageBreakPreview" topLeftCell="E29" zoomScaleNormal="100" workbookViewId="0">
      <selection activeCell="A4" sqref="A4:P43"/>
    </sheetView>
  </sheetViews>
  <sheetFormatPr defaultColWidth="9.1796875" defaultRowHeight="15.5"/>
  <cols>
    <col min="1" max="1" width="3.7265625" style="546" customWidth="1"/>
    <col min="2" max="3" width="5.7265625" style="577" customWidth="1"/>
    <col min="4" max="4" width="62.7265625" style="552" customWidth="1"/>
    <col min="5" max="5" width="12.7265625" style="550" customWidth="1"/>
    <col min="6" max="7" width="10.7265625" style="550" customWidth="1"/>
    <col min="8" max="8" width="6.7265625" style="578" customWidth="1"/>
    <col min="9" max="14" width="14.81640625" style="550" customWidth="1"/>
    <col min="15" max="15" width="15.7265625" style="579" customWidth="1"/>
    <col min="16" max="16" width="13.81640625" style="550" customWidth="1"/>
    <col min="17" max="16384" width="9.1796875" style="552"/>
  </cols>
  <sheetData>
    <row r="1" spans="1:256" ht="18" customHeight="1">
      <c r="B1" s="1893" t="s">
        <v>1195</v>
      </c>
      <c r="C1" s="1893"/>
      <c r="D1" s="1893"/>
      <c r="E1" s="1893"/>
      <c r="F1" s="1893"/>
      <c r="G1" s="694"/>
      <c r="H1" s="695"/>
      <c r="I1" s="1962"/>
      <c r="J1" s="1962"/>
      <c r="K1" s="1962"/>
      <c r="L1" s="1962"/>
      <c r="M1" s="1962"/>
      <c r="N1" s="1962"/>
      <c r="O1" s="1962"/>
      <c r="P1" s="1962"/>
      <c r="Q1" s="696"/>
      <c r="R1" s="696"/>
      <c r="S1" s="696"/>
      <c r="T1" s="696"/>
      <c r="U1" s="696"/>
      <c r="V1" s="696"/>
      <c r="W1" s="696"/>
      <c r="X1" s="696"/>
      <c r="Y1" s="696"/>
      <c r="Z1" s="696"/>
      <c r="AA1" s="696"/>
      <c r="AB1" s="696"/>
      <c r="AC1" s="696"/>
      <c r="AD1" s="696"/>
      <c r="AE1" s="696"/>
      <c r="AF1" s="696"/>
      <c r="AG1" s="696"/>
      <c r="AH1" s="696"/>
      <c r="AI1" s="696"/>
      <c r="AJ1" s="696"/>
      <c r="AK1" s="696"/>
      <c r="AL1" s="696"/>
      <c r="AM1" s="696"/>
      <c r="AN1" s="696"/>
      <c r="AO1" s="696"/>
      <c r="AP1" s="696"/>
      <c r="AQ1" s="696"/>
      <c r="AR1" s="696"/>
      <c r="AS1" s="696"/>
      <c r="AT1" s="696"/>
      <c r="AU1" s="696"/>
      <c r="AV1" s="696"/>
      <c r="AW1" s="696"/>
      <c r="AX1" s="696"/>
      <c r="AY1" s="696"/>
      <c r="AZ1" s="696"/>
      <c r="BA1" s="696"/>
      <c r="BB1" s="696"/>
      <c r="BC1" s="696"/>
      <c r="BD1" s="696"/>
      <c r="BE1" s="696"/>
      <c r="BF1" s="696"/>
      <c r="BG1" s="696"/>
      <c r="BH1" s="696"/>
      <c r="BI1" s="696"/>
      <c r="BJ1" s="696"/>
      <c r="BK1" s="696"/>
      <c r="BL1" s="696"/>
      <c r="BM1" s="696"/>
      <c r="BN1" s="696"/>
      <c r="BO1" s="696"/>
      <c r="BP1" s="696"/>
      <c r="BQ1" s="696"/>
      <c r="BR1" s="696"/>
      <c r="BS1" s="696"/>
      <c r="BT1" s="696"/>
      <c r="BU1" s="696"/>
      <c r="BV1" s="696"/>
      <c r="BW1" s="696"/>
      <c r="BX1" s="696"/>
      <c r="BY1" s="696"/>
      <c r="BZ1" s="696"/>
      <c r="CA1" s="696"/>
      <c r="CB1" s="696"/>
      <c r="CC1" s="696"/>
      <c r="CD1" s="696"/>
      <c r="CE1" s="696"/>
      <c r="CF1" s="696"/>
      <c r="CG1" s="696"/>
      <c r="CH1" s="696"/>
      <c r="CI1" s="696"/>
      <c r="CJ1" s="696"/>
      <c r="CK1" s="696"/>
      <c r="CL1" s="696"/>
      <c r="CM1" s="696"/>
      <c r="CN1" s="696"/>
      <c r="CO1" s="696"/>
      <c r="CP1" s="696"/>
      <c r="CQ1" s="696"/>
      <c r="CR1" s="696"/>
      <c r="CS1" s="696"/>
      <c r="CT1" s="696"/>
      <c r="CU1" s="696"/>
      <c r="CV1" s="696"/>
      <c r="CW1" s="696"/>
      <c r="CX1" s="696"/>
      <c r="CY1" s="696"/>
      <c r="CZ1" s="696"/>
      <c r="DA1" s="696"/>
      <c r="DB1" s="696"/>
      <c r="DC1" s="696"/>
      <c r="DD1" s="696"/>
      <c r="DE1" s="696"/>
      <c r="DF1" s="696"/>
      <c r="DG1" s="696"/>
      <c r="DH1" s="696"/>
      <c r="DI1" s="696"/>
      <c r="DJ1" s="696"/>
      <c r="DK1" s="696"/>
      <c r="DL1" s="696"/>
      <c r="DM1" s="696"/>
      <c r="DN1" s="696"/>
      <c r="DO1" s="696"/>
      <c r="DP1" s="696"/>
      <c r="DQ1" s="696"/>
      <c r="DR1" s="696"/>
      <c r="DS1" s="696"/>
      <c r="DT1" s="696"/>
      <c r="DU1" s="696"/>
      <c r="DV1" s="696"/>
      <c r="DW1" s="696"/>
      <c r="DX1" s="696"/>
      <c r="DY1" s="696"/>
      <c r="DZ1" s="696"/>
      <c r="EA1" s="696"/>
      <c r="EB1" s="696"/>
      <c r="EC1" s="696"/>
      <c r="ED1" s="696"/>
      <c r="EE1" s="696"/>
      <c r="EF1" s="696"/>
      <c r="EG1" s="696"/>
      <c r="EH1" s="696"/>
      <c r="EI1" s="696"/>
      <c r="EJ1" s="696"/>
      <c r="EK1" s="696"/>
      <c r="EL1" s="696"/>
      <c r="EM1" s="696"/>
      <c r="EN1" s="696"/>
      <c r="EO1" s="696"/>
      <c r="EP1" s="696"/>
      <c r="EQ1" s="696"/>
      <c r="ER1" s="696"/>
      <c r="ES1" s="696"/>
      <c r="ET1" s="696"/>
      <c r="EU1" s="696"/>
      <c r="EV1" s="696"/>
      <c r="EW1" s="696"/>
      <c r="EX1" s="696"/>
      <c r="EY1" s="696"/>
      <c r="EZ1" s="696"/>
      <c r="FA1" s="696"/>
      <c r="FB1" s="696"/>
      <c r="FC1" s="696"/>
      <c r="FD1" s="696"/>
      <c r="FE1" s="696"/>
      <c r="FF1" s="696"/>
      <c r="FG1" s="696"/>
      <c r="FH1" s="696"/>
      <c r="FI1" s="696"/>
      <c r="FJ1" s="696"/>
      <c r="FK1" s="696"/>
      <c r="FL1" s="696"/>
      <c r="FM1" s="696"/>
      <c r="FN1" s="696"/>
      <c r="FO1" s="696"/>
      <c r="FP1" s="696"/>
      <c r="FQ1" s="696"/>
      <c r="FR1" s="696"/>
      <c r="FS1" s="696"/>
      <c r="FT1" s="696"/>
      <c r="FU1" s="696"/>
      <c r="FV1" s="696"/>
      <c r="FW1" s="696"/>
      <c r="FX1" s="696"/>
      <c r="FY1" s="696"/>
      <c r="FZ1" s="696"/>
      <c r="GA1" s="696"/>
      <c r="GB1" s="696"/>
      <c r="GC1" s="696"/>
      <c r="GD1" s="696"/>
      <c r="GE1" s="696"/>
      <c r="GF1" s="696"/>
      <c r="GG1" s="696"/>
      <c r="GH1" s="696"/>
      <c r="GI1" s="696"/>
      <c r="GJ1" s="696"/>
      <c r="GK1" s="696"/>
      <c r="GL1" s="696"/>
      <c r="GM1" s="696"/>
      <c r="GN1" s="696"/>
      <c r="GO1" s="696"/>
      <c r="GP1" s="696"/>
      <c r="GQ1" s="696"/>
      <c r="GR1" s="696"/>
      <c r="GS1" s="696"/>
      <c r="GT1" s="696"/>
      <c r="GU1" s="696"/>
      <c r="GV1" s="696"/>
      <c r="GW1" s="696"/>
      <c r="GX1" s="696"/>
      <c r="GY1" s="696"/>
      <c r="GZ1" s="696"/>
      <c r="HA1" s="696"/>
      <c r="HB1" s="696"/>
      <c r="HC1" s="696"/>
      <c r="HD1" s="696"/>
      <c r="HE1" s="696"/>
      <c r="HF1" s="696"/>
      <c r="HG1" s="696"/>
      <c r="HH1" s="696"/>
      <c r="HI1" s="696"/>
      <c r="HJ1" s="696"/>
      <c r="HK1" s="696"/>
      <c r="HL1" s="696"/>
      <c r="HM1" s="696"/>
      <c r="HN1" s="696"/>
      <c r="HO1" s="696"/>
      <c r="HP1" s="696"/>
      <c r="HQ1" s="696"/>
      <c r="HR1" s="696"/>
      <c r="HS1" s="696"/>
      <c r="HT1" s="696"/>
      <c r="HU1" s="696"/>
      <c r="HV1" s="696"/>
      <c r="HW1" s="696"/>
      <c r="HX1" s="696"/>
      <c r="HY1" s="696"/>
      <c r="HZ1" s="696"/>
      <c r="IA1" s="696"/>
      <c r="IB1" s="696"/>
      <c r="IC1" s="696"/>
      <c r="ID1" s="696"/>
      <c r="IE1" s="696"/>
      <c r="IF1" s="696"/>
      <c r="IG1" s="696"/>
      <c r="IH1" s="696"/>
      <c r="II1" s="696"/>
      <c r="IJ1" s="696"/>
      <c r="IK1" s="696"/>
      <c r="IL1" s="696"/>
      <c r="IM1" s="696"/>
      <c r="IN1" s="696"/>
      <c r="IO1" s="696"/>
      <c r="IP1" s="696"/>
    </row>
    <row r="2" spans="1:256" ht="24.75" customHeight="1">
      <c r="A2" s="1961" t="s">
        <v>411</v>
      </c>
      <c r="B2" s="1961"/>
      <c r="C2" s="1961"/>
      <c r="D2" s="1961"/>
      <c r="E2" s="1961"/>
      <c r="F2" s="1961"/>
      <c r="G2" s="1961"/>
      <c r="H2" s="1961"/>
      <c r="I2" s="1961"/>
      <c r="J2" s="1961"/>
      <c r="K2" s="1961"/>
      <c r="L2" s="1961"/>
      <c r="M2" s="1961"/>
      <c r="N2" s="1961"/>
      <c r="O2" s="1961"/>
      <c r="P2" s="1961"/>
    </row>
    <row r="3" spans="1:256" ht="24.75" customHeight="1">
      <c r="A3" s="1973" t="s">
        <v>667</v>
      </c>
      <c r="B3" s="1973"/>
      <c r="C3" s="1973"/>
      <c r="D3" s="1973"/>
      <c r="E3" s="1973"/>
      <c r="F3" s="1973"/>
      <c r="G3" s="1973"/>
      <c r="H3" s="1973"/>
      <c r="I3" s="1973"/>
      <c r="J3" s="1973"/>
      <c r="K3" s="1973"/>
      <c r="L3" s="1973"/>
      <c r="M3" s="1973"/>
      <c r="N3" s="1973"/>
      <c r="O3" s="1973"/>
      <c r="P3" s="1973"/>
    </row>
    <row r="4" spans="1:256" s="548" customFormat="1" ht="18" customHeight="1">
      <c r="A4" s="546"/>
      <c r="B4" s="546"/>
      <c r="C4" s="546"/>
      <c r="E4" s="547"/>
      <c r="F4" s="547"/>
      <c r="G4" s="547"/>
      <c r="H4" s="581"/>
      <c r="I4" s="547"/>
      <c r="J4" s="547"/>
      <c r="K4" s="547"/>
      <c r="L4" s="547"/>
      <c r="M4" s="547"/>
      <c r="N4" s="547"/>
      <c r="O4" s="582"/>
      <c r="P4" s="553" t="s">
        <v>0</v>
      </c>
    </row>
    <row r="5" spans="1:256" s="31" customFormat="1" ht="18" customHeight="1" thickBot="1">
      <c r="A5" s="583"/>
      <c r="B5" s="584" t="s">
        <v>1</v>
      </c>
      <c r="C5" s="554" t="s">
        <v>2</v>
      </c>
      <c r="D5" s="554" t="s">
        <v>72</v>
      </c>
      <c r="E5" s="554" t="s">
        <v>73</v>
      </c>
      <c r="F5" s="554" t="s">
        <v>74</v>
      </c>
      <c r="G5" s="554" t="s">
        <v>75</v>
      </c>
      <c r="H5" s="554" t="s">
        <v>76</v>
      </c>
      <c r="I5" s="554" t="s">
        <v>77</v>
      </c>
      <c r="J5" s="554" t="s">
        <v>78</v>
      </c>
      <c r="K5" s="554" t="s">
        <v>79</v>
      </c>
      <c r="L5" s="554" t="s">
        <v>80</v>
      </c>
      <c r="M5" s="554" t="s">
        <v>81</v>
      </c>
      <c r="N5" s="554" t="s">
        <v>184</v>
      </c>
      <c r="O5" s="554" t="s">
        <v>185</v>
      </c>
      <c r="P5" s="554" t="s">
        <v>186</v>
      </c>
      <c r="Q5" s="583"/>
      <c r="R5" s="583"/>
      <c r="S5" s="583"/>
      <c r="T5" s="583"/>
      <c r="U5" s="583"/>
      <c r="V5" s="583"/>
      <c r="W5" s="583"/>
      <c r="X5" s="583"/>
      <c r="Y5" s="583"/>
      <c r="Z5" s="583"/>
      <c r="AA5" s="583"/>
      <c r="AB5" s="583"/>
      <c r="AC5" s="583"/>
      <c r="AD5" s="583"/>
      <c r="AE5" s="583"/>
      <c r="AF5" s="583"/>
      <c r="AG5" s="583"/>
      <c r="AH5" s="583"/>
      <c r="AI5" s="583"/>
      <c r="AJ5" s="583"/>
      <c r="AK5" s="583"/>
      <c r="AL5" s="583"/>
      <c r="AM5" s="583"/>
      <c r="AN5" s="583"/>
      <c r="AO5" s="583"/>
      <c r="AP5" s="583"/>
      <c r="AQ5" s="583"/>
      <c r="AR5" s="583"/>
      <c r="AS5" s="583"/>
      <c r="AT5" s="583"/>
      <c r="AU5" s="583"/>
      <c r="AV5" s="583"/>
      <c r="AW5" s="583"/>
      <c r="AX5" s="583"/>
      <c r="AY5" s="583"/>
      <c r="AZ5" s="583"/>
      <c r="BA5" s="583"/>
      <c r="BB5" s="583"/>
      <c r="BC5" s="583"/>
      <c r="BD5" s="583"/>
      <c r="BE5" s="583"/>
      <c r="BF5" s="583"/>
      <c r="BG5" s="583"/>
      <c r="BH5" s="583"/>
      <c r="BI5" s="583"/>
      <c r="BJ5" s="583"/>
      <c r="BK5" s="583"/>
      <c r="BL5" s="583"/>
      <c r="BM5" s="583"/>
      <c r="BN5" s="583"/>
      <c r="BO5" s="583"/>
      <c r="BP5" s="583"/>
      <c r="BQ5" s="583"/>
      <c r="BR5" s="583"/>
      <c r="BS5" s="583"/>
      <c r="BT5" s="583"/>
      <c r="BU5" s="583"/>
      <c r="BV5" s="583"/>
      <c r="BW5" s="583"/>
      <c r="BX5" s="583"/>
      <c r="BY5" s="583"/>
      <c r="BZ5" s="583"/>
      <c r="CA5" s="583"/>
      <c r="CB5" s="583"/>
      <c r="CC5" s="583"/>
      <c r="CD5" s="583"/>
      <c r="CE5" s="583"/>
      <c r="CF5" s="583"/>
      <c r="CG5" s="583"/>
      <c r="CH5" s="583"/>
      <c r="CI5" s="583"/>
      <c r="CJ5" s="583"/>
      <c r="CK5" s="583"/>
      <c r="CL5" s="583"/>
      <c r="CM5" s="583"/>
      <c r="CN5" s="583"/>
      <c r="CO5" s="583"/>
      <c r="CP5" s="583"/>
      <c r="CQ5" s="583"/>
      <c r="CR5" s="583"/>
      <c r="CS5" s="583"/>
      <c r="CT5" s="583"/>
      <c r="CU5" s="583"/>
      <c r="CV5" s="583"/>
      <c r="CW5" s="583"/>
      <c r="CX5" s="583"/>
      <c r="CY5" s="583"/>
      <c r="CZ5" s="583"/>
      <c r="DA5" s="583"/>
      <c r="DB5" s="583"/>
      <c r="DC5" s="583"/>
      <c r="DD5" s="583"/>
      <c r="DE5" s="583"/>
      <c r="DF5" s="583"/>
      <c r="DG5" s="583"/>
      <c r="DH5" s="583"/>
      <c r="DI5" s="583"/>
      <c r="DJ5" s="583"/>
      <c r="DK5" s="583"/>
      <c r="DL5" s="583"/>
      <c r="DM5" s="583"/>
      <c r="DN5" s="583"/>
      <c r="DO5" s="583"/>
      <c r="DP5" s="583"/>
      <c r="DQ5" s="583"/>
      <c r="DR5" s="583"/>
      <c r="DS5" s="583"/>
      <c r="DT5" s="583"/>
      <c r="DU5" s="583"/>
      <c r="DV5" s="583"/>
      <c r="DW5" s="583"/>
      <c r="DX5" s="583"/>
      <c r="DY5" s="583"/>
      <c r="DZ5" s="583"/>
      <c r="EA5" s="583"/>
      <c r="EB5" s="583"/>
      <c r="EC5" s="583"/>
      <c r="ED5" s="583"/>
      <c r="EE5" s="583"/>
      <c r="EF5" s="583"/>
      <c r="EG5" s="583"/>
      <c r="EH5" s="583"/>
      <c r="EI5" s="583"/>
      <c r="EJ5" s="583"/>
      <c r="EK5" s="583"/>
      <c r="EL5" s="583"/>
      <c r="EM5" s="583"/>
      <c r="EN5" s="583"/>
      <c r="EO5" s="583"/>
      <c r="EP5" s="583"/>
      <c r="EQ5" s="583"/>
      <c r="ER5" s="583"/>
      <c r="ES5" s="583"/>
      <c r="ET5" s="583"/>
      <c r="EU5" s="583"/>
      <c r="EV5" s="583"/>
      <c r="EW5" s="583"/>
      <c r="EX5" s="583"/>
      <c r="EY5" s="583"/>
      <c r="EZ5" s="583"/>
      <c r="FA5" s="583"/>
      <c r="FB5" s="583"/>
      <c r="FC5" s="583"/>
      <c r="FD5" s="583"/>
      <c r="FE5" s="583"/>
      <c r="FF5" s="583"/>
      <c r="FG5" s="583"/>
      <c r="FH5" s="583"/>
      <c r="FI5" s="583"/>
      <c r="FJ5" s="583"/>
      <c r="FK5" s="583"/>
      <c r="FL5" s="583"/>
      <c r="FM5" s="583"/>
      <c r="FN5" s="583"/>
      <c r="FO5" s="583"/>
      <c r="FP5" s="583"/>
      <c r="FQ5" s="583"/>
      <c r="FR5" s="583"/>
      <c r="FS5" s="583"/>
      <c r="FT5" s="583"/>
      <c r="FU5" s="583"/>
      <c r="FV5" s="583"/>
      <c r="FW5" s="583"/>
      <c r="FX5" s="583"/>
      <c r="FY5" s="583"/>
      <c r="FZ5" s="583"/>
      <c r="GA5" s="583"/>
      <c r="GB5" s="583"/>
      <c r="GC5" s="583"/>
      <c r="GD5" s="583"/>
      <c r="GE5" s="583"/>
      <c r="GF5" s="583"/>
      <c r="GG5" s="583"/>
      <c r="GH5" s="583"/>
      <c r="GI5" s="583"/>
      <c r="GJ5" s="583"/>
      <c r="GK5" s="583"/>
      <c r="GL5" s="583"/>
      <c r="GM5" s="583"/>
      <c r="GN5" s="583"/>
      <c r="GO5" s="583"/>
      <c r="GP5" s="583"/>
      <c r="GQ5" s="583"/>
      <c r="GR5" s="583"/>
      <c r="GS5" s="583"/>
      <c r="GT5" s="583"/>
      <c r="GU5" s="583"/>
      <c r="GV5" s="583"/>
      <c r="GW5" s="583"/>
      <c r="GX5" s="583"/>
      <c r="GY5" s="583"/>
      <c r="GZ5" s="583"/>
      <c r="HA5" s="583"/>
      <c r="HB5" s="583"/>
      <c r="HC5" s="583"/>
      <c r="HD5" s="583"/>
      <c r="HE5" s="583"/>
      <c r="HF5" s="583"/>
      <c r="HG5" s="583"/>
      <c r="HH5" s="583"/>
      <c r="HI5" s="583"/>
      <c r="HJ5" s="583"/>
      <c r="HK5" s="583"/>
      <c r="HL5" s="583"/>
      <c r="HM5" s="583"/>
      <c r="HN5" s="583"/>
      <c r="HO5" s="583"/>
      <c r="HP5" s="583"/>
      <c r="HQ5" s="583"/>
      <c r="HR5" s="583"/>
      <c r="HS5" s="583"/>
      <c r="HT5" s="583"/>
      <c r="HU5" s="583"/>
      <c r="HV5" s="583"/>
      <c r="HW5" s="583"/>
      <c r="HX5" s="583"/>
      <c r="HY5" s="583"/>
      <c r="HZ5" s="583"/>
      <c r="IA5" s="583"/>
      <c r="IB5" s="583"/>
      <c r="IC5" s="583"/>
      <c r="ID5" s="583"/>
      <c r="IE5" s="583"/>
      <c r="IF5" s="583"/>
      <c r="IG5" s="583"/>
      <c r="IH5" s="583"/>
      <c r="II5" s="583"/>
      <c r="IJ5" s="583"/>
      <c r="IK5" s="583"/>
      <c r="IL5" s="583"/>
      <c r="IM5" s="583"/>
      <c r="IN5" s="583"/>
      <c r="IO5" s="583"/>
      <c r="IP5" s="583"/>
    </row>
    <row r="6" spans="1:256" ht="22.5" customHeight="1" thickBot="1">
      <c r="B6" s="1974" t="s">
        <v>82</v>
      </c>
      <c r="C6" s="1975" t="s">
        <v>83</v>
      </c>
      <c r="D6" s="1976" t="s">
        <v>3</v>
      </c>
      <c r="E6" s="1977" t="s">
        <v>648</v>
      </c>
      <c r="F6" s="1977" t="s">
        <v>649</v>
      </c>
      <c r="G6" s="1978" t="s">
        <v>668</v>
      </c>
      <c r="H6" s="1970" t="s">
        <v>222</v>
      </c>
      <c r="I6" s="1979" t="s">
        <v>413</v>
      </c>
      <c r="J6" s="1979"/>
      <c r="K6" s="1979"/>
      <c r="L6" s="1979"/>
      <c r="M6" s="1979"/>
      <c r="N6" s="1979"/>
      <c r="O6" s="1979"/>
      <c r="P6" s="1980" t="s">
        <v>646</v>
      </c>
      <c r="Q6" s="1981"/>
      <c r="R6" s="1981"/>
    </row>
    <row r="7" spans="1:256" ht="33" customHeight="1" thickBot="1">
      <c r="B7" s="1974"/>
      <c r="C7" s="1975"/>
      <c r="D7" s="1976"/>
      <c r="E7" s="1977"/>
      <c r="F7" s="1977"/>
      <c r="G7" s="1978"/>
      <c r="H7" s="1970"/>
      <c r="I7" s="1982" t="s">
        <v>651</v>
      </c>
      <c r="J7" s="1982"/>
      <c r="K7" s="1982"/>
      <c r="L7" s="1982"/>
      <c r="M7" s="1983" t="s">
        <v>157</v>
      </c>
      <c r="N7" s="1983"/>
      <c r="O7" s="1984" t="s">
        <v>4</v>
      </c>
      <c r="P7" s="1980"/>
    </row>
    <row r="8" spans="1:256" ht="53.25" customHeight="1" thickBot="1">
      <c r="B8" s="1974"/>
      <c r="C8" s="1975"/>
      <c r="D8" s="1976"/>
      <c r="E8" s="1977"/>
      <c r="F8" s="1977"/>
      <c r="G8" s="1978"/>
      <c r="H8" s="1970"/>
      <c r="I8" s="585" t="s">
        <v>224</v>
      </c>
      <c r="J8" s="586" t="s">
        <v>652</v>
      </c>
      <c r="K8" s="587" t="s">
        <v>226</v>
      </c>
      <c r="L8" s="587" t="s">
        <v>653</v>
      </c>
      <c r="M8" s="586" t="s">
        <v>36</v>
      </c>
      <c r="N8" s="586" t="s">
        <v>158</v>
      </c>
      <c r="O8" s="1984"/>
      <c r="P8" s="1980"/>
    </row>
    <row r="9" spans="1:256" s="600" customFormat="1" ht="22.5" customHeight="1">
      <c r="A9" s="588">
        <v>1</v>
      </c>
      <c r="B9" s="589">
        <v>18</v>
      </c>
      <c r="C9" s="590" t="s">
        <v>411</v>
      </c>
      <c r="D9" s="591"/>
      <c r="E9" s="592"/>
      <c r="F9" s="593"/>
      <c r="G9" s="594"/>
      <c r="H9" s="595"/>
      <c r="I9" s="697"/>
      <c r="J9" s="698"/>
      <c r="K9" s="698"/>
      <c r="L9" s="698"/>
      <c r="M9" s="698"/>
      <c r="N9" s="698"/>
      <c r="O9" s="699"/>
      <c r="P9" s="599"/>
      <c r="Q9" s="552"/>
      <c r="R9" s="552"/>
      <c r="S9" s="552"/>
      <c r="T9" s="552"/>
      <c r="U9" s="552"/>
      <c r="V9" s="552"/>
      <c r="W9" s="552"/>
      <c r="X9" s="552"/>
      <c r="Y9" s="552"/>
      <c r="Z9" s="552"/>
      <c r="AA9" s="552"/>
      <c r="AB9" s="552"/>
      <c r="AC9" s="552"/>
      <c r="AD9" s="552"/>
      <c r="AE9" s="552"/>
      <c r="AF9" s="552"/>
      <c r="AG9" s="552"/>
      <c r="AH9" s="552"/>
      <c r="AI9" s="552"/>
      <c r="AJ9" s="552"/>
      <c r="AK9" s="552"/>
      <c r="AL9" s="552"/>
      <c r="AM9" s="552"/>
      <c r="AN9" s="552"/>
      <c r="AO9" s="552"/>
      <c r="AP9" s="552"/>
      <c r="AQ9" s="552"/>
      <c r="AR9" s="552"/>
      <c r="AS9" s="552"/>
      <c r="AT9" s="552"/>
      <c r="AU9" s="552"/>
      <c r="AV9" s="552"/>
      <c r="AW9" s="552"/>
      <c r="AX9" s="552"/>
      <c r="AY9" s="552"/>
      <c r="AZ9" s="552"/>
      <c r="BA9" s="552"/>
      <c r="BB9" s="552"/>
      <c r="BC9" s="552"/>
      <c r="BD9" s="552"/>
      <c r="BE9" s="552"/>
      <c r="BF9" s="552"/>
      <c r="BG9" s="552"/>
      <c r="BH9" s="552"/>
      <c r="BI9" s="552"/>
      <c r="BJ9" s="552"/>
      <c r="BK9" s="552"/>
      <c r="BL9" s="552"/>
      <c r="BM9" s="552"/>
      <c r="BN9" s="552"/>
      <c r="BO9" s="552"/>
      <c r="BP9" s="552"/>
      <c r="BQ9" s="552"/>
      <c r="BR9" s="552"/>
      <c r="BS9" s="552"/>
      <c r="BT9" s="552"/>
      <c r="BU9" s="552"/>
      <c r="BV9" s="552"/>
      <c r="BW9" s="552"/>
      <c r="BX9" s="552"/>
      <c r="BY9" s="552"/>
      <c r="BZ9" s="552"/>
      <c r="CA9" s="552"/>
      <c r="CB9" s="552"/>
      <c r="CC9" s="552"/>
      <c r="CD9" s="552"/>
      <c r="CE9" s="552"/>
      <c r="CF9" s="552"/>
      <c r="CG9" s="552"/>
      <c r="CH9" s="552"/>
      <c r="CI9" s="552"/>
      <c r="CJ9" s="552"/>
      <c r="CK9" s="552"/>
      <c r="CL9" s="552"/>
      <c r="CM9" s="552"/>
      <c r="CN9" s="552"/>
      <c r="CO9" s="552"/>
      <c r="CP9" s="552"/>
      <c r="CQ9" s="552"/>
      <c r="CR9" s="552"/>
      <c r="CS9" s="552"/>
      <c r="CT9" s="552"/>
      <c r="CU9" s="552"/>
      <c r="CV9" s="552"/>
      <c r="CW9" s="552"/>
      <c r="CX9" s="552"/>
      <c r="CY9" s="552"/>
      <c r="CZ9" s="552"/>
      <c r="DA9" s="552"/>
      <c r="DB9" s="552"/>
      <c r="DC9" s="552"/>
      <c r="DD9" s="552"/>
      <c r="DE9" s="552"/>
      <c r="DF9" s="552"/>
      <c r="DG9" s="552"/>
      <c r="DH9" s="552"/>
      <c r="DI9" s="552"/>
      <c r="DJ9" s="552"/>
      <c r="DK9" s="552"/>
      <c r="DL9" s="552"/>
      <c r="DM9" s="552"/>
      <c r="DN9" s="552"/>
      <c r="DO9" s="552"/>
      <c r="DP9" s="552"/>
      <c r="DQ9" s="552"/>
      <c r="DR9" s="552"/>
      <c r="DS9" s="552"/>
      <c r="DT9" s="552"/>
      <c r="DU9" s="552"/>
      <c r="DV9" s="552"/>
      <c r="DW9" s="552"/>
      <c r="DX9" s="552"/>
      <c r="DY9" s="552"/>
      <c r="DZ9" s="552"/>
      <c r="EA9" s="552"/>
      <c r="EB9" s="552"/>
      <c r="EC9" s="552"/>
      <c r="ED9" s="552"/>
      <c r="EE9" s="552"/>
      <c r="EF9" s="552"/>
      <c r="EG9" s="552"/>
      <c r="EH9" s="552"/>
      <c r="EI9" s="552"/>
      <c r="EJ9" s="552"/>
      <c r="EK9" s="552"/>
      <c r="EL9" s="552"/>
      <c r="EM9" s="552"/>
      <c r="EN9" s="552"/>
      <c r="EO9" s="552"/>
      <c r="EP9" s="552"/>
      <c r="EQ9" s="552"/>
      <c r="ER9" s="552"/>
      <c r="ES9" s="552"/>
      <c r="ET9" s="552"/>
      <c r="EU9" s="552"/>
      <c r="EV9" s="552"/>
      <c r="EW9" s="552"/>
      <c r="EX9" s="552"/>
      <c r="EY9" s="552"/>
      <c r="EZ9" s="552"/>
      <c r="FA9" s="552"/>
      <c r="FB9" s="552"/>
      <c r="FC9" s="552"/>
      <c r="FD9" s="552"/>
      <c r="FE9" s="552"/>
      <c r="FF9" s="552"/>
      <c r="FG9" s="552"/>
      <c r="FH9" s="552"/>
      <c r="FI9" s="552"/>
      <c r="FJ9" s="552"/>
      <c r="FK9" s="552"/>
      <c r="FL9" s="552"/>
      <c r="FM9" s="552"/>
      <c r="FN9" s="552"/>
      <c r="FO9" s="552"/>
      <c r="FP9" s="552"/>
      <c r="FQ9" s="552"/>
      <c r="FR9" s="552"/>
      <c r="FS9" s="552"/>
      <c r="FT9" s="552"/>
      <c r="FU9" s="552"/>
      <c r="FV9" s="552"/>
      <c r="FW9" s="552"/>
      <c r="FX9" s="552"/>
      <c r="FY9" s="552"/>
      <c r="FZ9" s="552"/>
      <c r="GA9" s="552"/>
      <c r="GB9" s="552"/>
      <c r="GC9" s="552"/>
      <c r="GD9" s="552"/>
      <c r="GE9" s="552"/>
      <c r="GF9" s="552"/>
      <c r="GG9" s="552"/>
      <c r="GH9" s="552"/>
      <c r="GI9" s="552"/>
      <c r="GJ9" s="552"/>
      <c r="GK9" s="552"/>
      <c r="GL9" s="552"/>
      <c r="GM9" s="552"/>
      <c r="GN9" s="552"/>
      <c r="GO9" s="552"/>
      <c r="GP9" s="552"/>
      <c r="GQ9" s="552"/>
      <c r="GR9" s="552"/>
      <c r="GS9" s="552"/>
      <c r="GT9" s="552"/>
      <c r="GU9" s="552"/>
      <c r="GV9" s="552"/>
      <c r="GW9" s="552"/>
      <c r="GX9" s="552"/>
      <c r="GY9" s="552"/>
      <c r="GZ9" s="552"/>
      <c r="HA9" s="552"/>
      <c r="HB9" s="552"/>
      <c r="HC9" s="552"/>
      <c r="HD9" s="552"/>
      <c r="HE9" s="552"/>
      <c r="HF9" s="552"/>
      <c r="HG9" s="552"/>
      <c r="HH9" s="552"/>
      <c r="HI9" s="552"/>
      <c r="HJ9" s="552"/>
      <c r="HK9" s="552"/>
      <c r="HL9" s="552"/>
      <c r="HM9" s="552"/>
      <c r="HN9" s="552"/>
      <c r="HO9" s="552"/>
      <c r="HP9" s="552"/>
      <c r="HQ9" s="552"/>
      <c r="HR9" s="552"/>
      <c r="HS9" s="552"/>
      <c r="HT9" s="552"/>
      <c r="HU9" s="552"/>
      <c r="HV9" s="552"/>
      <c r="HW9" s="552"/>
      <c r="HX9" s="552"/>
      <c r="HY9" s="552"/>
      <c r="HZ9" s="552"/>
      <c r="IA9" s="552"/>
      <c r="IB9" s="552"/>
      <c r="IC9" s="552"/>
      <c r="ID9" s="552"/>
      <c r="IE9" s="552"/>
      <c r="IF9" s="552"/>
      <c r="IG9" s="552"/>
      <c r="IH9" s="552"/>
      <c r="II9" s="552"/>
      <c r="IJ9" s="552"/>
      <c r="IK9" s="552"/>
      <c r="IL9" s="552"/>
      <c r="IM9" s="552"/>
      <c r="IN9" s="552"/>
      <c r="IO9" s="552"/>
      <c r="IP9" s="552"/>
      <c r="IQ9" s="552"/>
      <c r="IR9" s="552"/>
      <c r="IS9" s="552"/>
      <c r="IT9" s="552"/>
      <c r="IU9" s="552"/>
      <c r="IV9" s="552"/>
    </row>
    <row r="10" spans="1:256" s="600" customFormat="1" ht="22.5" customHeight="1">
      <c r="A10" s="588">
        <v>2</v>
      </c>
      <c r="B10" s="601"/>
      <c r="C10" s="559">
        <v>2</v>
      </c>
      <c r="D10" s="700" t="s">
        <v>669</v>
      </c>
      <c r="E10" s="604">
        <f>F10+G10+O11+P11</f>
        <v>9280000</v>
      </c>
      <c r="F10" s="626">
        <f>324476+484396+427002+450929+50000+2832016</f>
        <v>4568819</v>
      </c>
      <c r="G10" s="614">
        <v>35972</v>
      </c>
      <c r="H10" s="615" t="s">
        <v>231</v>
      </c>
      <c r="I10" s="701"/>
      <c r="J10" s="625"/>
      <c r="K10" s="624"/>
      <c r="L10" s="624"/>
      <c r="M10" s="624"/>
      <c r="N10" s="624"/>
      <c r="O10" s="563"/>
      <c r="P10" s="611"/>
      <c r="Q10" s="552"/>
      <c r="R10" s="552"/>
      <c r="S10" s="552"/>
      <c r="T10" s="552"/>
      <c r="U10" s="552"/>
      <c r="V10" s="552"/>
      <c r="W10" s="552"/>
      <c r="X10" s="552"/>
      <c r="Y10" s="552"/>
      <c r="Z10" s="552"/>
      <c r="AA10" s="552"/>
      <c r="AB10" s="552"/>
      <c r="AC10" s="552"/>
      <c r="AD10" s="552"/>
      <c r="AE10" s="552"/>
      <c r="AF10" s="552"/>
      <c r="AG10" s="552"/>
      <c r="AH10" s="552"/>
      <c r="AI10" s="552"/>
      <c r="AJ10" s="552"/>
      <c r="AK10" s="552"/>
      <c r="AL10" s="552"/>
      <c r="AM10" s="552"/>
      <c r="AN10" s="552"/>
      <c r="AO10" s="552"/>
      <c r="AP10" s="552"/>
      <c r="AQ10" s="552"/>
      <c r="AR10" s="552"/>
      <c r="AS10" s="552"/>
      <c r="AT10" s="552"/>
      <c r="AU10" s="552"/>
      <c r="AV10" s="552"/>
      <c r="AW10" s="552"/>
      <c r="AX10" s="552"/>
      <c r="AY10" s="552"/>
      <c r="AZ10" s="552"/>
      <c r="BA10" s="552"/>
      <c r="BB10" s="552"/>
      <c r="BC10" s="552"/>
      <c r="BD10" s="552"/>
      <c r="BE10" s="552"/>
      <c r="BF10" s="552"/>
      <c r="BG10" s="552"/>
      <c r="BH10" s="552"/>
      <c r="BI10" s="552"/>
      <c r="BJ10" s="552"/>
      <c r="BK10" s="552"/>
      <c r="BL10" s="552"/>
      <c r="BM10" s="552"/>
      <c r="BN10" s="552"/>
      <c r="BO10" s="552"/>
      <c r="BP10" s="552"/>
      <c r="BQ10" s="552"/>
      <c r="BR10" s="552"/>
      <c r="BS10" s="552"/>
      <c r="BT10" s="552"/>
      <c r="BU10" s="552"/>
      <c r="BV10" s="552"/>
      <c r="BW10" s="552"/>
      <c r="BX10" s="552"/>
      <c r="BY10" s="552"/>
      <c r="BZ10" s="552"/>
      <c r="CA10" s="552"/>
      <c r="CB10" s="552"/>
      <c r="CC10" s="552"/>
      <c r="CD10" s="552"/>
      <c r="CE10" s="552"/>
      <c r="CF10" s="552"/>
      <c r="CG10" s="552"/>
      <c r="CH10" s="552"/>
      <c r="CI10" s="552"/>
      <c r="CJ10" s="552"/>
      <c r="CK10" s="552"/>
      <c r="CL10" s="552"/>
      <c r="CM10" s="552"/>
      <c r="CN10" s="552"/>
      <c r="CO10" s="552"/>
      <c r="CP10" s="552"/>
      <c r="CQ10" s="552"/>
      <c r="CR10" s="552"/>
      <c r="CS10" s="552"/>
      <c r="CT10" s="552"/>
      <c r="CU10" s="552"/>
      <c r="CV10" s="552"/>
      <c r="CW10" s="552"/>
      <c r="CX10" s="552"/>
      <c r="CY10" s="552"/>
      <c r="CZ10" s="552"/>
      <c r="DA10" s="552"/>
      <c r="DB10" s="552"/>
      <c r="DC10" s="552"/>
      <c r="DD10" s="552"/>
      <c r="DE10" s="552"/>
      <c r="DF10" s="552"/>
      <c r="DG10" s="552"/>
      <c r="DH10" s="552"/>
      <c r="DI10" s="552"/>
      <c r="DJ10" s="552"/>
      <c r="DK10" s="552"/>
      <c r="DL10" s="552"/>
      <c r="DM10" s="552"/>
      <c r="DN10" s="552"/>
      <c r="DO10" s="552"/>
      <c r="DP10" s="552"/>
      <c r="DQ10" s="552"/>
      <c r="DR10" s="552"/>
      <c r="DS10" s="552"/>
      <c r="DT10" s="552"/>
      <c r="DU10" s="552"/>
      <c r="DV10" s="552"/>
      <c r="DW10" s="552"/>
      <c r="DX10" s="552"/>
      <c r="DY10" s="552"/>
      <c r="DZ10" s="552"/>
      <c r="EA10" s="552"/>
      <c r="EB10" s="552"/>
      <c r="EC10" s="552"/>
      <c r="ED10" s="552"/>
      <c r="EE10" s="552"/>
      <c r="EF10" s="552"/>
      <c r="EG10" s="552"/>
      <c r="EH10" s="552"/>
      <c r="EI10" s="552"/>
      <c r="EJ10" s="552"/>
      <c r="EK10" s="552"/>
      <c r="EL10" s="552"/>
      <c r="EM10" s="552"/>
      <c r="EN10" s="552"/>
      <c r="EO10" s="552"/>
      <c r="EP10" s="552"/>
      <c r="EQ10" s="552"/>
      <c r="ER10" s="552"/>
      <c r="ES10" s="552"/>
      <c r="ET10" s="552"/>
      <c r="EU10" s="552"/>
      <c r="EV10" s="552"/>
      <c r="EW10" s="552"/>
      <c r="EX10" s="552"/>
      <c r="EY10" s="552"/>
      <c r="EZ10" s="552"/>
      <c r="FA10" s="552"/>
      <c r="FB10" s="552"/>
      <c r="FC10" s="552"/>
      <c r="FD10" s="552"/>
      <c r="FE10" s="552"/>
      <c r="FF10" s="552"/>
      <c r="FG10" s="552"/>
      <c r="FH10" s="552"/>
      <c r="FI10" s="552"/>
      <c r="FJ10" s="552"/>
      <c r="FK10" s="552"/>
      <c r="FL10" s="552"/>
      <c r="FM10" s="552"/>
      <c r="FN10" s="552"/>
      <c r="FO10" s="552"/>
      <c r="FP10" s="552"/>
      <c r="FQ10" s="552"/>
      <c r="FR10" s="552"/>
      <c r="FS10" s="552"/>
      <c r="FT10" s="552"/>
      <c r="FU10" s="552"/>
      <c r="FV10" s="552"/>
      <c r="FW10" s="552"/>
      <c r="FX10" s="552"/>
      <c r="FY10" s="552"/>
      <c r="FZ10" s="552"/>
      <c r="GA10" s="552"/>
      <c r="GB10" s="552"/>
      <c r="GC10" s="552"/>
      <c r="GD10" s="552"/>
      <c r="GE10" s="552"/>
      <c r="GF10" s="552"/>
      <c r="GG10" s="552"/>
      <c r="GH10" s="552"/>
      <c r="GI10" s="552"/>
      <c r="GJ10" s="552"/>
      <c r="GK10" s="552"/>
      <c r="GL10" s="552"/>
      <c r="GM10" s="552"/>
      <c r="GN10" s="552"/>
      <c r="GO10" s="552"/>
      <c r="GP10" s="552"/>
      <c r="GQ10" s="552"/>
      <c r="GR10" s="552"/>
      <c r="GS10" s="552"/>
      <c r="GT10" s="552"/>
      <c r="GU10" s="552"/>
      <c r="GV10" s="552"/>
      <c r="GW10" s="552"/>
      <c r="GX10" s="552"/>
      <c r="GY10" s="552"/>
      <c r="GZ10" s="552"/>
      <c r="HA10" s="552"/>
      <c r="HB10" s="552"/>
      <c r="HC10" s="552"/>
      <c r="HD10" s="552"/>
      <c r="HE10" s="552"/>
      <c r="HF10" s="552"/>
      <c r="HG10" s="552"/>
      <c r="HH10" s="552"/>
      <c r="HI10" s="552"/>
      <c r="HJ10" s="552"/>
      <c r="HK10" s="552"/>
      <c r="HL10" s="552"/>
      <c r="HM10" s="552"/>
      <c r="HN10" s="552"/>
      <c r="HO10" s="552"/>
      <c r="HP10" s="552"/>
      <c r="HQ10" s="552"/>
      <c r="HR10" s="552"/>
      <c r="HS10" s="552"/>
      <c r="HT10" s="552"/>
      <c r="HU10" s="552"/>
      <c r="HV10" s="552"/>
      <c r="HW10" s="552"/>
      <c r="HX10" s="552"/>
      <c r="HY10" s="552"/>
      <c r="HZ10" s="552"/>
      <c r="IA10" s="552"/>
      <c r="IB10" s="552"/>
      <c r="IC10" s="552"/>
      <c r="ID10" s="552"/>
      <c r="IE10" s="552"/>
      <c r="IF10" s="552"/>
      <c r="IG10" s="552"/>
      <c r="IH10" s="552"/>
      <c r="II10" s="552"/>
      <c r="IJ10" s="552"/>
      <c r="IK10" s="552"/>
      <c r="IL10" s="552"/>
      <c r="IM10" s="552"/>
      <c r="IN10" s="552"/>
      <c r="IO10" s="552"/>
      <c r="IP10" s="552"/>
      <c r="IQ10" s="552"/>
      <c r="IR10" s="552"/>
      <c r="IS10" s="552"/>
      <c r="IT10" s="552"/>
      <c r="IU10" s="552"/>
      <c r="IV10" s="552"/>
    </row>
    <row r="11" spans="1:256" s="708" customFormat="1" ht="18" customHeight="1">
      <c r="A11" s="588">
        <v>3</v>
      </c>
      <c r="B11" s="702"/>
      <c r="C11" s="703"/>
      <c r="D11" s="704" t="s">
        <v>198</v>
      </c>
      <c r="E11" s="604"/>
      <c r="F11" s="626"/>
      <c r="G11" s="614"/>
      <c r="H11" s="705"/>
      <c r="I11" s="701"/>
      <c r="J11" s="625"/>
      <c r="K11" s="624">
        <v>1888</v>
      </c>
      <c r="L11" s="624"/>
      <c r="M11" s="624">
        <v>4673321</v>
      </c>
      <c r="N11" s="624"/>
      <c r="O11" s="616">
        <f>SUM(I11:N11)</f>
        <v>4675209</v>
      </c>
      <c r="P11" s="706"/>
      <c r="Q11" s="707"/>
    </row>
    <row r="12" spans="1:256" s="708" customFormat="1" ht="18" customHeight="1">
      <c r="A12" s="588">
        <v>4</v>
      </c>
      <c r="B12" s="702"/>
      <c r="C12" s="703"/>
      <c r="D12" s="617" t="s">
        <v>765</v>
      </c>
      <c r="E12" s="604"/>
      <c r="F12" s="626"/>
      <c r="G12" s="614"/>
      <c r="H12" s="705"/>
      <c r="I12" s="630"/>
      <c r="J12" s="627"/>
      <c r="K12" s="627">
        <v>1888</v>
      </c>
      <c r="L12" s="627"/>
      <c r="M12" s="627">
        <v>4673321</v>
      </c>
      <c r="N12" s="627"/>
      <c r="O12" s="563">
        <f>SUM(I12:N12)</f>
        <v>4675209</v>
      </c>
      <c r="P12" s="709"/>
      <c r="Q12" s="707"/>
    </row>
    <row r="13" spans="1:256" s="708" customFormat="1" ht="18" customHeight="1">
      <c r="A13" s="588">
        <v>5</v>
      </c>
      <c r="B13" s="702"/>
      <c r="C13" s="703"/>
      <c r="D13" s="620" t="s">
        <v>1022</v>
      </c>
      <c r="E13" s="604"/>
      <c r="F13" s="626"/>
      <c r="G13" s="614"/>
      <c r="H13" s="705"/>
      <c r="I13" s="710"/>
      <c r="J13" s="711"/>
      <c r="K13" s="629">
        <v>100</v>
      </c>
      <c r="L13" s="629"/>
      <c r="M13" s="629">
        <v>102234</v>
      </c>
      <c r="N13" s="712"/>
      <c r="O13" s="562">
        <f>SUM(I13:N13)</f>
        <v>102334</v>
      </c>
      <c r="P13" s="709"/>
      <c r="Q13" s="707"/>
    </row>
    <row r="14" spans="1:256" s="600" customFormat="1" ht="22.5" customHeight="1">
      <c r="A14" s="588">
        <v>6</v>
      </c>
      <c r="B14" s="601"/>
      <c r="C14" s="559">
        <v>4</v>
      </c>
      <c r="D14" s="715" t="s">
        <v>670</v>
      </c>
      <c r="E14" s="604">
        <f>F14+G14+O15+P15</f>
        <v>66111</v>
      </c>
      <c r="F14" s="626">
        <v>35789</v>
      </c>
      <c r="G14" s="614">
        <v>25052</v>
      </c>
      <c r="H14" s="615" t="s">
        <v>231</v>
      </c>
      <c r="I14" s="701"/>
      <c r="J14" s="625"/>
      <c r="K14" s="624"/>
      <c r="L14" s="624"/>
      <c r="M14" s="624"/>
      <c r="N14" s="624"/>
      <c r="O14" s="616"/>
      <c r="P14" s="611"/>
      <c r="Q14" s="552"/>
      <c r="R14" s="552"/>
      <c r="S14" s="552"/>
      <c r="T14" s="552"/>
      <c r="U14" s="552"/>
      <c r="V14" s="552"/>
      <c r="W14" s="552"/>
      <c r="X14" s="552"/>
      <c r="Y14" s="552"/>
      <c r="Z14" s="552"/>
      <c r="AA14" s="552"/>
      <c r="AB14" s="552"/>
      <c r="AC14" s="552"/>
      <c r="AD14" s="552"/>
      <c r="AE14" s="552"/>
      <c r="AF14" s="552"/>
      <c r="AG14" s="552"/>
      <c r="AH14" s="552"/>
      <c r="AI14" s="552"/>
      <c r="AJ14" s="552"/>
      <c r="AK14" s="552"/>
      <c r="AL14" s="552"/>
      <c r="AM14" s="552"/>
      <c r="AN14" s="552"/>
      <c r="AO14" s="552"/>
      <c r="AP14" s="552"/>
      <c r="AQ14" s="552"/>
      <c r="AR14" s="552"/>
      <c r="AS14" s="552"/>
      <c r="AT14" s="552"/>
      <c r="AU14" s="552"/>
      <c r="AV14" s="552"/>
      <c r="AW14" s="552"/>
      <c r="AX14" s="552"/>
      <c r="AY14" s="552"/>
      <c r="AZ14" s="552"/>
      <c r="BA14" s="552"/>
      <c r="BB14" s="552"/>
      <c r="BC14" s="552"/>
      <c r="BD14" s="552"/>
      <c r="BE14" s="552"/>
      <c r="BF14" s="552"/>
      <c r="BG14" s="552"/>
      <c r="BH14" s="552"/>
      <c r="BI14" s="552"/>
      <c r="BJ14" s="552"/>
      <c r="BK14" s="552"/>
      <c r="BL14" s="552"/>
      <c r="BM14" s="552"/>
      <c r="BN14" s="552"/>
      <c r="BO14" s="552"/>
      <c r="BP14" s="552"/>
      <c r="BQ14" s="552"/>
      <c r="BR14" s="552"/>
      <c r="BS14" s="552"/>
      <c r="BT14" s="552"/>
      <c r="BU14" s="552"/>
      <c r="BV14" s="552"/>
      <c r="BW14" s="552"/>
      <c r="BX14" s="552"/>
      <c r="BY14" s="552"/>
      <c r="BZ14" s="552"/>
      <c r="CA14" s="552"/>
      <c r="CB14" s="552"/>
      <c r="CC14" s="552"/>
      <c r="CD14" s="552"/>
      <c r="CE14" s="552"/>
      <c r="CF14" s="552"/>
      <c r="CG14" s="552"/>
      <c r="CH14" s="552"/>
      <c r="CI14" s="552"/>
      <c r="CJ14" s="552"/>
      <c r="CK14" s="552"/>
      <c r="CL14" s="552"/>
      <c r="CM14" s="552"/>
      <c r="CN14" s="552"/>
      <c r="CO14" s="552"/>
      <c r="CP14" s="552"/>
      <c r="CQ14" s="552"/>
      <c r="CR14" s="552"/>
      <c r="CS14" s="552"/>
      <c r="CT14" s="552"/>
      <c r="CU14" s="552"/>
      <c r="CV14" s="552"/>
      <c r="CW14" s="552"/>
      <c r="CX14" s="552"/>
      <c r="CY14" s="552"/>
      <c r="CZ14" s="552"/>
      <c r="DA14" s="552"/>
      <c r="DB14" s="552"/>
      <c r="DC14" s="552"/>
      <c r="DD14" s="552"/>
      <c r="DE14" s="552"/>
      <c r="DF14" s="552"/>
      <c r="DG14" s="552"/>
      <c r="DH14" s="552"/>
      <c r="DI14" s="552"/>
      <c r="DJ14" s="552"/>
      <c r="DK14" s="552"/>
      <c r="DL14" s="552"/>
      <c r="DM14" s="552"/>
      <c r="DN14" s="552"/>
      <c r="DO14" s="552"/>
      <c r="DP14" s="552"/>
      <c r="DQ14" s="552"/>
      <c r="DR14" s="552"/>
      <c r="DS14" s="552"/>
      <c r="DT14" s="552"/>
      <c r="DU14" s="552"/>
      <c r="DV14" s="552"/>
      <c r="DW14" s="552"/>
      <c r="DX14" s="552"/>
      <c r="DY14" s="552"/>
      <c r="DZ14" s="552"/>
      <c r="EA14" s="552"/>
      <c r="EB14" s="552"/>
      <c r="EC14" s="552"/>
      <c r="ED14" s="552"/>
      <c r="EE14" s="552"/>
      <c r="EF14" s="552"/>
      <c r="EG14" s="552"/>
      <c r="EH14" s="552"/>
      <c r="EI14" s="552"/>
      <c r="EJ14" s="552"/>
      <c r="EK14" s="552"/>
      <c r="EL14" s="552"/>
      <c r="EM14" s="552"/>
      <c r="EN14" s="552"/>
      <c r="EO14" s="552"/>
      <c r="EP14" s="552"/>
      <c r="EQ14" s="552"/>
      <c r="ER14" s="552"/>
      <c r="ES14" s="552"/>
      <c r="ET14" s="552"/>
      <c r="EU14" s="552"/>
      <c r="EV14" s="552"/>
      <c r="EW14" s="552"/>
      <c r="EX14" s="552"/>
      <c r="EY14" s="552"/>
      <c r="EZ14" s="552"/>
      <c r="FA14" s="552"/>
      <c r="FB14" s="552"/>
      <c r="FC14" s="552"/>
      <c r="FD14" s="552"/>
      <c r="FE14" s="552"/>
      <c r="FF14" s="552"/>
      <c r="FG14" s="552"/>
      <c r="FH14" s="552"/>
      <c r="FI14" s="552"/>
      <c r="FJ14" s="552"/>
      <c r="FK14" s="552"/>
      <c r="FL14" s="552"/>
      <c r="FM14" s="552"/>
      <c r="FN14" s="552"/>
      <c r="FO14" s="552"/>
      <c r="FP14" s="552"/>
      <c r="FQ14" s="552"/>
      <c r="FR14" s="552"/>
      <c r="FS14" s="552"/>
      <c r="FT14" s="552"/>
      <c r="FU14" s="552"/>
      <c r="FV14" s="552"/>
      <c r="FW14" s="552"/>
      <c r="FX14" s="552"/>
      <c r="FY14" s="552"/>
      <c r="FZ14" s="552"/>
      <c r="GA14" s="552"/>
      <c r="GB14" s="552"/>
      <c r="GC14" s="552"/>
      <c r="GD14" s="552"/>
      <c r="GE14" s="552"/>
      <c r="GF14" s="552"/>
      <c r="GG14" s="552"/>
      <c r="GH14" s="552"/>
      <c r="GI14" s="552"/>
      <c r="GJ14" s="552"/>
      <c r="GK14" s="552"/>
      <c r="GL14" s="552"/>
      <c r="GM14" s="552"/>
      <c r="GN14" s="552"/>
      <c r="GO14" s="552"/>
      <c r="GP14" s="552"/>
      <c r="GQ14" s="552"/>
      <c r="GR14" s="552"/>
      <c r="GS14" s="552"/>
      <c r="GT14" s="552"/>
      <c r="GU14" s="552"/>
      <c r="GV14" s="552"/>
      <c r="GW14" s="552"/>
      <c r="GX14" s="552"/>
      <c r="GY14" s="552"/>
      <c r="GZ14" s="552"/>
      <c r="HA14" s="552"/>
      <c r="HB14" s="552"/>
      <c r="HC14" s="552"/>
      <c r="HD14" s="552"/>
      <c r="HE14" s="552"/>
      <c r="HF14" s="552"/>
      <c r="HG14" s="552"/>
      <c r="HH14" s="552"/>
      <c r="HI14" s="552"/>
      <c r="HJ14" s="552"/>
      <c r="HK14" s="552"/>
      <c r="HL14" s="552"/>
      <c r="HM14" s="552"/>
      <c r="HN14" s="552"/>
      <c r="HO14" s="552"/>
      <c r="HP14" s="552"/>
      <c r="HQ14" s="552"/>
      <c r="HR14" s="552"/>
      <c r="HS14" s="552"/>
      <c r="HT14" s="552"/>
      <c r="HU14" s="552"/>
      <c r="HV14" s="552"/>
      <c r="HW14" s="552"/>
      <c r="HX14" s="552"/>
      <c r="HY14" s="552"/>
      <c r="HZ14" s="552"/>
      <c r="IA14" s="552"/>
      <c r="IB14" s="552"/>
      <c r="IC14" s="552"/>
      <c r="ID14" s="552"/>
      <c r="IE14" s="552"/>
      <c r="IF14" s="552"/>
      <c r="IG14" s="552"/>
      <c r="IH14" s="552"/>
      <c r="II14" s="552"/>
      <c r="IJ14" s="552"/>
      <c r="IK14" s="552"/>
      <c r="IL14" s="552"/>
      <c r="IM14" s="552"/>
      <c r="IN14" s="552"/>
      <c r="IO14" s="552"/>
      <c r="IP14" s="552"/>
      <c r="IQ14" s="552"/>
      <c r="IR14" s="552"/>
      <c r="IS14" s="552"/>
      <c r="IT14" s="552"/>
      <c r="IU14" s="552"/>
      <c r="IV14" s="552"/>
    </row>
    <row r="15" spans="1:256" s="600" customFormat="1" ht="18" customHeight="1">
      <c r="A15" s="588">
        <v>7</v>
      </c>
      <c r="B15" s="601"/>
      <c r="C15" s="556"/>
      <c r="D15" s="613" t="s">
        <v>198</v>
      </c>
      <c r="E15" s="604"/>
      <c r="F15" s="626"/>
      <c r="G15" s="614"/>
      <c r="H15" s="615"/>
      <c r="I15" s="701"/>
      <c r="J15" s="625"/>
      <c r="K15" s="624">
        <v>5270</v>
      </c>
      <c r="L15" s="624"/>
      <c r="M15" s="624"/>
      <c r="N15" s="624"/>
      <c r="O15" s="616">
        <f>SUM(I15:N15)</f>
        <v>5270</v>
      </c>
      <c r="P15" s="611"/>
      <c r="Q15" s="552"/>
      <c r="R15" s="552"/>
      <c r="S15" s="552"/>
      <c r="T15" s="552"/>
      <c r="U15" s="552"/>
      <c r="V15" s="552"/>
      <c r="W15" s="552"/>
      <c r="X15" s="552"/>
      <c r="Y15" s="552"/>
      <c r="Z15" s="552"/>
      <c r="AA15" s="552"/>
      <c r="AB15" s="552"/>
      <c r="AC15" s="552"/>
      <c r="AD15" s="552"/>
      <c r="AE15" s="552"/>
      <c r="AF15" s="552"/>
      <c r="AG15" s="552"/>
      <c r="AH15" s="552"/>
      <c r="AI15" s="552"/>
      <c r="AJ15" s="552"/>
      <c r="AK15" s="552"/>
      <c r="AL15" s="552"/>
      <c r="AM15" s="552"/>
      <c r="AN15" s="552"/>
      <c r="AO15" s="552"/>
      <c r="AP15" s="552"/>
      <c r="AQ15" s="552"/>
      <c r="AR15" s="552"/>
      <c r="AS15" s="552"/>
      <c r="AT15" s="552"/>
      <c r="AU15" s="552"/>
      <c r="AV15" s="552"/>
      <c r="AW15" s="552"/>
      <c r="AX15" s="552"/>
      <c r="AY15" s="552"/>
      <c r="AZ15" s="552"/>
      <c r="BA15" s="552"/>
      <c r="BB15" s="552"/>
      <c r="BC15" s="552"/>
      <c r="BD15" s="552"/>
      <c r="BE15" s="552"/>
      <c r="BF15" s="552"/>
      <c r="BG15" s="552"/>
      <c r="BH15" s="552"/>
      <c r="BI15" s="552"/>
      <c r="BJ15" s="552"/>
      <c r="BK15" s="552"/>
      <c r="BL15" s="552"/>
      <c r="BM15" s="552"/>
      <c r="BN15" s="552"/>
      <c r="BO15" s="552"/>
      <c r="BP15" s="552"/>
      <c r="BQ15" s="552"/>
      <c r="BR15" s="552"/>
      <c r="BS15" s="552"/>
      <c r="BT15" s="552"/>
      <c r="BU15" s="552"/>
      <c r="BV15" s="552"/>
      <c r="BW15" s="552"/>
      <c r="BX15" s="552"/>
      <c r="BY15" s="552"/>
      <c r="BZ15" s="552"/>
      <c r="CA15" s="552"/>
      <c r="CB15" s="552"/>
      <c r="CC15" s="552"/>
      <c r="CD15" s="552"/>
      <c r="CE15" s="552"/>
      <c r="CF15" s="552"/>
      <c r="CG15" s="552"/>
      <c r="CH15" s="552"/>
      <c r="CI15" s="552"/>
      <c r="CJ15" s="552"/>
      <c r="CK15" s="552"/>
      <c r="CL15" s="552"/>
      <c r="CM15" s="552"/>
      <c r="CN15" s="552"/>
      <c r="CO15" s="552"/>
      <c r="CP15" s="552"/>
      <c r="CQ15" s="552"/>
      <c r="CR15" s="552"/>
      <c r="CS15" s="552"/>
      <c r="CT15" s="552"/>
      <c r="CU15" s="552"/>
      <c r="CV15" s="552"/>
      <c r="CW15" s="552"/>
      <c r="CX15" s="552"/>
      <c r="CY15" s="552"/>
      <c r="CZ15" s="552"/>
      <c r="DA15" s="552"/>
      <c r="DB15" s="552"/>
      <c r="DC15" s="552"/>
      <c r="DD15" s="552"/>
      <c r="DE15" s="552"/>
      <c r="DF15" s="552"/>
      <c r="DG15" s="552"/>
      <c r="DH15" s="552"/>
      <c r="DI15" s="552"/>
      <c r="DJ15" s="552"/>
      <c r="DK15" s="552"/>
      <c r="DL15" s="552"/>
      <c r="DM15" s="552"/>
      <c r="DN15" s="552"/>
      <c r="DO15" s="552"/>
      <c r="DP15" s="552"/>
      <c r="DQ15" s="552"/>
      <c r="DR15" s="552"/>
      <c r="DS15" s="552"/>
      <c r="DT15" s="552"/>
      <c r="DU15" s="552"/>
      <c r="DV15" s="552"/>
      <c r="DW15" s="552"/>
      <c r="DX15" s="552"/>
      <c r="DY15" s="552"/>
      <c r="DZ15" s="552"/>
      <c r="EA15" s="552"/>
      <c r="EB15" s="552"/>
      <c r="EC15" s="552"/>
      <c r="ED15" s="552"/>
      <c r="EE15" s="552"/>
      <c r="EF15" s="552"/>
      <c r="EG15" s="552"/>
      <c r="EH15" s="552"/>
      <c r="EI15" s="552"/>
      <c r="EJ15" s="552"/>
      <c r="EK15" s="552"/>
      <c r="EL15" s="552"/>
      <c r="EM15" s="552"/>
      <c r="EN15" s="552"/>
      <c r="EO15" s="552"/>
      <c r="EP15" s="552"/>
      <c r="EQ15" s="552"/>
      <c r="ER15" s="552"/>
      <c r="ES15" s="552"/>
      <c r="ET15" s="552"/>
      <c r="EU15" s="552"/>
      <c r="EV15" s="552"/>
      <c r="EW15" s="552"/>
      <c r="EX15" s="552"/>
      <c r="EY15" s="552"/>
      <c r="EZ15" s="552"/>
      <c r="FA15" s="552"/>
      <c r="FB15" s="552"/>
      <c r="FC15" s="552"/>
      <c r="FD15" s="552"/>
      <c r="FE15" s="552"/>
      <c r="FF15" s="552"/>
      <c r="FG15" s="552"/>
      <c r="FH15" s="552"/>
      <c r="FI15" s="552"/>
      <c r="FJ15" s="552"/>
      <c r="FK15" s="552"/>
      <c r="FL15" s="552"/>
      <c r="FM15" s="552"/>
      <c r="FN15" s="552"/>
      <c r="FO15" s="552"/>
      <c r="FP15" s="552"/>
      <c r="FQ15" s="552"/>
      <c r="FR15" s="552"/>
      <c r="FS15" s="552"/>
      <c r="FT15" s="552"/>
      <c r="FU15" s="552"/>
      <c r="FV15" s="552"/>
      <c r="FW15" s="552"/>
      <c r="FX15" s="552"/>
      <c r="FY15" s="552"/>
      <c r="FZ15" s="552"/>
      <c r="GA15" s="552"/>
      <c r="GB15" s="552"/>
      <c r="GC15" s="552"/>
      <c r="GD15" s="552"/>
      <c r="GE15" s="552"/>
      <c r="GF15" s="552"/>
      <c r="GG15" s="552"/>
      <c r="GH15" s="552"/>
      <c r="GI15" s="552"/>
      <c r="GJ15" s="552"/>
      <c r="GK15" s="552"/>
      <c r="GL15" s="552"/>
      <c r="GM15" s="552"/>
      <c r="GN15" s="552"/>
      <c r="GO15" s="552"/>
      <c r="GP15" s="552"/>
      <c r="GQ15" s="552"/>
      <c r="GR15" s="552"/>
      <c r="GS15" s="552"/>
      <c r="GT15" s="552"/>
      <c r="GU15" s="552"/>
      <c r="GV15" s="552"/>
      <c r="GW15" s="552"/>
      <c r="GX15" s="552"/>
      <c r="GY15" s="552"/>
      <c r="GZ15" s="552"/>
      <c r="HA15" s="552"/>
      <c r="HB15" s="552"/>
      <c r="HC15" s="552"/>
      <c r="HD15" s="552"/>
      <c r="HE15" s="552"/>
      <c r="HF15" s="552"/>
      <c r="HG15" s="552"/>
      <c r="HH15" s="552"/>
      <c r="HI15" s="552"/>
      <c r="HJ15" s="552"/>
      <c r="HK15" s="552"/>
      <c r="HL15" s="552"/>
      <c r="HM15" s="552"/>
      <c r="HN15" s="552"/>
      <c r="HO15" s="552"/>
      <c r="HP15" s="552"/>
      <c r="HQ15" s="552"/>
      <c r="HR15" s="552"/>
      <c r="HS15" s="552"/>
      <c r="HT15" s="552"/>
      <c r="HU15" s="552"/>
      <c r="HV15" s="552"/>
      <c r="HW15" s="552"/>
      <c r="HX15" s="552"/>
      <c r="HY15" s="552"/>
      <c r="HZ15" s="552"/>
      <c r="IA15" s="552"/>
      <c r="IB15" s="552"/>
      <c r="IC15" s="552"/>
      <c r="ID15" s="552"/>
      <c r="IE15" s="552"/>
      <c r="IF15" s="552"/>
      <c r="IG15" s="552"/>
      <c r="IH15" s="552"/>
      <c r="II15" s="552"/>
      <c r="IJ15" s="552"/>
      <c r="IK15" s="552"/>
      <c r="IL15" s="552"/>
      <c r="IM15" s="552"/>
      <c r="IN15" s="552"/>
      <c r="IO15" s="552"/>
      <c r="IP15" s="552"/>
      <c r="IQ15" s="552"/>
      <c r="IR15" s="552"/>
      <c r="IS15" s="552"/>
      <c r="IT15" s="552"/>
      <c r="IU15" s="552"/>
      <c r="IV15" s="552"/>
    </row>
    <row r="16" spans="1:256" s="600" customFormat="1" ht="18" customHeight="1">
      <c r="A16" s="588">
        <v>8</v>
      </c>
      <c r="B16" s="601"/>
      <c r="C16" s="556"/>
      <c r="D16" s="617" t="s">
        <v>765</v>
      </c>
      <c r="E16" s="604"/>
      <c r="F16" s="626"/>
      <c r="G16" s="614"/>
      <c r="H16" s="615"/>
      <c r="I16" s="701"/>
      <c r="J16" s="625"/>
      <c r="K16" s="627">
        <v>5281</v>
      </c>
      <c r="L16" s="624"/>
      <c r="M16" s="624"/>
      <c r="N16" s="624"/>
      <c r="O16" s="563">
        <f>SUM(I16:N16)</f>
        <v>5281</v>
      </c>
      <c r="P16" s="611"/>
      <c r="Q16" s="552"/>
      <c r="R16" s="552"/>
      <c r="S16" s="552"/>
      <c r="T16" s="552"/>
      <c r="U16" s="552"/>
      <c r="V16" s="552"/>
      <c r="W16" s="552"/>
      <c r="X16" s="552"/>
      <c r="Y16" s="552"/>
      <c r="Z16" s="552"/>
      <c r="AA16" s="552"/>
      <c r="AB16" s="552"/>
      <c r="AC16" s="552"/>
      <c r="AD16" s="552"/>
      <c r="AE16" s="552"/>
      <c r="AF16" s="552"/>
      <c r="AG16" s="552"/>
      <c r="AH16" s="552"/>
      <c r="AI16" s="552"/>
      <c r="AJ16" s="552"/>
      <c r="AK16" s="552"/>
      <c r="AL16" s="552"/>
      <c r="AM16" s="552"/>
      <c r="AN16" s="552"/>
      <c r="AO16" s="552"/>
      <c r="AP16" s="552"/>
      <c r="AQ16" s="552"/>
      <c r="AR16" s="552"/>
      <c r="AS16" s="552"/>
      <c r="AT16" s="552"/>
      <c r="AU16" s="552"/>
      <c r="AV16" s="552"/>
      <c r="AW16" s="552"/>
      <c r="AX16" s="552"/>
      <c r="AY16" s="552"/>
      <c r="AZ16" s="552"/>
      <c r="BA16" s="552"/>
      <c r="BB16" s="552"/>
      <c r="BC16" s="552"/>
      <c r="BD16" s="552"/>
      <c r="BE16" s="552"/>
      <c r="BF16" s="552"/>
      <c r="BG16" s="552"/>
      <c r="BH16" s="552"/>
      <c r="BI16" s="552"/>
      <c r="BJ16" s="552"/>
      <c r="BK16" s="552"/>
      <c r="BL16" s="552"/>
      <c r="BM16" s="552"/>
      <c r="BN16" s="552"/>
      <c r="BO16" s="552"/>
      <c r="BP16" s="552"/>
      <c r="BQ16" s="552"/>
      <c r="BR16" s="552"/>
      <c r="BS16" s="552"/>
      <c r="BT16" s="552"/>
      <c r="BU16" s="552"/>
      <c r="BV16" s="552"/>
      <c r="BW16" s="552"/>
      <c r="BX16" s="552"/>
      <c r="BY16" s="552"/>
      <c r="BZ16" s="552"/>
      <c r="CA16" s="552"/>
      <c r="CB16" s="552"/>
      <c r="CC16" s="552"/>
      <c r="CD16" s="552"/>
      <c r="CE16" s="552"/>
      <c r="CF16" s="552"/>
      <c r="CG16" s="552"/>
      <c r="CH16" s="552"/>
      <c r="CI16" s="552"/>
      <c r="CJ16" s="552"/>
      <c r="CK16" s="552"/>
      <c r="CL16" s="552"/>
      <c r="CM16" s="552"/>
      <c r="CN16" s="552"/>
      <c r="CO16" s="552"/>
      <c r="CP16" s="552"/>
      <c r="CQ16" s="552"/>
      <c r="CR16" s="552"/>
      <c r="CS16" s="552"/>
      <c r="CT16" s="552"/>
      <c r="CU16" s="552"/>
      <c r="CV16" s="552"/>
      <c r="CW16" s="552"/>
      <c r="CX16" s="552"/>
      <c r="CY16" s="552"/>
      <c r="CZ16" s="552"/>
      <c r="DA16" s="552"/>
      <c r="DB16" s="552"/>
      <c r="DC16" s="552"/>
      <c r="DD16" s="552"/>
      <c r="DE16" s="552"/>
      <c r="DF16" s="552"/>
      <c r="DG16" s="552"/>
      <c r="DH16" s="552"/>
      <c r="DI16" s="552"/>
      <c r="DJ16" s="552"/>
      <c r="DK16" s="552"/>
      <c r="DL16" s="552"/>
      <c r="DM16" s="552"/>
      <c r="DN16" s="552"/>
      <c r="DO16" s="552"/>
      <c r="DP16" s="552"/>
      <c r="DQ16" s="552"/>
      <c r="DR16" s="552"/>
      <c r="DS16" s="552"/>
      <c r="DT16" s="552"/>
      <c r="DU16" s="552"/>
      <c r="DV16" s="552"/>
      <c r="DW16" s="552"/>
      <c r="DX16" s="552"/>
      <c r="DY16" s="552"/>
      <c r="DZ16" s="552"/>
      <c r="EA16" s="552"/>
      <c r="EB16" s="552"/>
      <c r="EC16" s="552"/>
      <c r="ED16" s="552"/>
      <c r="EE16" s="552"/>
      <c r="EF16" s="552"/>
      <c r="EG16" s="552"/>
      <c r="EH16" s="552"/>
      <c r="EI16" s="552"/>
      <c r="EJ16" s="552"/>
      <c r="EK16" s="552"/>
      <c r="EL16" s="552"/>
      <c r="EM16" s="552"/>
      <c r="EN16" s="552"/>
      <c r="EO16" s="552"/>
      <c r="EP16" s="552"/>
      <c r="EQ16" s="552"/>
      <c r="ER16" s="552"/>
      <c r="ES16" s="552"/>
      <c r="ET16" s="552"/>
      <c r="EU16" s="552"/>
      <c r="EV16" s="552"/>
      <c r="EW16" s="552"/>
      <c r="EX16" s="552"/>
      <c r="EY16" s="552"/>
      <c r="EZ16" s="552"/>
      <c r="FA16" s="552"/>
      <c r="FB16" s="552"/>
      <c r="FC16" s="552"/>
      <c r="FD16" s="552"/>
      <c r="FE16" s="552"/>
      <c r="FF16" s="552"/>
      <c r="FG16" s="552"/>
      <c r="FH16" s="552"/>
      <c r="FI16" s="552"/>
      <c r="FJ16" s="552"/>
      <c r="FK16" s="552"/>
      <c r="FL16" s="552"/>
      <c r="FM16" s="552"/>
      <c r="FN16" s="552"/>
      <c r="FO16" s="552"/>
      <c r="FP16" s="552"/>
      <c r="FQ16" s="552"/>
      <c r="FR16" s="552"/>
      <c r="FS16" s="552"/>
      <c r="FT16" s="552"/>
      <c r="FU16" s="552"/>
      <c r="FV16" s="552"/>
      <c r="FW16" s="552"/>
      <c r="FX16" s="552"/>
      <c r="FY16" s="552"/>
      <c r="FZ16" s="552"/>
      <c r="GA16" s="552"/>
      <c r="GB16" s="552"/>
      <c r="GC16" s="552"/>
      <c r="GD16" s="552"/>
      <c r="GE16" s="552"/>
      <c r="GF16" s="552"/>
      <c r="GG16" s="552"/>
      <c r="GH16" s="552"/>
      <c r="GI16" s="552"/>
      <c r="GJ16" s="552"/>
      <c r="GK16" s="552"/>
      <c r="GL16" s="552"/>
      <c r="GM16" s="552"/>
      <c r="GN16" s="552"/>
      <c r="GO16" s="552"/>
      <c r="GP16" s="552"/>
      <c r="GQ16" s="552"/>
      <c r="GR16" s="552"/>
      <c r="GS16" s="552"/>
      <c r="GT16" s="552"/>
      <c r="GU16" s="552"/>
      <c r="GV16" s="552"/>
      <c r="GW16" s="552"/>
      <c r="GX16" s="552"/>
      <c r="GY16" s="552"/>
      <c r="GZ16" s="552"/>
      <c r="HA16" s="552"/>
      <c r="HB16" s="552"/>
      <c r="HC16" s="552"/>
      <c r="HD16" s="552"/>
      <c r="HE16" s="552"/>
      <c r="HF16" s="552"/>
      <c r="HG16" s="552"/>
      <c r="HH16" s="552"/>
      <c r="HI16" s="552"/>
      <c r="HJ16" s="552"/>
      <c r="HK16" s="552"/>
      <c r="HL16" s="552"/>
      <c r="HM16" s="552"/>
      <c r="HN16" s="552"/>
      <c r="HO16" s="552"/>
      <c r="HP16" s="552"/>
      <c r="HQ16" s="552"/>
      <c r="HR16" s="552"/>
      <c r="HS16" s="552"/>
      <c r="HT16" s="552"/>
      <c r="HU16" s="552"/>
      <c r="HV16" s="552"/>
      <c r="HW16" s="552"/>
      <c r="HX16" s="552"/>
      <c r="HY16" s="552"/>
      <c r="HZ16" s="552"/>
      <c r="IA16" s="552"/>
      <c r="IB16" s="552"/>
      <c r="IC16" s="552"/>
      <c r="ID16" s="552"/>
      <c r="IE16" s="552"/>
      <c r="IF16" s="552"/>
      <c r="IG16" s="552"/>
      <c r="IH16" s="552"/>
      <c r="II16" s="552"/>
      <c r="IJ16" s="552"/>
      <c r="IK16" s="552"/>
      <c r="IL16" s="552"/>
      <c r="IM16" s="552"/>
      <c r="IN16" s="552"/>
      <c r="IO16" s="552"/>
      <c r="IP16" s="552"/>
      <c r="IQ16" s="552"/>
      <c r="IR16" s="552"/>
      <c r="IS16" s="552"/>
      <c r="IT16" s="552"/>
      <c r="IU16" s="552"/>
      <c r="IV16" s="552"/>
    </row>
    <row r="17" spans="1:256" s="600" customFormat="1" ht="18" customHeight="1">
      <c r="A17" s="588">
        <v>9</v>
      </c>
      <c r="B17" s="601"/>
      <c r="C17" s="556"/>
      <c r="D17" s="620" t="s">
        <v>1021</v>
      </c>
      <c r="E17" s="604"/>
      <c r="F17" s="626"/>
      <c r="G17" s="614"/>
      <c r="H17" s="615"/>
      <c r="I17" s="701"/>
      <c r="J17" s="625"/>
      <c r="K17" s="629"/>
      <c r="L17" s="624"/>
      <c r="M17" s="624"/>
      <c r="N17" s="624"/>
      <c r="O17" s="713">
        <f>SUM(I17:N17)</f>
        <v>0</v>
      </c>
      <c r="P17" s="611"/>
      <c r="Q17" s="552"/>
      <c r="R17" s="552"/>
      <c r="S17" s="552"/>
      <c r="T17" s="552"/>
      <c r="U17" s="552"/>
      <c r="V17" s="552"/>
      <c r="W17" s="552"/>
      <c r="X17" s="552"/>
      <c r="Y17" s="552"/>
      <c r="Z17" s="552"/>
      <c r="AA17" s="552"/>
      <c r="AB17" s="552"/>
      <c r="AC17" s="552"/>
      <c r="AD17" s="552"/>
      <c r="AE17" s="552"/>
      <c r="AF17" s="552"/>
      <c r="AG17" s="552"/>
      <c r="AH17" s="552"/>
      <c r="AI17" s="552"/>
      <c r="AJ17" s="552"/>
      <c r="AK17" s="552"/>
      <c r="AL17" s="552"/>
      <c r="AM17" s="552"/>
      <c r="AN17" s="552"/>
      <c r="AO17" s="552"/>
      <c r="AP17" s="552"/>
      <c r="AQ17" s="552"/>
      <c r="AR17" s="552"/>
      <c r="AS17" s="552"/>
      <c r="AT17" s="552"/>
      <c r="AU17" s="552"/>
      <c r="AV17" s="552"/>
      <c r="AW17" s="552"/>
      <c r="AX17" s="552"/>
      <c r="AY17" s="552"/>
      <c r="AZ17" s="552"/>
      <c r="BA17" s="552"/>
      <c r="BB17" s="552"/>
      <c r="BC17" s="552"/>
      <c r="BD17" s="552"/>
      <c r="BE17" s="552"/>
      <c r="BF17" s="552"/>
      <c r="BG17" s="552"/>
      <c r="BH17" s="552"/>
      <c r="BI17" s="552"/>
      <c r="BJ17" s="552"/>
      <c r="BK17" s="552"/>
      <c r="BL17" s="552"/>
      <c r="BM17" s="552"/>
      <c r="BN17" s="552"/>
      <c r="BO17" s="552"/>
      <c r="BP17" s="552"/>
      <c r="BQ17" s="552"/>
      <c r="BR17" s="552"/>
      <c r="BS17" s="552"/>
      <c r="BT17" s="552"/>
      <c r="BU17" s="552"/>
      <c r="BV17" s="552"/>
      <c r="BW17" s="552"/>
      <c r="BX17" s="552"/>
      <c r="BY17" s="552"/>
      <c r="BZ17" s="552"/>
      <c r="CA17" s="552"/>
      <c r="CB17" s="552"/>
      <c r="CC17" s="552"/>
      <c r="CD17" s="552"/>
      <c r="CE17" s="552"/>
      <c r="CF17" s="552"/>
      <c r="CG17" s="552"/>
      <c r="CH17" s="552"/>
      <c r="CI17" s="552"/>
      <c r="CJ17" s="552"/>
      <c r="CK17" s="552"/>
      <c r="CL17" s="552"/>
      <c r="CM17" s="552"/>
      <c r="CN17" s="552"/>
      <c r="CO17" s="552"/>
      <c r="CP17" s="552"/>
      <c r="CQ17" s="552"/>
      <c r="CR17" s="552"/>
      <c r="CS17" s="552"/>
      <c r="CT17" s="552"/>
      <c r="CU17" s="552"/>
      <c r="CV17" s="552"/>
      <c r="CW17" s="552"/>
      <c r="CX17" s="552"/>
      <c r="CY17" s="552"/>
      <c r="CZ17" s="552"/>
      <c r="DA17" s="552"/>
      <c r="DB17" s="552"/>
      <c r="DC17" s="552"/>
      <c r="DD17" s="552"/>
      <c r="DE17" s="552"/>
      <c r="DF17" s="552"/>
      <c r="DG17" s="552"/>
      <c r="DH17" s="552"/>
      <c r="DI17" s="552"/>
      <c r="DJ17" s="552"/>
      <c r="DK17" s="552"/>
      <c r="DL17" s="552"/>
      <c r="DM17" s="552"/>
      <c r="DN17" s="552"/>
      <c r="DO17" s="552"/>
      <c r="DP17" s="552"/>
      <c r="DQ17" s="552"/>
      <c r="DR17" s="552"/>
      <c r="DS17" s="552"/>
      <c r="DT17" s="552"/>
      <c r="DU17" s="552"/>
      <c r="DV17" s="552"/>
      <c r="DW17" s="552"/>
      <c r="DX17" s="552"/>
      <c r="DY17" s="552"/>
      <c r="DZ17" s="552"/>
      <c r="EA17" s="552"/>
      <c r="EB17" s="552"/>
      <c r="EC17" s="552"/>
      <c r="ED17" s="552"/>
      <c r="EE17" s="552"/>
      <c r="EF17" s="552"/>
      <c r="EG17" s="552"/>
      <c r="EH17" s="552"/>
      <c r="EI17" s="552"/>
      <c r="EJ17" s="552"/>
      <c r="EK17" s="552"/>
      <c r="EL17" s="552"/>
      <c r="EM17" s="552"/>
      <c r="EN17" s="552"/>
      <c r="EO17" s="552"/>
      <c r="EP17" s="552"/>
      <c r="EQ17" s="552"/>
      <c r="ER17" s="552"/>
      <c r="ES17" s="552"/>
      <c r="ET17" s="552"/>
      <c r="EU17" s="552"/>
      <c r="EV17" s="552"/>
      <c r="EW17" s="552"/>
      <c r="EX17" s="552"/>
      <c r="EY17" s="552"/>
      <c r="EZ17" s="552"/>
      <c r="FA17" s="552"/>
      <c r="FB17" s="552"/>
      <c r="FC17" s="552"/>
      <c r="FD17" s="552"/>
      <c r="FE17" s="552"/>
      <c r="FF17" s="552"/>
      <c r="FG17" s="552"/>
      <c r="FH17" s="552"/>
      <c r="FI17" s="552"/>
      <c r="FJ17" s="552"/>
      <c r="FK17" s="552"/>
      <c r="FL17" s="552"/>
      <c r="FM17" s="552"/>
      <c r="FN17" s="552"/>
      <c r="FO17" s="552"/>
      <c r="FP17" s="552"/>
      <c r="FQ17" s="552"/>
      <c r="FR17" s="552"/>
      <c r="FS17" s="552"/>
      <c r="FT17" s="552"/>
      <c r="FU17" s="552"/>
      <c r="FV17" s="552"/>
      <c r="FW17" s="552"/>
      <c r="FX17" s="552"/>
      <c r="FY17" s="552"/>
      <c r="FZ17" s="552"/>
      <c r="GA17" s="552"/>
      <c r="GB17" s="552"/>
      <c r="GC17" s="552"/>
      <c r="GD17" s="552"/>
      <c r="GE17" s="552"/>
      <c r="GF17" s="552"/>
      <c r="GG17" s="552"/>
      <c r="GH17" s="552"/>
      <c r="GI17" s="552"/>
      <c r="GJ17" s="552"/>
      <c r="GK17" s="552"/>
      <c r="GL17" s="552"/>
      <c r="GM17" s="552"/>
      <c r="GN17" s="552"/>
      <c r="GO17" s="552"/>
      <c r="GP17" s="552"/>
      <c r="GQ17" s="552"/>
      <c r="GR17" s="552"/>
      <c r="GS17" s="552"/>
      <c r="GT17" s="552"/>
      <c r="GU17" s="552"/>
      <c r="GV17" s="552"/>
      <c r="GW17" s="552"/>
      <c r="GX17" s="552"/>
      <c r="GY17" s="552"/>
      <c r="GZ17" s="552"/>
      <c r="HA17" s="552"/>
      <c r="HB17" s="552"/>
      <c r="HC17" s="552"/>
      <c r="HD17" s="552"/>
      <c r="HE17" s="552"/>
      <c r="HF17" s="552"/>
      <c r="HG17" s="552"/>
      <c r="HH17" s="552"/>
      <c r="HI17" s="552"/>
      <c r="HJ17" s="552"/>
      <c r="HK17" s="552"/>
      <c r="HL17" s="552"/>
      <c r="HM17" s="552"/>
      <c r="HN17" s="552"/>
      <c r="HO17" s="552"/>
      <c r="HP17" s="552"/>
      <c r="HQ17" s="552"/>
      <c r="HR17" s="552"/>
      <c r="HS17" s="552"/>
      <c r="HT17" s="552"/>
      <c r="HU17" s="552"/>
      <c r="HV17" s="552"/>
      <c r="HW17" s="552"/>
      <c r="HX17" s="552"/>
      <c r="HY17" s="552"/>
      <c r="HZ17" s="552"/>
      <c r="IA17" s="552"/>
      <c r="IB17" s="552"/>
      <c r="IC17" s="552"/>
      <c r="ID17" s="552"/>
      <c r="IE17" s="552"/>
      <c r="IF17" s="552"/>
      <c r="IG17" s="552"/>
      <c r="IH17" s="552"/>
      <c r="II17" s="552"/>
      <c r="IJ17" s="552"/>
      <c r="IK17" s="552"/>
      <c r="IL17" s="552"/>
      <c r="IM17" s="552"/>
      <c r="IN17" s="552"/>
      <c r="IO17" s="552"/>
      <c r="IP17" s="552"/>
      <c r="IQ17" s="552"/>
      <c r="IR17" s="552"/>
      <c r="IS17" s="552"/>
      <c r="IT17" s="552"/>
      <c r="IU17" s="552"/>
      <c r="IV17" s="552"/>
    </row>
    <row r="18" spans="1:256" s="600" customFormat="1" ht="37.5" customHeight="1">
      <c r="A18" s="588">
        <v>10</v>
      </c>
      <c r="B18" s="601"/>
      <c r="C18" s="716">
        <v>8</v>
      </c>
      <c r="D18" s="717" t="s">
        <v>671</v>
      </c>
      <c r="E18" s="604">
        <f>F18+G18+O20+P19</f>
        <v>5631126</v>
      </c>
      <c r="F18" s="626">
        <f>22482+1024536</f>
        <v>1047018</v>
      </c>
      <c r="G18" s="614">
        <v>3172042</v>
      </c>
      <c r="H18" s="615" t="s">
        <v>231</v>
      </c>
      <c r="I18" s="701"/>
      <c r="J18" s="625"/>
      <c r="K18" s="624"/>
      <c r="L18" s="624"/>
      <c r="M18" s="624"/>
      <c r="N18" s="624"/>
      <c r="O18" s="616"/>
      <c r="P18" s="611"/>
      <c r="Q18" s="552"/>
      <c r="R18" s="552"/>
      <c r="S18" s="552"/>
      <c r="T18" s="552"/>
      <c r="U18" s="552"/>
      <c r="V18" s="552"/>
      <c r="W18" s="552"/>
      <c r="X18" s="552"/>
      <c r="Y18" s="552"/>
      <c r="Z18" s="552"/>
      <c r="AA18" s="552"/>
      <c r="AB18" s="552"/>
      <c r="AC18" s="552"/>
      <c r="AD18" s="552"/>
      <c r="AE18" s="552"/>
      <c r="AF18" s="552"/>
      <c r="AG18" s="552"/>
      <c r="AH18" s="552"/>
      <c r="AI18" s="552"/>
      <c r="AJ18" s="552"/>
      <c r="AK18" s="552"/>
      <c r="AL18" s="552"/>
      <c r="AM18" s="552"/>
      <c r="AN18" s="552"/>
      <c r="AO18" s="552"/>
      <c r="AP18" s="552"/>
      <c r="AQ18" s="552"/>
      <c r="AR18" s="552"/>
      <c r="AS18" s="552"/>
      <c r="AT18" s="552"/>
      <c r="AU18" s="552"/>
      <c r="AV18" s="552"/>
      <c r="AW18" s="552"/>
      <c r="AX18" s="552"/>
      <c r="AY18" s="552"/>
      <c r="AZ18" s="552"/>
      <c r="BA18" s="552"/>
      <c r="BB18" s="552"/>
      <c r="BC18" s="552"/>
      <c r="BD18" s="552"/>
      <c r="BE18" s="552"/>
      <c r="BF18" s="552"/>
      <c r="BG18" s="552"/>
      <c r="BH18" s="552"/>
      <c r="BI18" s="552"/>
      <c r="BJ18" s="552"/>
      <c r="BK18" s="552"/>
      <c r="BL18" s="552"/>
      <c r="BM18" s="552"/>
      <c r="BN18" s="552"/>
      <c r="BO18" s="552"/>
      <c r="BP18" s="552"/>
      <c r="BQ18" s="552"/>
      <c r="BR18" s="552"/>
      <c r="BS18" s="552"/>
      <c r="BT18" s="552"/>
      <c r="BU18" s="552"/>
      <c r="BV18" s="552"/>
      <c r="BW18" s="552"/>
      <c r="BX18" s="552"/>
      <c r="BY18" s="552"/>
      <c r="BZ18" s="552"/>
      <c r="CA18" s="552"/>
      <c r="CB18" s="552"/>
      <c r="CC18" s="552"/>
      <c r="CD18" s="552"/>
      <c r="CE18" s="552"/>
      <c r="CF18" s="552"/>
      <c r="CG18" s="552"/>
      <c r="CH18" s="552"/>
      <c r="CI18" s="552"/>
      <c r="CJ18" s="552"/>
      <c r="CK18" s="552"/>
      <c r="CL18" s="552"/>
      <c r="CM18" s="552"/>
      <c r="CN18" s="552"/>
      <c r="CO18" s="552"/>
      <c r="CP18" s="552"/>
      <c r="CQ18" s="552"/>
      <c r="CR18" s="552"/>
      <c r="CS18" s="552"/>
      <c r="CT18" s="552"/>
      <c r="CU18" s="552"/>
      <c r="CV18" s="552"/>
      <c r="CW18" s="552"/>
      <c r="CX18" s="552"/>
      <c r="CY18" s="552"/>
      <c r="CZ18" s="552"/>
      <c r="DA18" s="552"/>
      <c r="DB18" s="552"/>
      <c r="DC18" s="552"/>
      <c r="DD18" s="552"/>
      <c r="DE18" s="552"/>
      <c r="DF18" s="552"/>
      <c r="DG18" s="552"/>
      <c r="DH18" s="552"/>
      <c r="DI18" s="552"/>
      <c r="DJ18" s="552"/>
      <c r="DK18" s="552"/>
      <c r="DL18" s="552"/>
      <c r="DM18" s="552"/>
      <c r="DN18" s="552"/>
      <c r="DO18" s="552"/>
      <c r="DP18" s="552"/>
      <c r="DQ18" s="552"/>
      <c r="DR18" s="552"/>
      <c r="DS18" s="552"/>
      <c r="DT18" s="552"/>
      <c r="DU18" s="552"/>
      <c r="DV18" s="552"/>
      <c r="DW18" s="552"/>
      <c r="DX18" s="552"/>
      <c r="DY18" s="552"/>
      <c r="DZ18" s="552"/>
      <c r="EA18" s="552"/>
      <c r="EB18" s="552"/>
      <c r="EC18" s="552"/>
      <c r="ED18" s="552"/>
      <c r="EE18" s="552"/>
      <c r="EF18" s="552"/>
      <c r="EG18" s="552"/>
      <c r="EH18" s="552"/>
      <c r="EI18" s="552"/>
      <c r="EJ18" s="552"/>
      <c r="EK18" s="552"/>
      <c r="EL18" s="552"/>
      <c r="EM18" s="552"/>
      <c r="EN18" s="552"/>
      <c r="EO18" s="552"/>
      <c r="EP18" s="552"/>
      <c r="EQ18" s="552"/>
      <c r="ER18" s="552"/>
      <c r="ES18" s="552"/>
      <c r="ET18" s="552"/>
      <c r="EU18" s="552"/>
      <c r="EV18" s="552"/>
      <c r="EW18" s="552"/>
      <c r="EX18" s="552"/>
      <c r="EY18" s="552"/>
      <c r="EZ18" s="552"/>
      <c r="FA18" s="552"/>
      <c r="FB18" s="552"/>
      <c r="FC18" s="552"/>
      <c r="FD18" s="552"/>
      <c r="FE18" s="552"/>
      <c r="FF18" s="552"/>
      <c r="FG18" s="552"/>
      <c r="FH18" s="552"/>
      <c r="FI18" s="552"/>
      <c r="FJ18" s="552"/>
      <c r="FK18" s="552"/>
      <c r="FL18" s="552"/>
      <c r="FM18" s="552"/>
      <c r="FN18" s="552"/>
      <c r="FO18" s="552"/>
      <c r="FP18" s="552"/>
      <c r="FQ18" s="552"/>
      <c r="FR18" s="552"/>
      <c r="FS18" s="552"/>
      <c r="FT18" s="552"/>
      <c r="FU18" s="552"/>
      <c r="FV18" s="552"/>
      <c r="FW18" s="552"/>
      <c r="FX18" s="552"/>
      <c r="FY18" s="552"/>
      <c r="FZ18" s="552"/>
      <c r="GA18" s="552"/>
      <c r="GB18" s="552"/>
      <c r="GC18" s="552"/>
      <c r="GD18" s="552"/>
      <c r="GE18" s="552"/>
      <c r="GF18" s="552"/>
      <c r="GG18" s="552"/>
      <c r="GH18" s="552"/>
      <c r="GI18" s="552"/>
      <c r="GJ18" s="552"/>
      <c r="GK18" s="552"/>
      <c r="GL18" s="552"/>
      <c r="GM18" s="552"/>
      <c r="GN18" s="552"/>
      <c r="GO18" s="552"/>
      <c r="GP18" s="552"/>
      <c r="GQ18" s="552"/>
      <c r="GR18" s="552"/>
      <c r="GS18" s="552"/>
      <c r="GT18" s="552"/>
      <c r="GU18" s="552"/>
      <c r="GV18" s="552"/>
      <c r="GW18" s="552"/>
      <c r="GX18" s="552"/>
      <c r="GY18" s="552"/>
      <c r="GZ18" s="552"/>
      <c r="HA18" s="552"/>
      <c r="HB18" s="552"/>
      <c r="HC18" s="552"/>
      <c r="HD18" s="552"/>
      <c r="HE18" s="552"/>
      <c r="HF18" s="552"/>
      <c r="HG18" s="552"/>
      <c r="HH18" s="552"/>
      <c r="HI18" s="552"/>
      <c r="HJ18" s="552"/>
      <c r="HK18" s="552"/>
      <c r="HL18" s="552"/>
      <c r="HM18" s="552"/>
      <c r="HN18" s="552"/>
      <c r="HO18" s="552"/>
      <c r="HP18" s="552"/>
      <c r="HQ18" s="552"/>
      <c r="HR18" s="552"/>
      <c r="HS18" s="552"/>
      <c r="HT18" s="552"/>
      <c r="HU18" s="552"/>
      <c r="HV18" s="552"/>
      <c r="HW18" s="552"/>
      <c r="HX18" s="552"/>
      <c r="HY18" s="552"/>
      <c r="HZ18" s="552"/>
      <c r="IA18" s="552"/>
      <c r="IB18" s="552"/>
      <c r="IC18" s="552"/>
      <c r="ID18" s="552"/>
      <c r="IE18" s="552"/>
      <c r="IF18" s="552"/>
      <c r="IG18" s="552"/>
      <c r="IH18" s="552"/>
      <c r="II18" s="552"/>
      <c r="IJ18" s="552"/>
      <c r="IK18" s="552"/>
      <c r="IL18" s="552"/>
      <c r="IM18" s="552"/>
      <c r="IN18" s="552"/>
      <c r="IO18" s="552"/>
      <c r="IP18" s="552"/>
      <c r="IQ18" s="552"/>
      <c r="IR18" s="552"/>
      <c r="IS18" s="552"/>
      <c r="IT18" s="552"/>
      <c r="IU18" s="552"/>
      <c r="IV18" s="552"/>
    </row>
    <row r="19" spans="1:256" s="600" customFormat="1" ht="18" customHeight="1">
      <c r="A19" s="588">
        <v>11</v>
      </c>
      <c r="B19" s="601"/>
      <c r="C19" s="556"/>
      <c r="D19" s="613" t="s">
        <v>198</v>
      </c>
      <c r="E19" s="604"/>
      <c r="F19" s="626"/>
      <c r="G19" s="614"/>
      <c r="H19" s="615"/>
      <c r="I19" s="701"/>
      <c r="J19" s="625"/>
      <c r="K19" s="624">
        <v>32831</v>
      </c>
      <c r="L19" s="624"/>
      <c r="M19" s="624">
        <v>1084109</v>
      </c>
      <c r="N19" s="624"/>
      <c r="O19" s="616">
        <f>SUM(I19:N19)</f>
        <v>1116940</v>
      </c>
      <c r="P19" s="611"/>
      <c r="Q19" s="552"/>
      <c r="R19" s="552"/>
      <c r="S19" s="552"/>
      <c r="T19" s="552"/>
      <c r="U19" s="552"/>
      <c r="V19" s="552"/>
      <c r="W19" s="552"/>
      <c r="X19" s="552"/>
      <c r="Y19" s="552"/>
      <c r="Z19" s="552"/>
      <c r="AA19" s="552"/>
      <c r="AB19" s="552"/>
      <c r="AC19" s="552"/>
      <c r="AD19" s="552"/>
      <c r="AE19" s="552"/>
      <c r="AF19" s="552"/>
      <c r="AG19" s="552"/>
      <c r="AH19" s="552"/>
      <c r="AI19" s="552"/>
      <c r="AJ19" s="552"/>
      <c r="AK19" s="552"/>
      <c r="AL19" s="552"/>
      <c r="AM19" s="552"/>
      <c r="AN19" s="552"/>
      <c r="AO19" s="552"/>
      <c r="AP19" s="552"/>
      <c r="AQ19" s="552"/>
      <c r="AR19" s="552"/>
      <c r="AS19" s="552"/>
      <c r="AT19" s="552"/>
      <c r="AU19" s="552"/>
      <c r="AV19" s="552"/>
      <c r="AW19" s="552"/>
      <c r="AX19" s="552"/>
      <c r="AY19" s="552"/>
      <c r="AZ19" s="552"/>
      <c r="BA19" s="552"/>
      <c r="BB19" s="552"/>
      <c r="BC19" s="552"/>
      <c r="BD19" s="552"/>
      <c r="BE19" s="552"/>
      <c r="BF19" s="552"/>
      <c r="BG19" s="552"/>
      <c r="BH19" s="552"/>
      <c r="BI19" s="552"/>
      <c r="BJ19" s="552"/>
      <c r="BK19" s="552"/>
      <c r="BL19" s="552"/>
      <c r="BM19" s="552"/>
      <c r="BN19" s="552"/>
      <c r="BO19" s="552"/>
      <c r="BP19" s="552"/>
      <c r="BQ19" s="552"/>
      <c r="BR19" s="552"/>
      <c r="BS19" s="552"/>
      <c r="BT19" s="552"/>
      <c r="BU19" s="552"/>
      <c r="BV19" s="552"/>
      <c r="BW19" s="552"/>
      <c r="BX19" s="552"/>
      <c r="BY19" s="552"/>
      <c r="BZ19" s="552"/>
      <c r="CA19" s="552"/>
      <c r="CB19" s="552"/>
      <c r="CC19" s="552"/>
      <c r="CD19" s="552"/>
      <c r="CE19" s="552"/>
      <c r="CF19" s="552"/>
      <c r="CG19" s="552"/>
      <c r="CH19" s="552"/>
      <c r="CI19" s="552"/>
      <c r="CJ19" s="552"/>
      <c r="CK19" s="552"/>
      <c r="CL19" s="552"/>
      <c r="CM19" s="552"/>
      <c r="CN19" s="552"/>
      <c r="CO19" s="552"/>
      <c r="CP19" s="552"/>
      <c r="CQ19" s="552"/>
      <c r="CR19" s="552"/>
      <c r="CS19" s="552"/>
      <c r="CT19" s="552"/>
      <c r="CU19" s="552"/>
      <c r="CV19" s="552"/>
      <c r="CW19" s="552"/>
      <c r="CX19" s="552"/>
      <c r="CY19" s="552"/>
      <c r="CZ19" s="552"/>
      <c r="DA19" s="552"/>
      <c r="DB19" s="552"/>
      <c r="DC19" s="552"/>
      <c r="DD19" s="552"/>
      <c r="DE19" s="552"/>
      <c r="DF19" s="552"/>
      <c r="DG19" s="552"/>
      <c r="DH19" s="552"/>
      <c r="DI19" s="552"/>
      <c r="DJ19" s="552"/>
      <c r="DK19" s="552"/>
      <c r="DL19" s="552"/>
      <c r="DM19" s="552"/>
      <c r="DN19" s="552"/>
      <c r="DO19" s="552"/>
      <c r="DP19" s="552"/>
      <c r="DQ19" s="552"/>
      <c r="DR19" s="552"/>
      <c r="DS19" s="552"/>
      <c r="DT19" s="552"/>
      <c r="DU19" s="552"/>
      <c r="DV19" s="552"/>
      <c r="DW19" s="552"/>
      <c r="DX19" s="552"/>
      <c r="DY19" s="552"/>
      <c r="DZ19" s="552"/>
      <c r="EA19" s="552"/>
      <c r="EB19" s="552"/>
      <c r="EC19" s="552"/>
      <c r="ED19" s="552"/>
      <c r="EE19" s="552"/>
      <c r="EF19" s="552"/>
      <c r="EG19" s="552"/>
      <c r="EH19" s="552"/>
      <c r="EI19" s="552"/>
      <c r="EJ19" s="552"/>
      <c r="EK19" s="552"/>
      <c r="EL19" s="552"/>
      <c r="EM19" s="552"/>
      <c r="EN19" s="552"/>
      <c r="EO19" s="552"/>
      <c r="EP19" s="552"/>
      <c r="EQ19" s="552"/>
      <c r="ER19" s="552"/>
      <c r="ES19" s="552"/>
      <c r="ET19" s="552"/>
      <c r="EU19" s="552"/>
      <c r="EV19" s="552"/>
      <c r="EW19" s="552"/>
      <c r="EX19" s="552"/>
      <c r="EY19" s="552"/>
      <c r="EZ19" s="552"/>
      <c r="FA19" s="552"/>
      <c r="FB19" s="552"/>
      <c r="FC19" s="552"/>
      <c r="FD19" s="552"/>
      <c r="FE19" s="552"/>
      <c r="FF19" s="552"/>
      <c r="FG19" s="552"/>
      <c r="FH19" s="552"/>
      <c r="FI19" s="552"/>
      <c r="FJ19" s="552"/>
      <c r="FK19" s="552"/>
      <c r="FL19" s="552"/>
      <c r="FM19" s="552"/>
      <c r="FN19" s="552"/>
      <c r="FO19" s="552"/>
      <c r="FP19" s="552"/>
      <c r="FQ19" s="552"/>
      <c r="FR19" s="552"/>
      <c r="FS19" s="552"/>
      <c r="FT19" s="552"/>
      <c r="FU19" s="552"/>
      <c r="FV19" s="552"/>
      <c r="FW19" s="552"/>
      <c r="FX19" s="552"/>
      <c r="FY19" s="552"/>
      <c r="FZ19" s="552"/>
      <c r="GA19" s="552"/>
      <c r="GB19" s="552"/>
      <c r="GC19" s="552"/>
      <c r="GD19" s="552"/>
      <c r="GE19" s="552"/>
      <c r="GF19" s="552"/>
      <c r="GG19" s="552"/>
      <c r="GH19" s="552"/>
      <c r="GI19" s="552"/>
      <c r="GJ19" s="552"/>
      <c r="GK19" s="552"/>
      <c r="GL19" s="552"/>
      <c r="GM19" s="552"/>
      <c r="GN19" s="552"/>
      <c r="GO19" s="552"/>
      <c r="GP19" s="552"/>
      <c r="GQ19" s="552"/>
      <c r="GR19" s="552"/>
      <c r="GS19" s="552"/>
      <c r="GT19" s="552"/>
      <c r="GU19" s="552"/>
      <c r="GV19" s="552"/>
      <c r="GW19" s="552"/>
      <c r="GX19" s="552"/>
      <c r="GY19" s="552"/>
      <c r="GZ19" s="552"/>
      <c r="HA19" s="552"/>
      <c r="HB19" s="552"/>
      <c r="HC19" s="552"/>
      <c r="HD19" s="552"/>
      <c r="HE19" s="552"/>
      <c r="HF19" s="552"/>
      <c r="HG19" s="552"/>
      <c r="HH19" s="552"/>
      <c r="HI19" s="552"/>
      <c r="HJ19" s="552"/>
      <c r="HK19" s="552"/>
      <c r="HL19" s="552"/>
      <c r="HM19" s="552"/>
      <c r="HN19" s="552"/>
      <c r="HO19" s="552"/>
      <c r="HP19" s="552"/>
      <c r="HQ19" s="552"/>
      <c r="HR19" s="552"/>
      <c r="HS19" s="552"/>
      <c r="HT19" s="552"/>
      <c r="HU19" s="552"/>
      <c r="HV19" s="552"/>
      <c r="HW19" s="552"/>
      <c r="HX19" s="552"/>
      <c r="HY19" s="552"/>
      <c r="HZ19" s="552"/>
      <c r="IA19" s="552"/>
      <c r="IB19" s="552"/>
      <c r="IC19" s="552"/>
      <c r="ID19" s="552"/>
      <c r="IE19" s="552"/>
      <c r="IF19" s="552"/>
      <c r="IG19" s="552"/>
      <c r="IH19" s="552"/>
      <c r="II19" s="552"/>
      <c r="IJ19" s="552"/>
      <c r="IK19" s="552"/>
      <c r="IL19" s="552"/>
      <c r="IM19" s="552"/>
      <c r="IN19" s="552"/>
      <c r="IO19" s="552"/>
      <c r="IP19" s="552"/>
      <c r="IQ19" s="552"/>
      <c r="IR19" s="552"/>
      <c r="IS19" s="552"/>
      <c r="IT19" s="552"/>
      <c r="IU19" s="552"/>
      <c r="IV19" s="552"/>
    </row>
    <row r="20" spans="1:256" s="600" customFormat="1" ht="18" customHeight="1">
      <c r="A20" s="588">
        <v>12</v>
      </c>
      <c r="B20" s="601"/>
      <c r="C20" s="556"/>
      <c r="D20" s="617" t="s">
        <v>765</v>
      </c>
      <c r="E20" s="604"/>
      <c r="F20" s="626"/>
      <c r="G20" s="614"/>
      <c r="H20" s="615"/>
      <c r="I20" s="714"/>
      <c r="J20" s="628"/>
      <c r="K20" s="627">
        <v>9043</v>
      </c>
      <c r="L20" s="627"/>
      <c r="M20" s="627">
        <v>1403023</v>
      </c>
      <c r="N20" s="627"/>
      <c r="O20" s="563">
        <f>SUM(I20:N20)</f>
        <v>1412066</v>
      </c>
      <c r="P20" s="611"/>
      <c r="Q20" s="552"/>
      <c r="R20" s="552"/>
      <c r="S20" s="552"/>
      <c r="T20" s="552"/>
      <c r="U20" s="552"/>
      <c r="V20" s="552"/>
      <c r="W20" s="552"/>
      <c r="X20" s="552"/>
      <c r="Y20" s="552"/>
      <c r="Z20" s="552"/>
      <c r="AA20" s="552"/>
      <c r="AB20" s="552"/>
      <c r="AC20" s="552"/>
      <c r="AD20" s="552"/>
      <c r="AE20" s="552"/>
      <c r="AF20" s="552"/>
      <c r="AG20" s="552"/>
      <c r="AH20" s="552"/>
      <c r="AI20" s="552"/>
      <c r="AJ20" s="552"/>
      <c r="AK20" s="552"/>
      <c r="AL20" s="552"/>
      <c r="AM20" s="552"/>
      <c r="AN20" s="552"/>
      <c r="AO20" s="552"/>
      <c r="AP20" s="552"/>
      <c r="AQ20" s="552"/>
      <c r="AR20" s="552"/>
      <c r="AS20" s="552"/>
      <c r="AT20" s="552"/>
      <c r="AU20" s="552"/>
      <c r="AV20" s="552"/>
      <c r="AW20" s="552"/>
      <c r="AX20" s="552"/>
      <c r="AY20" s="552"/>
      <c r="AZ20" s="552"/>
      <c r="BA20" s="552"/>
      <c r="BB20" s="552"/>
      <c r="BC20" s="552"/>
      <c r="BD20" s="552"/>
      <c r="BE20" s="552"/>
      <c r="BF20" s="552"/>
      <c r="BG20" s="552"/>
      <c r="BH20" s="552"/>
      <c r="BI20" s="552"/>
      <c r="BJ20" s="552"/>
      <c r="BK20" s="552"/>
      <c r="BL20" s="552"/>
      <c r="BM20" s="552"/>
      <c r="BN20" s="552"/>
      <c r="BO20" s="552"/>
      <c r="BP20" s="552"/>
      <c r="BQ20" s="552"/>
      <c r="BR20" s="552"/>
      <c r="BS20" s="552"/>
      <c r="BT20" s="552"/>
      <c r="BU20" s="552"/>
      <c r="BV20" s="552"/>
      <c r="BW20" s="552"/>
      <c r="BX20" s="552"/>
      <c r="BY20" s="552"/>
      <c r="BZ20" s="552"/>
      <c r="CA20" s="552"/>
      <c r="CB20" s="552"/>
      <c r="CC20" s="552"/>
      <c r="CD20" s="552"/>
      <c r="CE20" s="552"/>
      <c r="CF20" s="552"/>
      <c r="CG20" s="552"/>
      <c r="CH20" s="552"/>
      <c r="CI20" s="552"/>
      <c r="CJ20" s="552"/>
      <c r="CK20" s="552"/>
      <c r="CL20" s="552"/>
      <c r="CM20" s="552"/>
      <c r="CN20" s="552"/>
      <c r="CO20" s="552"/>
      <c r="CP20" s="552"/>
      <c r="CQ20" s="552"/>
      <c r="CR20" s="552"/>
      <c r="CS20" s="552"/>
      <c r="CT20" s="552"/>
      <c r="CU20" s="552"/>
      <c r="CV20" s="552"/>
      <c r="CW20" s="552"/>
      <c r="CX20" s="552"/>
      <c r="CY20" s="552"/>
      <c r="CZ20" s="552"/>
      <c r="DA20" s="552"/>
      <c r="DB20" s="552"/>
      <c r="DC20" s="552"/>
      <c r="DD20" s="552"/>
      <c r="DE20" s="552"/>
      <c r="DF20" s="552"/>
      <c r="DG20" s="552"/>
      <c r="DH20" s="552"/>
      <c r="DI20" s="552"/>
      <c r="DJ20" s="552"/>
      <c r="DK20" s="552"/>
      <c r="DL20" s="552"/>
      <c r="DM20" s="552"/>
      <c r="DN20" s="552"/>
      <c r="DO20" s="552"/>
      <c r="DP20" s="552"/>
      <c r="DQ20" s="552"/>
      <c r="DR20" s="552"/>
      <c r="DS20" s="552"/>
      <c r="DT20" s="552"/>
      <c r="DU20" s="552"/>
      <c r="DV20" s="552"/>
      <c r="DW20" s="552"/>
      <c r="DX20" s="552"/>
      <c r="DY20" s="552"/>
      <c r="DZ20" s="552"/>
      <c r="EA20" s="552"/>
      <c r="EB20" s="552"/>
      <c r="EC20" s="552"/>
      <c r="ED20" s="552"/>
      <c r="EE20" s="552"/>
      <c r="EF20" s="552"/>
      <c r="EG20" s="552"/>
      <c r="EH20" s="552"/>
      <c r="EI20" s="552"/>
      <c r="EJ20" s="552"/>
      <c r="EK20" s="552"/>
      <c r="EL20" s="552"/>
      <c r="EM20" s="552"/>
      <c r="EN20" s="552"/>
      <c r="EO20" s="552"/>
      <c r="EP20" s="552"/>
      <c r="EQ20" s="552"/>
      <c r="ER20" s="552"/>
      <c r="ES20" s="552"/>
      <c r="ET20" s="552"/>
      <c r="EU20" s="552"/>
      <c r="EV20" s="552"/>
      <c r="EW20" s="552"/>
      <c r="EX20" s="552"/>
      <c r="EY20" s="552"/>
      <c r="EZ20" s="552"/>
      <c r="FA20" s="552"/>
      <c r="FB20" s="552"/>
      <c r="FC20" s="552"/>
      <c r="FD20" s="552"/>
      <c r="FE20" s="552"/>
      <c r="FF20" s="552"/>
      <c r="FG20" s="552"/>
      <c r="FH20" s="552"/>
      <c r="FI20" s="552"/>
      <c r="FJ20" s="552"/>
      <c r="FK20" s="552"/>
      <c r="FL20" s="552"/>
      <c r="FM20" s="552"/>
      <c r="FN20" s="552"/>
      <c r="FO20" s="552"/>
      <c r="FP20" s="552"/>
      <c r="FQ20" s="552"/>
      <c r="FR20" s="552"/>
      <c r="FS20" s="552"/>
      <c r="FT20" s="552"/>
      <c r="FU20" s="552"/>
      <c r="FV20" s="552"/>
      <c r="FW20" s="552"/>
      <c r="FX20" s="552"/>
      <c r="FY20" s="552"/>
      <c r="FZ20" s="552"/>
      <c r="GA20" s="552"/>
      <c r="GB20" s="552"/>
      <c r="GC20" s="552"/>
      <c r="GD20" s="552"/>
      <c r="GE20" s="552"/>
      <c r="GF20" s="552"/>
      <c r="GG20" s="552"/>
      <c r="GH20" s="552"/>
      <c r="GI20" s="552"/>
      <c r="GJ20" s="552"/>
      <c r="GK20" s="552"/>
      <c r="GL20" s="552"/>
      <c r="GM20" s="552"/>
      <c r="GN20" s="552"/>
      <c r="GO20" s="552"/>
      <c r="GP20" s="552"/>
      <c r="GQ20" s="552"/>
      <c r="GR20" s="552"/>
      <c r="GS20" s="552"/>
      <c r="GT20" s="552"/>
      <c r="GU20" s="552"/>
      <c r="GV20" s="552"/>
      <c r="GW20" s="552"/>
      <c r="GX20" s="552"/>
      <c r="GY20" s="552"/>
      <c r="GZ20" s="552"/>
      <c r="HA20" s="552"/>
      <c r="HB20" s="552"/>
      <c r="HC20" s="552"/>
      <c r="HD20" s="552"/>
      <c r="HE20" s="552"/>
      <c r="HF20" s="552"/>
      <c r="HG20" s="552"/>
      <c r="HH20" s="552"/>
      <c r="HI20" s="552"/>
      <c r="HJ20" s="552"/>
      <c r="HK20" s="552"/>
      <c r="HL20" s="552"/>
      <c r="HM20" s="552"/>
      <c r="HN20" s="552"/>
      <c r="HO20" s="552"/>
      <c r="HP20" s="552"/>
      <c r="HQ20" s="552"/>
      <c r="HR20" s="552"/>
      <c r="HS20" s="552"/>
      <c r="HT20" s="552"/>
      <c r="HU20" s="552"/>
      <c r="HV20" s="552"/>
      <c r="HW20" s="552"/>
      <c r="HX20" s="552"/>
      <c r="HY20" s="552"/>
      <c r="HZ20" s="552"/>
      <c r="IA20" s="552"/>
      <c r="IB20" s="552"/>
      <c r="IC20" s="552"/>
      <c r="ID20" s="552"/>
      <c r="IE20" s="552"/>
      <c r="IF20" s="552"/>
      <c r="IG20" s="552"/>
      <c r="IH20" s="552"/>
      <c r="II20" s="552"/>
      <c r="IJ20" s="552"/>
      <c r="IK20" s="552"/>
      <c r="IL20" s="552"/>
      <c r="IM20" s="552"/>
      <c r="IN20" s="552"/>
      <c r="IO20" s="552"/>
      <c r="IP20" s="552"/>
      <c r="IQ20" s="552"/>
      <c r="IR20" s="552"/>
      <c r="IS20" s="552"/>
      <c r="IT20" s="552"/>
      <c r="IU20" s="552"/>
      <c r="IV20" s="552"/>
    </row>
    <row r="21" spans="1:256" s="600" customFormat="1" ht="18" customHeight="1">
      <c r="A21" s="588">
        <v>13</v>
      </c>
      <c r="B21" s="601"/>
      <c r="C21" s="556"/>
      <c r="D21" s="620" t="s">
        <v>1021</v>
      </c>
      <c r="E21" s="604"/>
      <c r="F21" s="626"/>
      <c r="G21" s="614"/>
      <c r="H21" s="615"/>
      <c r="I21" s="701"/>
      <c r="J21" s="625"/>
      <c r="K21" s="629">
        <v>8005</v>
      </c>
      <c r="L21" s="629"/>
      <c r="M21" s="629">
        <v>874822</v>
      </c>
      <c r="N21" s="624"/>
      <c r="O21" s="562">
        <f>SUM(I21:N21)</f>
        <v>882827</v>
      </c>
      <c r="P21" s="611"/>
      <c r="Q21" s="552"/>
      <c r="R21" s="552"/>
      <c r="S21" s="552"/>
      <c r="T21" s="552"/>
      <c r="U21" s="552"/>
      <c r="V21" s="552"/>
      <c r="W21" s="552"/>
      <c r="X21" s="552"/>
      <c r="Y21" s="552"/>
      <c r="Z21" s="552"/>
      <c r="AA21" s="552"/>
      <c r="AB21" s="552"/>
      <c r="AC21" s="552"/>
      <c r="AD21" s="552"/>
      <c r="AE21" s="552"/>
      <c r="AF21" s="552"/>
      <c r="AG21" s="552"/>
      <c r="AH21" s="552"/>
      <c r="AI21" s="552"/>
      <c r="AJ21" s="552"/>
      <c r="AK21" s="552"/>
      <c r="AL21" s="552"/>
      <c r="AM21" s="552"/>
      <c r="AN21" s="552"/>
      <c r="AO21" s="552"/>
      <c r="AP21" s="552"/>
      <c r="AQ21" s="552"/>
      <c r="AR21" s="552"/>
      <c r="AS21" s="552"/>
      <c r="AT21" s="552"/>
      <c r="AU21" s="552"/>
      <c r="AV21" s="552"/>
      <c r="AW21" s="552"/>
      <c r="AX21" s="552"/>
      <c r="AY21" s="552"/>
      <c r="AZ21" s="552"/>
      <c r="BA21" s="552"/>
      <c r="BB21" s="552"/>
      <c r="BC21" s="552"/>
      <c r="BD21" s="552"/>
      <c r="BE21" s="552"/>
      <c r="BF21" s="552"/>
      <c r="BG21" s="552"/>
      <c r="BH21" s="552"/>
      <c r="BI21" s="552"/>
      <c r="BJ21" s="552"/>
      <c r="BK21" s="552"/>
      <c r="BL21" s="552"/>
      <c r="BM21" s="552"/>
      <c r="BN21" s="552"/>
      <c r="BO21" s="552"/>
      <c r="BP21" s="552"/>
      <c r="BQ21" s="552"/>
      <c r="BR21" s="552"/>
      <c r="BS21" s="552"/>
      <c r="BT21" s="552"/>
      <c r="BU21" s="552"/>
      <c r="BV21" s="552"/>
      <c r="BW21" s="552"/>
      <c r="BX21" s="552"/>
      <c r="BY21" s="552"/>
      <c r="BZ21" s="552"/>
      <c r="CA21" s="552"/>
      <c r="CB21" s="552"/>
      <c r="CC21" s="552"/>
      <c r="CD21" s="552"/>
      <c r="CE21" s="552"/>
      <c r="CF21" s="552"/>
      <c r="CG21" s="552"/>
      <c r="CH21" s="552"/>
      <c r="CI21" s="552"/>
      <c r="CJ21" s="552"/>
      <c r="CK21" s="552"/>
      <c r="CL21" s="552"/>
      <c r="CM21" s="552"/>
      <c r="CN21" s="552"/>
      <c r="CO21" s="552"/>
      <c r="CP21" s="552"/>
      <c r="CQ21" s="552"/>
      <c r="CR21" s="552"/>
      <c r="CS21" s="552"/>
      <c r="CT21" s="552"/>
      <c r="CU21" s="552"/>
      <c r="CV21" s="552"/>
      <c r="CW21" s="552"/>
      <c r="CX21" s="552"/>
      <c r="CY21" s="552"/>
      <c r="CZ21" s="552"/>
      <c r="DA21" s="552"/>
      <c r="DB21" s="552"/>
      <c r="DC21" s="552"/>
      <c r="DD21" s="552"/>
      <c r="DE21" s="552"/>
      <c r="DF21" s="552"/>
      <c r="DG21" s="552"/>
      <c r="DH21" s="552"/>
      <c r="DI21" s="552"/>
      <c r="DJ21" s="552"/>
      <c r="DK21" s="552"/>
      <c r="DL21" s="552"/>
      <c r="DM21" s="552"/>
      <c r="DN21" s="552"/>
      <c r="DO21" s="552"/>
      <c r="DP21" s="552"/>
      <c r="DQ21" s="552"/>
      <c r="DR21" s="552"/>
      <c r="DS21" s="552"/>
      <c r="DT21" s="552"/>
      <c r="DU21" s="552"/>
      <c r="DV21" s="552"/>
      <c r="DW21" s="552"/>
      <c r="DX21" s="552"/>
      <c r="DY21" s="552"/>
      <c r="DZ21" s="552"/>
      <c r="EA21" s="552"/>
      <c r="EB21" s="552"/>
      <c r="EC21" s="552"/>
      <c r="ED21" s="552"/>
      <c r="EE21" s="552"/>
      <c r="EF21" s="552"/>
      <c r="EG21" s="552"/>
      <c r="EH21" s="552"/>
      <c r="EI21" s="552"/>
      <c r="EJ21" s="552"/>
      <c r="EK21" s="552"/>
      <c r="EL21" s="552"/>
      <c r="EM21" s="552"/>
      <c r="EN21" s="552"/>
      <c r="EO21" s="552"/>
      <c r="EP21" s="552"/>
      <c r="EQ21" s="552"/>
      <c r="ER21" s="552"/>
      <c r="ES21" s="552"/>
      <c r="ET21" s="552"/>
      <c r="EU21" s="552"/>
      <c r="EV21" s="552"/>
      <c r="EW21" s="552"/>
      <c r="EX21" s="552"/>
      <c r="EY21" s="552"/>
      <c r="EZ21" s="552"/>
      <c r="FA21" s="552"/>
      <c r="FB21" s="552"/>
      <c r="FC21" s="552"/>
      <c r="FD21" s="552"/>
      <c r="FE21" s="552"/>
      <c r="FF21" s="552"/>
      <c r="FG21" s="552"/>
      <c r="FH21" s="552"/>
      <c r="FI21" s="552"/>
      <c r="FJ21" s="552"/>
      <c r="FK21" s="552"/>
      <c r="FL21" s="552"/>
      <c r="FM21" s="552"/>
      <c r="FN21" s="552"/>
      <c r="FO21" s="552"/>
      <c r="FP21" s="552"/>
      <c r="FQ21" s="552"/>
      <c r="FR21" s="552"/>
      <c r="FS21" s="552"/>
      <c r="FT21" s="552"/>
      <c r="FU21" s="552"/>
      <c r="FV21" s="552"/>
      <c r="FW21" s="552"/>
      <c r="FX21" s="552"/>
      <c r="FY21" s="552"/>
      <c r="FZ21" s="552"/>
      <c r="GA21" s="552"/>
      <c r="GB21" s="552"/>
      <c r="GC21" s="552"/>
      <c r="GD21" s="552"/>
      <c r="GE21" s="552"/>
      <c r="GF21" s="552"/>
      <c r="GG21" s="552"/>
      <c r="GH21" s="552"/>
      <c r="GI21" s="552"/>
      <c r="GJ21" s="552"/>
      <c r="GK21" s="552"/>
      <c r="GL21" s="552"/>
      <c r="GM21" s="552"/>
      <c r="GN21" s="552"/>
      <c r="GO21" s="552"/>
      <c r="GP21" s="552"/>
      <c r="GQ21" s="552"/>
      <c r="GR21" s="552"/>
      <c r="GS21" s="552"/>
      <c r="GT21" s="552"/>
      <c r="GU21" s="552"/>
      <c r="GV21" s="552"/>
      <c r="GW21" s="552"/>
      <c r="GX21" s="552"/>
      <c r="GY21" s="552"/>
      <c r="GZ21" s="552"/>
      <c r="HA21" s="552"/>
      <c r="HB21" s="552"/>
      <c r="HC21" s="552"/>
      <c r="HD21" s="552"/>
      <c r="HE21" s="552"/>
      <c r="HF21" s="552"/>
      <c r="HG21" s="552"/>
      <c r="HH21" s="552"/>
      <c r="HI21" s="552"/>
      <c r="HJ21" s="552"/>
      <c r="HK21" s="552"/>
      <c r="HL21" s="552"/>
      <c r="HM21" s="552"/>
      <c r="HN21" s="552"/>
      <c r="HO21" s="552"/>
      <c r="HP21" s="552"/>
      <c r="HQ21" s="552"/>
      <c r="HR21" s="552"/>
      <c r="HS21" s="552"/>
      <c r="HT21" s="552"/>
      <c r="HU21" s="552"/>
      <c r="HV21" s="552"/>
      <c r="HW21" s="552"/>
      <c r="HX21" s="552"/>
      <c r="HY21" s="552"/>
      <c r="HZ21" s="552"/>
      <c r="IA21" s="552"/>
      <c r="IB21" s="552"/>
      <c r="IC21" s="552"/>
      <c r="ID21" s="552"/>
      <c r="IE21" s="552"/>
      <c r="IF21" s="552"/>
      <c r="IG21" s="552"/>
      <c r="IH21" s="552"/>
      <c r="II21" s="552"/>
      <c r="IJ21" s="552"/>
      <c r="IK21" s="552"/>
      <c r="IL21" s="552"/>
      <c r="IM21" s="552"/>
      <c r="IN21" s="552"/>
      <c r="IO21" s="552"/>
      <c r="IP21" s="552"/>
      <c r="IQ21" s="552"/>
      <c r="IR21" s="552"/>
      <c r="IS21" s="552"/>
      <c r="IT21" s="552"/>
      <c r="IU21" s="552"/>
      <c r="IV21" s="552"/>
    </row>
    <row r="22" spans="1:256" s="600" customFormat="1" ht="87" customHeight="1">
      <c r="A22" s="588">
        <v>14</v>
      </c>
      <c r="B22" s="601"/>
      <c r="C22" s="556">
        <v>9</v>
      </c>
      <c r="D22" s="717" t="s">
        <v>672</v>
      </c>
      <c r="E22" s="604">
        <f>F22+G22+O23+P23</f>
        <v>17000</v>
      </c>
      <c r="F22" s="626"/>
      <c r="G22" s="614"/>
      <c r="H22" s="615" t="s">
        <v>231</v>
      </c>
      <c r="I22" s="701"/>
      <c r="J22" s="625"/>
      <c r="K22" s="624"/>
      <c r="L22" s="624"/>
      <c r="M22" s="624"/>
      <c r="N22" s="624"/>
      <c r="O22" s="616"/>
      <c r="P22" s="611"/>
      <c r="Q22" s="552"/>
      <c r="R22" s="552"/>
      <c r="S22" s="552"/>
      <c r="T22" s="552"/>
      <c r="U22" s="552"/>
      <c r="V22" s="552"/>
      <c r="W22" s="552"/>
      <c r="X22" s="552"/>
      <c r="Y22" s="552"/>
      <c r="Z22" s="552"/>
      <c r="AA22" s="552"/>
      <c r="AB22" s="552"/>
      <c r="AC22" s="552"/>
      <c r="AD22" s="552"/>
      <c r="AE22" s="552"/>
      <c r="AF22" s="552"/>
      <c r="AG22" s="552"/>
      <c r="AH22" s="552"/>
      <c r="AI22" s="552"/>
      <c r="AJ22" s="552"/>
      <c r="AK22" s="552"/>
      <c r="AL22" s="552"/>
      <c r="AM22" s="552"/>
      <c r="AN22" s="552"/>
      <c r="AO22" s="552"/>
      <c r="AP22" s="552"/>
      <c r="AQ22" s="552"/>
      <c r="AR22" s="552"/>
      <c r="AS22" s="552"/>
      <c r="AT22" s="552"/>
      <c r="AU22" s="552"/>
      <c r="AV22" s="552"/>
      <c r="AW22" s="552"/>
      <c r="AX22" s="552"/>
      <c r="AY22" s="552"/>
      <c r="AZ22" s="552"/>
      <c r="BA22" s="552"/>
      <c r="BB22" s="552"/>
      <c r="BC22" s="552"/>
      <c r="BD22" s="552"/>
      <c r="BE22" s="552"/>
      <c r="BF22" s="552"/>
      <c r="BG22" s="552"/>
      <c r="BH22" s="552"/>
      <c r="BI22" s="552"/>
      <c r="BJ22" s="552"/>
      <c r="BK22" s="552"/>
      <c r="BL22" s="552"/>
      <c r="BM22" s="552"/>
      <c r="BN22" s="552"/>
      <c r="BO22" s="552"/>
      <c r="BP22" s="552"/>
      <c r="BQ22" s="552"/>
      <c r="BR22" s="552"/>
      <c r="BS22" s="552"/>
      <c r="BT22" s="552"/>
      <c r="BU22" s="552"/>
      <c r="BV22" s="552"/>
      <c r="BW22" s="552"/>
      <c r="BX22" s="552"/>
      <c r="BY22" s="552"/>
      <c r="BZ22" s="552"/>
      <c r="CA22" s="552"/>
      <c r="CB22" s="552"/>
      <c r="CC22" s="552"/>
      <c r="CD22" s="552"/>
      <c r="CE22" s="552"/>
      <c r="CF22" s="552"/>
      <c r="CG22" s="552"/>
      <c r="CH22" s="552"/>
      <c r="CI22" s="552"/>
      <c r="CJ22" s="552"/>
      <c r="CK22" s="552"/>
      <c r="CL22" s="552"/>
      <c r="CM22" s="552"/>
      <c r="CN22" s="552"/>
      <c r="CO22" s="552"/>
      <c r="CP22" s="552"/>
      <c r="CQ22" s="552"/>
      <c r="CR22" s="552"/>
      <c r="CS22" s="552"/>
      <c r="CT22" s="552"/>
      <c r="CU22" s="552"/>
      <c r="CV22" s="552"/>
      <c r="CW22" s="552"/>
      <c r="CX22" s="552"/>
      <c r="CY22" s="552"/>
      <c r="CZ22" s="552"/>
      <c r="DA22" s="552"/>
      <c r="DB22" s="552"/>
      <c r="DC22" s="552"/>
      <c r="DD22" s="552"/>
      <c r="DE22" s="552"/>
      <c r="DF22" s="552"/>
      <c r="DG22" s="552"/>
      <c r="DH22" s="552"/>
      <c r="DI22" s="552"/>
      <c r="DJ22" s="552"/>
      <c r="DK22" s="552"/>
      <c r="DL22" s="552"/>
      <c r="DM22" s="552"/>
      <c r="DN22" s="552"/>
      <c r="DO22" s="552"/>
      <c r="DP22" s="552"/>
      <c r="DQ22" s="552"/>
      <c r="DR22" s="552"/>
      <c r="DS22" s="552"/>
      <c r="DT22" s="552"/>
      <c r="DU22" s="552"/>
      <c r="DV22" s="552"/>
      <c r="DW22" s="552"/>
      <c r="DX22" s="552"/>
      <c r="DY22" s="552"/>
      <c r="DZ22" s="552"/>
      <c r="EA22" s="552"/>
      <c r="EB22" s="552"/>
      <c r="EC22" s="552"/>
      <c r="ED22" s="552"/>
      <c r="EE22" s="552"/>
      <c r="EF22" s="552"/>
      <c r="EG22" s="552"/>
      <c r="EH22" s="552"/>
      <c r="EI22" s="552"/>
      <c r="EJ22" s="552"/>
      <c r="EK22" s="552"/>
      <c r="EL22" s="552"/>
      <c r="EM22" s="552"/>
      <c r="EN22" s="552"/>
      <c r="EO22" s="552"/>
      <c r="EP22" s="552"/>
      <c r="EQ22" s="552"/>
      <c r="ER22" s="552"/>
      <c r="ES22" s="552"/>
      <c r="ET22" s="552"/>
      <c r="EU22" s="552"/>
      <c r="EV22" s="552"/>
      <c r="EW22" s="552"/>
      <c r="EX22" s="552"/>
      <c r="EY22" s="552"/>
      <c r="EZ22" s="552"/>
      <c r="FA22" s="552"/>
      <c r="FB22" s="552"/>
      <c r="FC22" s="552"/>
      <c r="FD22" s="552"/>
      <c r="FE22" s="552"/>
      <c r="FF22" s="552"/>
      <c r="FG22" s="552"/>
      <c r="FH22" s="552"/>
      <c r="FI22" s="552"/>
      <c r="FJ22" s="552"/>
      <c r="FK22" s="552"/>
      <c r="FL22" s="552"/>
      <c r="FM22" s="552"/>
      <c r="FN22" s="552"/>
      <c r="FO22" s="552"/>
      <c r="FP22" s="552"/>
      <c r="FQ22" s="552"/>
      <c r="FR22" s="552"/>
      <c r="FS22" s="552"/>
      <c r="FT22" s="552"/>
      <c r="FU22" s="552"/>
      <c r="FV22" s="552"/>
      <c r="FW22" s="552"/>
      <c r="FX22" s="552"/>
      <c r="FY22" s="552"/>
      <c r="FZ22" s="552"/>
      <c r="GA22" s="552"/>
      <c r="GB22" s="552"/>
      <c r="GC22" s="552"/>
      <c r="GD22" s="552"/>
      <c r="GE22" s="552"/>
      <c r="GF22" s="552"/>
      <c r="GG22" s="552"/>
      <c r="GH22" s="552"/>
      <c r="GI22" s="552"/>
      <c r="GJ22" s="552"/>
      <c r="GK22" s="552"/>
      <c r="GL22" s="552"/>
      <c r="GM22" s="552"/>
      <c r="GN22" s="552"/>
      <c r="GO22" s="552"/>
      <c r="GP22" s="552"/>
      <c r="GQ22" s="552"/>
      <c r="GR22" s="552"/>
      <c r="GS22" s="552"/>
      <c r="GT22" s="552"/>
      <c r="GU22" s="552"/>
      <c r="GV22" s="552"/>
      <c r="GW22" s="552"/>
      <c r="GX22" s="552"/>
      <c r="GY22" s="552"/>
      <c r="GZ22" s="552"/>
      <c r="HA22" s="552"/>
      <c r="HB22" s="552"/>
      <c r="HC22" s="552"/>
      <c r="HD22" s="552"/>
      <c r="HE22" s="552"/>
      <c r="HF22" s="552"/>
      <c r="HG22" s="552"/>
      <c r="HH22" s="552"/>
      <c r="HI22" s="552"/>
      <c r="HJ22" s="552"/>
      <c r="HK22" s="552"/>
      <c r="HL22" s="552"/>
      <c r="HM22" s="552"/>
      <c r="HN22" s="552"/>
      <c r="HO22" s="552"/>
      <c r="HP22" s="552"/>
      <c r="HQ22" s="552"/>
      <c r="HR22" s="552"/>
      <c r="HS22" s="552"/>
      <c r="HT22" s="552"/>
      <c r="HU22" s="552"/>
      <c r="HV22" s="552"/>
      <c r="HW22" s="552"/>
      <c r="HX22" s="552"/>
      <c r="HY22" s="552"/>
      <c r="HZ22" s="552"/>
      <c r="IA22" s="552"/>
      <c r="IB22" s="552"/>
      <c r="IC22" s="552"/>
      <c r="ID22" s="552"/>
      <c r="IE22" s="552"/>
      <c r="IF22" s="552"/>
      <c r="IG22" s="552"/>
      <c r="IH22" s="552"/>
      <c r="II22" s="552"/>
      <c r="IJ22" s="552"/>
      <c r="IK22" s="552"/>
      <c r="IL22" s="552"/>
      <c r="IM22" s="552"/>
      <c r="IN22" s="552"/>
      <c r="IO22" s="552"/>
      <c r="IP22" s="552"/>
      <c r="IQ22" s="552"/>
      <c r="IR22" s="552"/>
      <c r="IS22" s="552"/>
      <c r="IT22" s="552"/>
      <c r="IU22" s="552"/>
      <c r="IV22" s="552"/>
    </row>
    <row r="23" spans="1:256" s="600" customFormat="1" ht="18" customHeight="1">
      <c r="A23" s="588">
        <v>15</v>
      </c>
      <c r="B23" s="601"/>
      <c r="C23" s="556"/>
      <c r="D23" s="613" t="s">
        <v>198</v>
      </c>
      <c r="E23" s="604"/>
      <c r="F23" s="626"/>
      <c r="G23" s="614"/>
      <c r="H23" s="615"/>
      <c r="I23" s="701"/>
      <c r="J23" s="625"/>
      <c r="K23" s="624"/>
      <c r="L23" s="624"/>
      <c r="M23" s="624">
        <v>17000</v>
      </c>
      <c r="N23" s="624"/>
      <c r="O23" s="616">
        <f>SUM(I23:N23)</f>
        <v>17000</v>
      </c>
      <c r="P23" s="611"/>
      <c r="Q23" s="552"/>
      <c r="R23" s="552"/>
      <c r="S23" s="552"/>
      <c r="T23" s="552"/>
      <c r="U23" s="552"/>
      <c r="V23" s="552"/>
      <c r="W23" s="552"/>
      <c r="X23" s="552"/>
      <c r="Y23" s="552"/>
      <c r="Z23" s="552"/>
      <c r="AA23" s="552"/>
      <c r="AB23" s="552"/>
      <c r="AC23" s="552"/>
      <c r="AD23" s="552"/>
      <c r="AE23" s="552"/>
      <c r="AF23" s="552"/>
      <c r="AG23" s="552"/>
      <c r="AH23" s="552"/>
      <c r="AI23" s="552"/>
      <c r="AJ23" s="552"/>
      <c r="AK23" s="552"/>
      <c r="AL23" s="552"/>
      <c r="AM23" s="552"/>
      <c r="AN23" s="552"/>
      <c r="AO23" s="552"/>
      <c r="AP23" s="552"/>
      <c r="AQ23" s="552"/>
      <c r="AR23" s="552"/>
      <c r="AS23" s="552"/>
      <c r="AT23" s="552"/>
      <c r="AU23" s="552"/>
      <c r="AV23" s="552"/>
      <c r="AW23" s="552"/>
      <c r="AX23" s="552"/>
      <c r="AY23" s="552"/>
      <c r="AZ23" s="552"/>
      <c r="BA23" s="552"/>
      <c r="BB23" s="552"/>
      <c r="BC23" s="552"/>
      <c r="BD23" s="552"/>
      <c r="BE23" s="552"/>
      <c r="BF23" s="552"/>
      <c r="BG23" s="552"/>
      <c r="BH23" s="552"/>
      <c r="BI23" s="552"/>
      <c r="BJ23" s="552"/>
      <c r="BK23" s="552"/>
      <c r="BL23" s="552"/>
      <c r="BM23" s="552"/>
      <c r="BN23" s="552"/>
      <c r="BO23" s="552"/>
      <c r="BP23" s="552"/>
      <c r="BQ23" s="552"/>
      <c r="BR23" s="552"/>
      <c r="BS23" s="552"/>
      <c r="BT23" s="552"/>
      <c r="BU23" s="552"/>
      <c r="BV23" s="552"/>
      <c r="BW23" s="552"/>
      <c r="BX23" s="552"/>
      <c r="BY23" s="552"/>
      <c r="BZ23" s="552"/>
      <c r="CA23" s="552"/>
      <c r="CB23" s="552"/>
      <c r="CC23" s="552"/>
      <c r="CD23" s="552"/>
      <c r="CE23" s="552"/>
      <c r="CF23" s="552"/>
      <c r="CG23" s="552"/>
      <c r="CH23" s="552"/>
      <c r="CI23" s="552"/>
      <c r="CJ23" s="552"/>
      <c r="CK23" s="552"/>
      <c r="CL23" s="552"/>
      <c r="CM23" s="552"/>
      <c r="CN23" s="552"/>
      <c r="CO23" s="552"/>
      <c r="CP23" s="552"/>
      <c r="CQ23" s="552"/>
      <c r="CR23" s="552"/>
      <c r="CS23" s="552"/>
      <c r="CT23" s="552"/>
      <c r="CU23" s="552"/>
      <c r="CV23" s="552"/>
      <c r="CW23" s="552"/>
      <c r="CX23" s="552"/>
      <c r="CY23" s="552"/>
      <c r="CZ23" s="552"/>
      <c r="DA23" s="552"/>
      <c r="DB23" s="552"/>
      <c r="DC23" s="552"/>
      <c r="DD23" s="552"/>
      <c r="DE23" s="552"/>
      <c r="DF23" s="552"/>
      <c r="DG23" s="552"/>
      <c r="DH23" s="552"/>
      <c r="DI23" s="552"/>
      <c r="DJ23" s="552"/>
      <c r="DK23" s="552"/>
      <c r="DL23" s="552"/>
      <c r="DM23" s="552"/>
      <c r="DN23" s="552"/>
      <c r="DO23" s="552"/>
      <c r="DP23" s="552"/>
      <c r="DQ23" s="552"/>
      <c r="DR23" s="552"/>
      <c r="DS23" s="552"/>
      <c r="DT23" s="552"/>
      <c r="DU23" s="552"/>
      <c r="DV23" s="552"/>
      <c r="DW23" s="552"/>
      <c r="DX23" s="552"/>
      <c r="DY23" s="552"/>
      <c r="DZ23" s="552"/>
      <c r="EA23" s="552"/>
      <c r="EB23" s="552"/>
      <c r="EC23" s="552"/>
      <c r="ED23" s="552"/>
      <c r="EE23" s="552"/>
      <c r="EF23" s="552"/>
      <c r="EG23" s="552"/>
      <c r="EH23" s="552"/>
      <c r="EI23" s="552"/>
      <c r="EJ23" s="552"/>
      <c r="EK23" s="552"/>
      <c r="EL23" s="552"/>
      <c r="EM23" s="552"/>
      <c r="EN23" s="552"/>
      <c r="EO23" s="552"/>
      <c r="EP23" s="552"/>
      <c r="EQ23" s="552"/>
      <c r="ER23" s="552"/>
      <c r="ES23" s="552"/>
      <c r="ET23" s="552"/>
      <c r="EU23" s="552"/>
      <c r="EV23" s="552"/>
      <c r="EW23" s="552"/>
      <c r="EX23" s="552"/>
      <c r="EY23" s="552"/>
      <c r="EZ23" s="552"/>
      <c r="FA23" s="552"/>
      <c r="FB23" s="552"/>
      <c r="FC23" s="552"/>
      <c r="FD23" s="552"/>
      <c r="FE23" s="552"/>
      <c r="FF23" s="552"/>
      <c r="FG23" s="552"/>
      <c r="FH23" s="552"/>
      <c r="FI23" s="552"/>
      <c r="FJ23" s="552"/>
      <c r="FK23" s="552"/>
      <c r="FL23" s="552"/>
      <c r="FM23" s="552"/>
      <c r="FN23" s="552"/>
      <c r="FO23" s="552"/>
      <c r="FP23" s="552"/>
      <c r="FQ23" s="552"/>
      <c r="FR23" s="552"/>
      <c r="FS23" s="552"/>
      <c r="FT23" s="552"/>
      <c r="FU23" s="552"/>
      <c r="FV23" s="552"/>
      <c r="FW23" s="552"/>
      <c r="FX23" s="552"/>
      <c r="FY23" s="552"/>
      <c r="FZ23" s="552"/>
      <c r="GA23" s="552"/>
      <c r="GB23" s="552"/>
      <c r="GC23" s="552"/>
      <c r="GD23" s="552"/>
      <c r="GE23" s="552"/>
      <c r="GF23" s="552"/>
      <c r="GG23" s="552"/>
      <c r="GH23" s="552"/>
      <c r="GI23" s="552"/>
      <c r="GJ23" s="552"/>
      <c r="GK23" s="552"/>
      <c r="GL23" s="552"/>
      <c r="GM23" s="552"/>
      <c r="GN23" s="552"/>
      <c r="GO23" s="552"/>
      <c r="GP23" s="552"/>
      <c r="GQ23" s="552"/>
      <c r="GR23" s="552"/>
      <c r="GS23" s="552"/>
      <c r="GT23" s="552"/>
      <c r="GU23" s="552"/>
      <c r="GV23" s="552"/>
      <c r="GW23" s="552"/>
      <c r="GX23" s="552"/>
      <c r="GY23" s="552"/>
      <c r="GZ23" s="552"/>
      <c r="HA23" s="552"/>
      <c r="HB23" s="552"/>
      <c r="HC23" s="552"/>
      <c r="HD23" s="552"/>
      <c r="HE23" s="552"/>
      <c r="HF23" s="552"/>
      <c r="HG23" s="552"/>
      <c r="HH23" s="552"/>
      <c r="HI23" s="552"/>
      <c r="HJ23" s="552"/>
      <c r="HK23" s="552"/>
      <c r="HL23" s="552"/>
      <c r="HM23" s="552"/>
      <c r="HN23" s="552"/>
      <c r="HO23" s="552"/>
      <c r="HP23" s="552"/>
      <c r="HQ23" s="552"/>
      <c r="HR23" s="552"/>
      <c r="HS23" s="552"/>
      <c r="HT23" s="552"/>
      <c r="HU23" s="552"/>
      <c r="HV23" s="552"/>
      <c r="HW23" s="552"/>
      <c r="HX23" s="552"/>
      <c r="HY23" s="552"/>
      <c r="HZ23" s="552"/>
      <c r="IA23" s="552"/>
      <c r="IB23" s="552"/>
      <c r="IC23" s="552"/>
      <c r="ID23" s="552"/>
      <c r="IE23" s="552"/>
      <c r="IF23" s="552"/>
      <c r="IG23" s="552"/>
      <c r="IH23" s="552"/>
      <c r="II23" s="552"/>
      <c r="IJ23" s="552"/>
      <c r="IK23" s="552"/>
      <c r="IL23" s="552"/>
      <c r="IM23" s="552"/>
      <c r="IN23" s="552"/>
      <c r="IO23" s="552"/>
      <c r="IP23" s="552"/>
      <c r="IQ23" s="552"/>
      <c r="IR23" s="552"/>
      <c r="IS23" s="552"/>
      <c r="IT23" s="552"/>
      <c r="IU23" s="552"/>
      <c r="IV23" s="552"/>
    </row>
    <row r="24" spans="1:256" s="600" customFormat="1" ht="18" customHeight="1">
      <c r="A24" s="588">
        <v>16</v>
      </c>
      <c r="B24" s="601"/>
      <c r="C24" s="556"/>
      <c r="D24" s="617" t="s">
        <v>765</v>
      </c>
      <c r="E24" s="604"/>
      <c r="F24" s="626"/>
      <c r="G24" s="614"/>
      <c r="H24" s="615"/>
      <c r="I24" s="701"/>
      <c r="J24" s="625"/>
      <c r="K24" s="624"/>
      <c r="L24" s="624"/>
      <c r="M24" s="627">
        <v>17000</v>
      </c>
      <c r="N24" s="624"/>
      <c r="O24" s="563">
        <f>SUM(I24:N24)</f>
        <v>17000</v>
      </c>
      <c r="P24" s="611"/>
      <c r="Q24" s="552"/>
      <c r="R24" s="552"/>
      <c r="S24" s="552"/>
      <c r="T24" s="552"/>
      <c r="U24" s="552"/>
      <c r="V24" s="552"/>
      <c r="W24" s="552"/>
      <c r="X24" s="552"/>
      <c r="Y24" s="552"/>
      <c r="Z24" s="552"/>
      <c r="AA24" s="552"/>
      <c r="AB24" s="552"/>
      <c r="AC24" s="552"/>
      <c r="AD24" s="552"/>
      <c r="AE24" s="552"/>
      <c r="AF24" s="552"/>
      <c r="AG24" s="552"/>
      <c r="AH24" s="552"/>
      <c r="AI24" s="552"/>
      <c r="AJ24" s="552"/>
      <c r="AK24" s="552"/>
      <c r="AL24" s="552"/>
      <c r="AM24" s="552"/>
      <c r="AN24" s="552"/>
      <c r="AO24" s="552"/>
      <c r="AP24" s="552"/>
      <c r="AQ24" s="552"/>
      <c r="AR24" s="552"/>
      <c r="AS24" s="552"/>
      <c r="AT24" s="552"/>
      <c r="AU24" s="552"/>
      <c r="AV24" s="552"/>
      <c r="AW24" s="552"/>
      <c r="AX24" s="552"/>
      <c r="AY24" s="552"/>
      <c r="AZ24" s="552"/>
      <c r="BA24" s="552"/>
      <c r="BB24" s="552"/>
      <c r="BC24" s="552"/>
      <c r="BD24" s="552"/>
      <c r="BE24" s="552"/>
      <c r="BF24" s="552"/>
      <c r="BG24" s="552"/>
      <c r="BH24" s="552"/>
      <c r="BI24" s="552"/>
      <c r="BJ24" s="552"/>
      <c r="BK24" s="552"/>
      <c r="BL24" s="552"/>
      <c r="BM24" s="552"/>
      <c r="BN24" s="552"/>
      <c r="BO24" s="552"/>
      <c r="BP24" s="552"/>
      <c r="BQ24" s="552"/>
      <c r="BR24" s="552"/>
      <c r="BS24" s="552"/>
      <c r="BT24" s="552"/>
      <c r="BU24" s="552"/>
      <c r="BV24" s="552"/>
      <c r="BW24" s="552"/>
      <c r="BX24" s="552"/>
      <c r="BY24" s="552"/>
      <c r="BZ24" s="552"/>
      <c r="CA24" s="552"/>
      <c r="CB24" s="552"/>
      <c r="CC24" s="552"/>
      <c r="CD24" s="552"/>
      <c r="CE24" s="552"/>
      <c r="CF24" s="552"/>
      <c r="CG24" s="552"/>
      <c r="CH24" s="552"/>
      <c r="CI24" s="552"/>
      <c r="CJ24" s="552"/>
      <c r="CK24" s="552"/>
      <c r="CL24" s="552"/>
      <c r="CM24" s="552"/>
      <c r="CN24" s="552"/>
      <c r="CO24" s="552"/>
      <c r="CP24" s="552"/>
      <c r="CQ24" s="552"/>
      <c r="CR24" s="552"/>
      <c r="CS24" s="552"/>
      <c r="CT24" s="552"/>
      <c r="CU24" s="552"/>
      <c r="CV24" s="552"/>
      <c r="CW24" s="552"/>
      <c r="CX24" s="552"/>
      <c r="CY24" s="552"/>
      <c r="CZ24" s="552"/>
      <c r="DA24" s="552"/>
      <c r="DB24" s="552"/>
      <c r="DC24" s="552"/>
      <c r="DD24" s="552"/>
      <c r="DE24" s="552"/>
      <c r="DF24" s="552"/>
      <c r="DG24" s="552"/>
      <c r="DH24" s="552"/>
      <c r="DI24" s="552"/>
      <c r="DJ24" s="552"/>
      <c r="DK24" s="552"/>
      <c r="DL24" s="552"/>
      <c r="DM24" s="552"/>
      <c r="DN24" s="552"/>
      <c r="DO24" s="552"/>
      <c r="DP24" s="552"/>
      <c r="DQ24" s="552"/>
      <c r="DR24" s="552"/>
      <c r="DS24" s="552"/>
      <c r="DT24" s="552"/>
      <c r="DU24" s="552"/>
      <c r="DV24" s="552"/>
      <c r="DW24" s="552"/>
      <c r="DX24" s="552"/>
      <c r="DY24" s="552"/>
      <c r="DZ24" s="552"/>
      <c r="EA24" s="552"/>
      <c r="EB24" s="552"/>
      <c r="EC24" s="552"/>
      <c r="ED24" s="552"/>
      <c r="EE24" s="552"/>
      <c r="EF24" s="552"/>
      <c r="EG24" s="552"/>
      <c r="EH24" s="552"/>
      <c r="EI24" s="552"/>
      <c r="EJ24" s="552"/>
      <c r="EK24" s="552"/>
      <c r="EL24" s="552"/>
      <c r="EM24" s="552"/>
      <c r="EN24" s="552"/>
      <c r="EO24" s="552"/>
      <c r="EP24" s="552"/>
      <c r="EQ24" s="552"/>
      <c r="ER24" s="552"/>
      <c r="ES24" s="552"/>
      <c r="ET24" s="552"/>
      <c r="EU24" s="552"/>
      <c r="EV24" s="552"/>
      <c r="EW24" s="552"/>
      <c r="EX24" s="552"/>
      <c r="EY24" s="552"/>
      <c r="EZ24" s="552"/>
      <c r="FA24" s="552"/>
      <c r="FB24" s="552"/>
      <c r="FC24" s="552"/>
      <c r="FD24" s="552"/>
      <c r="FE24" s="552"/>
      <c r="FF24" s="552"/>
      <c r="FG24" s="552"/>
      <c r="FH24" s="552"/>
      <c r="FI24" s="552"/>
      <c r="FJ24" s="552"/>
      <c r="FK24" s="552"/>
      <c r="FL24" s="552"/>
      <c r="FM24" s="552"/>
      <c r="FN24" s="552"/>
      <c r="FO24" s="552"/>
      <c r="FP24" s="552"/>
      <c r="FQ24" s="552"/>
      <c r="FR24" s="552"/>
      <c r="FS24" s="552"/>
      <c r="FT24" s="552"/>
      <c r="FU24" s="552"/>
      <c r="FV24" s="552"/>
      <c r="FW24" s="552"/>
      <c r="FX24" s="552"/>
      <c r="FY24" s="552"/>
      <c r="FZ24" s="552"/>
      <c r="GA24" s="552"/>
      <c r="GB24" s="552"/>
      <c r="GC24" s="552"/>
      <c r="GD24" s="552"/>
      <c r="GE24" s="552"/>
      <c r="GF24" s="552"/>
      <c r="GG24" s="552"/>
      <c r="GH24" s="552"/>
      <c r="GI24" s="552"/>
      <c r="GJ24" s="552"/>
      <c r="GK24" s="552"/>
      <c r="GL24" s="552"/>
      <c r="GM24" s="552"/>
      <c r="GN24" s="552"/>
      <c r="GO24" s="552"/>
      <c r="GP24" s="552"/>
      <c r="GQ24" s="552"/>
      <c r="GR24" s="552"/>
      <c r="GS24" s="552"/>
      <c r="GT24" s="552"/>
      <c r="GU24" s="552"/>
      <c r="GV24" s="552"/>
      <c r="GW24" s="552"/>
      <c r="GX24" s="552"/>
      <c r="GY24" s="552"/>
      <c r="GZ24" s="552"/>
      <c r="HA24" s="552"/>
      <c r="HB24" s="552"/>
      <c r="HC24" s="552"/>
      <c r="HD24" s="552"/>
      <c r="HE24" s="552"/>
      <c r="HF24" s="552"/>
      <c r="HG24" s="552"/>
      <c r="HH24" s="552"/>
      <c r="HI24" s="552"/>
      <c r="HJ24" s="552"/>
      <c r="HK24" s="552"/>
      <c r="HL24" s="552"/>
      <c r="HM24" s="552"/>
      <c r="HN24" s="552"/>
      <c r="HO24" s="552"/>
      <c r="HP24" s="552"/>
      <c r="HQ24" s="552"/>
      <c r="HR24" s="552"/>
      <c r="HS24" s="552"/>
      <c r="HT24" s="552"/>
      <c r="HU24" s="552"/>
      <c r="HV24" s="552"/>
      <c r="HW24" s="552"/>
      <c r="HX24" s="552"/>
      <c r="HY24" s="552"/>
      <c r="HZ24" s="552"/>
      <c r="IA24" s="552"/>
      <c r="IB24" s="552"/>
      <c r="IC24" s="552"/>
      <c r="ID24" s="552"/>
      <c r="IE24" s="552"/>
      <c r="IF24" s="552"/>
      <c r="IG24" s="552"/>
      <c r="IH24" s="552"/>
      <c r="II24" s="552"/>
      <c r="IJ24" s="552"/>
      <c r="IK24" s="552"/>
      <c r="IL24" s="552"/>
      <c r="IM24" s="552"/>
      <c r="IN24" s="552"/>
      <c r="IO24" s="552"/>
      <c r="IP24" s="552"/>
      <c r="IQ24" s="552"/>
      <c r="IR24" s="552"/>
      <c r="IS24" s="552"/>
      <c r="IT24" s="552"/>
      <c r="IU24" s="552"/>
      <c r="IV24" s="552"/>
    </row>
    <row r="25" spans="1:256" s="600" customFormat="1" ht="18" customHeight="1">
      <c r="A25" s="588">
        <v>17</v>
      </c>
      <c r="B25" s="601"/>
      <c r="C25" s="556"/>
      <c r="D25" s="620" t="s">
        <v>1022</v>
      </c>
      <c r="E25" s="604"/>
      <c r="F25" s="626"/>
      <c r="G25" s="614"/>
      <c r="H25" s="615"/>
      <c r="I25" s="701"/>
      <c r="J25" s="625"/>
      <c r="K25" s="624"/>
      <c r="L25" s="624"/>
      <c r="M25" s="624"/>
      <c r="N25" s="624"/>
      <c r="O25" s="713">
        <f>SUM(I25:N25)</f>
        <v>0</v>
      </c>
      <c r="P25" s="611"/>
      <c r="Q25" s="552"/>
      <c r="R25" s="552"/>
      <c r="S25" s="552"/>
      <c r="T25" s="552"/>
      <c r="U25" s="552"/>
      <c r="V25" s="552"/>
      <c r="W25" s="552"/>
      <c r="X25" s="552"/>
      <c r="Y25" s="552"/>
      <c r="Z25" s="552"/>
      <c r="AA25" s="552"/>
      <c r="AB25" s="552"/>
      <c r="AC25" s="552"/>
      <c r="AD25" s="552"/>
      <c r="AE25" s="552"/>
      <c r="AF25" s="552"/>
      <c r="AG25" s="552"/>
      <c r="AH25" s="552"/>
      <c r="AI25" s="552"/>
      <c r="AJ25" s="552"/>
      <c r="AK25" s="552"/>
      <c r="AL25" s="552"/>
      <c r="AM25" s="552"/>
      <c r="AN25" s="552"/>
      <c r="AO25" s="552"/>
      <c r="AP25" s="552"/>
      <c r="AQ25" s="552"/>
      <c r="AR25" s="552"/>
      <c r="AS25" s="552"/>
      <c r="AT25" s="552"/>
      <c r="AU25" s="552"/>
      <c r="AV25" s="552"/>
      <c r="AW25" s="552"/>
      <c r="AX25" s="552"/>
      <c r="AY25" s="552"/>
      <c r="AZ25" s="552"/>
      <c r="BA25" s="552"/>
      <c r="BB25" s="552"/>
      <c r="BC25" s="552"/>
      <c r="BD25" s="552"/>
      <c r="BE25" s="552"/>
      <c r="BF25" s="552"/>
      <c r="BG25" s="552"/>
      <c r="BH25" s="552"/>
      <c r="BI25" s="552"/>
      <c r="BJ25" s="552"/>
      <c r="BK25" s="552"/>
      <c r="BL25" s="552"/>
      <c r="BM25" s="552"/>
      <c r="BN25" s="552"/>
      <c r="BO25" s="552"/>
      <c r="BP25" s="552"/>
      <c r="BQ25" s="552"/>
      <c r="BR25" s="552"/>
      <c r="BS25" s="552"/>
      <c r="BT25" s="552"/>
      <c r="BU25" s="552"/>
      <c r="BV25" s="552"/>
      <c r="BW25" s="552"/>
      <c r="BX25" s="552"/>
      <c r="BY25" s="552"/>
      <c r="BZ25" s="552"/>
      <c r="CA25" s="552"/>
      <c r="CB25" s="552"/>
      <c r="CC25" s="552"/>
      <c r="CD25" s="552"/>
      <c r="CE25" s="552"/>
      <c r="CF25" s="552"/>
      <c r="CG25" s="552"/>
      <c r="CH25" s="552"/>
      <c r="CI25" s="552"/>
      <c r="CJ25" s="552"/>
      <c r="CK25" s="552"/>
      <c r="CL25" s="552"/>
      <c r="CM25" s="552"/>
      <c r="CN25" s="552"/>
      <c r="CO25" s="552"/>
      <c r="CP25" s="552"/>
      <c r="CQ25" s="552"/>
      <c r="CR25" s="552"/>
      <c r="CS25" s="552"/>
      <c r="CT25" s="552"/>
      <c r="CU25" s="552"/>
      <c r="CV25" s="552"/>
      <c r="CW25" s="552"/>
      <c r="CX25" s="552"/>
      <c r="CY25" s="552"/>
      <c r="CZ25" s="552"/>
      <c r="DA25" s="552"/>
      <c r="DB25" s="552"/>
      <c r="DC25" s="552"/>
      <c r="DD25" s="552"/>
      <c r="DE25" s="552"/>
      <c r="DF25" s="552"/>
      <c r="DG25" s="552"/>
      <c r="DH25" s="552"/>
      <c r="DI25" s="552"/>
      <c r="DJ25" s="552"/>
      <c r="DK25" s="552"/>
      <c r="DL25" s="552"/>
      <c r="DM25" s="552"/>
      <c r="DN25" s="552"/>
      <c r="DO25" s="552"/>
      <c r="DP25" s="552"/>
      <c r="DQ25" s="552"/>
      <c r="DR25" s="552"/>
      <c r="DS25" s="552"/>
      <c r="DT25" s="552"/>
      <c r="DU25" s="552"/>
      <c r="DV25" s="552"/>
      <c r="DW25" s="552"/>
      <c r="DX25" s="552"/>
      <c r="DY25" s="552"/>
      <c r="DZ25" s="552"/>
      <c r="EA25" s="552"/>
      <c r="EB25" s="552"/>
      <c r="EC25" s="552"/>
      <c r="ED25" s="552"/>
      <c r="EE25" s="552"/>
      <c r="EF25" s="552"/>
      <c r="EG25" s="552"/>
      <c r="EH25" s="552"/>
      <c r="EI25" s="552"/>
      <c r="EJ25" s="552"/>
      <c r="EK25" s="552"/>
      <c r="EL25" s="552"/>
      <c r="EM25" s="552"/>
      <c r="EN25" s="552"/>
      <c r="EO25" s="552"/>
      <c r="EP25" s="552"/>
      <c r="EQ25" s="552"/>
      <c r="ER25" s="552"/>
      <c r="ES25" s="552"/>
      <c r="ET25" s="552"/>
      <c r="EU25" s="552"/>
      <c r="EV25" s="552"/>
      <c r="EW25" s="552"/>
      <c r="EX25" s="552"/>
      <c r="EY25" s="552"/>
      <c r="EZ25" s="552"/>
      <c r="FA25" s="552"/>
      <c r="FB25" s="552"/>
      <c r="FC25" s="552"/>
      <c r="FD25" s="552"/>
      <c r="FE25" s="552"/>
      <c r="FF25" s="552"/>
      <c r="FG25" s="552"/>
      <c r="FH25" s="552"/>
      <c r="FI25" s="552"/>
      <c r="FJ25" s="552"/>
      <c r="FK25" s="552"/>
      <c r="FL25" s="552"/>
      <c r="FM25" s="552"/>
      <c r="FN25" s="552"/>
      <c r="FO25" s="552"/>
      <c r="FP25" s="552"/>
      <c r="FQ25" s="552"/>
      <c r="FR25" s="552"/>
      <c r="FS25" s="552"/>
      <c r="FT25" s="552"/>
      <c r="FU25" s="552"/>
      <c r="FV25" s="552"/>
      <c r="FW25" s="552"/>
      <c r="FX25" s="552"/>
      <c r="FY25" s="552"/>
      <c r="FZ25" s="552"/>
      <c r="GA25" s="552"/>
      <c r="GB25" s="552"/>
      <c r="GC25" s="552"/>
      <c r="GD25" s="552"/>
      <c r="GE25" s="552"/>
      <c r="GF25" s="552"/>
      <c r="GG25" s="552"/>
      <c r="GH25" s="552"/>
      <c r="GI25" s="552"/>
      <c r="GJ25" s="552"/>
      <c r="GK25" s="552"/>
      <c r="GL25" s="552"/>
      <c r="GM25" s="552"/>
      <c r="GN25" s="552"/>
      <c r="GO25" s="552"/>
      <c r="GP25" s="552"/>
      <c r="GQ25" s="552"/>
      <c r="GR25" s="552"/>
      <c r="GS25" s="552"/>
      <c r="GT25" s="552"/>
      <c r="GU25" s="552"/>
      <c r="GV25" s="552"/>
      <c r="GW25" s="552"/>
      <c r="GX25" s="552"/>
      <c r="GY25" s="552"/>
      <c r="GZ25" s="552"/>
      <c r="HA25" s="552"/>
      <c r="HB25" s="552"/>
      <c r="HC25" s="552"/>
      <c r="HD25" s="552"/>
      <c r="HE25" s="552"/>
      <c r="HF25" s="552"/>
      <c r="HG25" s="552"/>
      <c r="HH25" s="552"/>
      <c r="HI25" s="552"/>
      <c r="HJ25" s="552"/>
      <c r="HK25" s="552"/>
      <c r="HL25" s="552"/>
      <c r="HM25" s="552"/>
      <c r="HN25" s="552"/>
      <c r="HO25" s="552"/>
      <c r="HP25" s="552"/>
      <c r="HQ25" s="552"/>
      <c r="HR25" s="552"/>
      <c r="HS25" s="552"/>
      <c r="HT25" s="552"/>
      <c r="HU25" s="552"/>
      <c r="HV25" s="552"/>
      <c r="HW25" s="552"/>
      <c r="HX25" s="552"/>
      <c r="HY25" s="552"/>
      <c r="HZ25" s="552"/>
      <c r="IA25" s="552"/>
      <c r="IB25" s="552"/>
      <c r="IC25" s="552"/>
      <c r="ID25" s="552"/>
      <c r="IE25" s="552"/>
      <c r="IF25" s="552"/>
      <c r="IG25" s="552"/>
      <c r="IH25" s="552"/>
      <c r="II25" s="552"/>
      <c r="IJ25" s="552"/>
      <c r="IK25" s="552"/>
      <c r="IL25" s="552"/>
      <c r="IM25" s="552"/>
      <c r="IN25" s="552"/>
      <c r="IO25" s="552"/>
      <c r="IP25" s="552"/>
      <c r="IQ25" s="552"/>
      <c r="IR25" s="552"/>
      <c r="IS25" s="552"/>
      <c r="IT25" s="552"/>
      <c r="IU25" s="552"/>
      <c r="IV25" s="552"/>
    </row>
    <row r="26" spans="1:256" s="600" customFormat="1" ht="22.5" customHeight="1">
      <c r="A26" s="588">
        <v>18</v>
      </c>
      <c r="B26" s="601"/>
      <c r="C26" s="556">
        <v>14</v>
      </c>
      <c r="D26" s="564" t="s">
        <v>1283</v>
      </c>
      <c r="E26" s="604">
        <f>F26+G26+O27+P27</f>
        <v>63500</v>
      </c>
      <c r="F26" s="626"/>
      <c r="G26" s="614"/>
      <c r="H26" s="615" t="s">
        <v>231</v>
      </c>
      <c r="I26" s="701"/>
      <c r="J26" s="625"/>
      <c r="K26" s="624"/>
      <c r="L26" s="624"/>
      <c r="M26" s="624"/>
      <c r="N26" s="624"/>
      <c r="O26" s="616"/>
      <c r="P26" s="611"/>
      <c r="Q26" s="552"/>
      <c r="R26" s="552"/>
      <c r="S26" s="552"/>
      <c r="T26" s="552"/>
      <c r="U26" s="552"/>
      <c r="V26" s="552"/>
      <c r="W26" s="552"/>
      <c r="X26" s="552"/>
      <c r="Y26" s="552"/>
      <c r="Z26" s="552"/>
      <c r="AA26" s="552"/>
      <c r="AB26" s="552"/>
      <c r="AC26" s="552"/>
      <c r="AD26" s="552"/>
      <c r="AE26" s="552"/>
      <c r="AF26" s="552"/>
      <c r="AG26" s="552"/>
      <c r="AH26" s="552"/>
      <c r="AI26" s="552"/>
      <c r="AJ26" s="552"/>
      <c r="AK26" s="552"/>
      <c r="AL26" s="552"/>
      <c r="AM26" s="552"/>
      <c r="AN26" s="552"/>
      <c r="AO26" s="552"/>
      <c r="AP26" s="552"/>
      <c r="AQ26" s="552"/>
      <c r="AR26" s="552"/>
      <c r="AS26" s="552"/>
      <c r="AT26" s="552"/>
      <c r="AU26" s="552"/>
      <c r="AV26" s="552"/>
      <c r="AW26" s="552"/>
      <c r="AX26" s="552"/>
      <c r="AY26" s="552"/>
      <c r="AZ26" s="552"/>
      <c r="BA26" s="552"/>
      <c r="BB26" s="552"/>
      <c r="BC26" s="552"/>
      <c r="BD26" s="552"/>
      <c r="BE26" s="552"/>
      <c r="BF26" s="552"/>
      <c r="BG26" s="552"/>
      <c r="BH26" s="552"/>
      <c r="BI26" s="552"/>
      <c r="BJ26" s="552"/>
      <c r="BK26" s="552"/>
      <c r="BL26" s="552"/>
      <c r="BM26" s="552"/>
      <c r="BN26" s="552"/>
      <c r="BO26" s="552"/>
      <c r="BP26" s="552"/>
      <c r="BQ26" s="552"/>
      <c r="BR26" s="552"/>
      <c r="BS26" s="552"/>
      <c r="BT26" s="552"/>
      <c r="BU26" s="552"/>
      <c r="BV26" s="552"/>
      <c r="BW26" s="552"/>
      <c r="BX26" s="552"/>
      <c r="BY26" s="552"/>
      <c r="BZ26" s="552"/>
      <c r="CA26" s="552"/>
      <c r="CB26" s="552"/>
      <c r="CC26" s="552"/>
      <c r="CD26" s="552"/>
      <c r="CE26" s="552"/>
      <c r="CF26" s="552"/>
      <c r="CG26" s="552"/>
      <c r="CH26" s="552"/>
      <c r="CI26" s="552"/>
      <c r="CJ26" s="552"/>
      <c r="CK26" s="552"/>
      <c r="CL26" s="552"/>
      <c r="CM26" s="552"/>
      <c r="CN26" s="552"/>
      <c r="CO26" s="552"/>
      <c r="CP26" s="552"/>
      <c r="CQ26" s="552"/>
      <c r="CR26" s="552"/>
      <c r="CS26" s="552"/>
      <c r="CT26" s="552"/>
      <c r="CU26" s="552"/>
      <c r="CV26" s="552"/>
      <c r="CW26" s="552"/>
      <c r="CX26" s="552"/>
      <c r="CY26" s="552"/>
      <c r="CZ26" s="552"/>
      <c r="DA26" s="552"/>
      <c r="DB26" s="552"/>
      <c r="DC26" s="552"/>
      <c r="DD26" s="552"/>
      <c r="DE26" s="552"/>
      <c r="DF26" s="552"/>
      <c r="DG26" s="552"/>
      <c r="DH26" s="552"/>
      <c r="DI26" s="552"/>
      <c r="DJ26" s="552"/>
      <c r="DK26" s="552"/>
      <c r="DL26" s="552"/>
      <c r="DM26" s="552"/>
      <c r="DN26" s="552"/>
      <c r="DO26" s="552"/>
      <c r="DP26" s="552"/>
      <c r="DQ26" s="552"/>
      <c r="DR26" s="552"/>
      <c r="DS26" s="552"/>
      <c r="DT26" s="552"/>
      <c r="DU26" s="552"/>
      <c r="DV26" s="552"/>
      <c r="DW26" s="552"/>
      <c r="DX26" s="552"/>
      <c r="DY26" s="552"/>
      <c r="DZ26" s="552"/>
      <c r="EA26" s="552"/>
      <c r="EB26" s="552"/>
      <c r="EC26" s="552"/>
      <c r="ED26" s="552"/>
      <c r="EE26" s="552"/>
      <c r="EF26" s="552"/>
      <c r="EG26" s="552"/>
      <c r="EH26" s="552"/>
      <c r="EI26" s="552"/>
      <c r="EJ26" s="552"/>
      <c r="EK26" s="552"/>
      <c r="EL26" s="552"/>
      <c r="EM26" s="552"/>
      <c r="EN26" s="552"/>
      <c r="EO26" s="552"/>
      <c r="EP26" s="552"/>
      <c r="EQ26" s="552"/>
      <c r="ER26" s="552"/>
      <c r="ES26" s="552"/>
      <c r="ET26" s="552"/>
      <c r="EU26" s="552"/>
      <c r="EV26" s="552"/>
      <c r="EW26" s="552"/>
      <c r="EX26" s="552"/>
      <c r="EY26" s="552"/>
      <c r="EZ26" s="552"/>
      <c r="FA26" s="552"/>
      <c r="FB26" s="552"/>
      <c r="FC26" s="552"/>
      <c r="FD26" s="552"/>
      <c r="FE26" s="552"/>
      <c r="FF26" s="552"/>
      <c r="FG26" s="552"/>
      <c r="FH26" s="552"/>
      <c r="FI26" s="552"/>
      <c r="FJ26" s="552"/>
      <c r="FK26" s="552"/>
      <c r="FL26" s="552"/>
      <c r="FM26" s="552"/>
      <c r="FN26" s="552"/>
      <c r="FO26" s="552"/>
      <c r="FP26" s="552"/>
      <c r="FQ26" s="552"/>
      <c r="FR26" s="552"/>
      <c r="FS26" s="552"/>
      <c r="FT26" s="552"/>
      <c r="FU26" s="552"/>
      <c r="FV26" s="552"/>
      <c r="FW26" s="552"/>
      <c r="FX26" s="552"/>
      <c r="FY26" s="552"/>
      <c r="FZ26" s="552"/>
      <c r="GA26" s="552"/>
      <c r="GB26" s="552"/>
      <c r="GC26" s="552"/>
      <c r="GD26" s="552"/>
      <c r="GE26" s="552"/>
      <c r="GF26" s="552"/>
      <c r="GG26" s="552"/>
      <c r="GH26" s="552"/>
      <c r="GI26" s="552"/>
      <c r="GJ26" s="552"/>
      <c r="GK26" s="552"/>
      <c r="GL26" s="552"/>
      <c r="GM26" s="552"/>
      <c r="GN26" s="552"/>
      <c r="GO26" s="552"/>
      <c r="GP26" s="552"/>
      <c r="GQ26" s="552"/>
      <c r="GR26" s="552"/>
      <c r="GS26" s="552"/>
      <c r="GT26" s="552"/>
      <c r="GU26" s="552"/>
      <c r="GV26" s="552"/>
      <c r="GW26" s="552"/>
      <c r="GX26" s="552"/>
      <c r="GY26" s="552"/>
      <c r="GZ26" s="552"/>
      <c r="HA26" s="552"/>
      <c r="HB26" s="552"/>
      <c r="HC26" s="552"/>
      <c r="HD26" s="552"/>
      <c r="HE26" s="552"/>
      <c r="HF26" s="552"/>
      <c r="HG26" s="552"/>
      <c r="HH26" s="552"/>
      <c r="HI26" s="552"/>
      <c r="HJ26" s="552"/>
      <c r="HK26" s="552"/>
      <c r="HL26" s="552"/>
      <c r="HM26" s="552"/>
      <c r="HN26" s="552"/>
      <c r="HO26" s="552"/>
      <c r="HP26" s="552"/>
      <c r="HQ26" s="552"/>
      <c r="HR26" s="552"/>
      <c r="HS26" s="552"/>
      <c r="HT26" s="552"/>
      <c r="HU26" s="552"/>
      <c r="HV26" s="552"/>
      <c r="HW26" s="552"/>
      <c r="HX26" s="552"/>
      <c r="HY26" s="552"/>
      <c r="HZ26" s="552"/>
      <c r="IA26" s="552"/>
      <c r="IB26" s="552"/>
      <c r="IC26" s="552"/>
      <c r="ID26" s="552"/>
      <c r="IE26" s="552"/>
      <c r="IF26" s="552"/>
      <c r="IG26" s="552"/>
      <c r="IH26" s="552"/>
      <c r="II26" s="552"/>
      <c r="IJ26" s="552"/>
      <c r="IK26" s="552"/>
      <c r="IL26" s="552"/>
      <c r="IM26" s="552"/>
      <c r="IN26" s="552"/>
      <c r="IO26" s="552"/>
      <c r="IP26" s="552"/>
      <c r="IQ26" s="552"/>
      <c r="IR26" s="552"/>
      <c r="IS26" s="552"/>
      <c r="IT26" s="552"/>
      <c r="IU26" s="552"/>
      <c r="IV26" s="552"/>
    </row>
    <row r="27" spans="1:256" s="600" customFormat="1" ht="18" customHeight="1">
      <c r="A27" s="588">
        <v>19</v>
      </c>
      <c r="B27" s="634"/>
      <c r="C27" s="635"/>
      <c r="D27" s="636" t="s">
        <v>198</v>
      </c>
      <c r="E27" s="637"/>
      <c r="F27" s="718"/>
      <c r="G27" s="638"/>
      <c r="H27" s="639"/>
      <c r="I27" s="719"/>
      <c r="J27" s="720"/>
      <c r="K27" s="721">
        <v>63500</v>
      </c>
      <c r="L27" s="721"/>
      <c r="M27" s="721"/>
      <c r="N27" s="721"/>
      <c r="O27" s="643">
        <f>SUM(I27:N27)</f>
        <v>63500</v>
      </c>
      <c r="P27" s="644"/>
      <c r="Q27" s="552"/>
      <c r="R27" s="552"/>
      <c r="S27" s="552"/>
      <c r="T27" s="552"/>
      <c r="U27" s="552"/>
      <c r="V27" s="552"/>
      <c r="W27" s="552"/>
      <c r="X27" s="552"/>
      <c r="Y27" s="552"/>
      <c r="Z27" s="552"/>
      <c r="AA27" s="552"/>
      <c r="AB27" s="552"/>
      <c r="AC27" s="552"/>
      <c r="AD27" s="552"/>
      <c r="AE27" s="552"/>
      <c r="AF27" s="552"/>
      <c r="AG27" s="552"/>
      <c r="AH27" s="552"/>
      <c r="AI27" s="552"/>
      <c r="AJ27" s="552"/>
      <c r="AK27" s="552"/>
      <c r="AL27" s="552"/>
      <c r="AM27" s="552"/>
      <c r="AN27" s="552"/>
      <c r="AO27" s="552"/>
      <c r="AP27" s="552"/>
      <c r="AQ27" s="552"/>
      <c r="AR27" s="552"/>
      <c r="AS27" s="552"/>
      <c r="AT27" s="552"/>
      <c r="AU27" s="552"/>
      <c r="AV27" s="552"/>
      <c r="AW27" s="552"/>
      <c r="AX27" s="552"/>
      <c r="AY27" s="552"/>
      <c r="AZ27" s="552"/>
      <c r="BA27" s="552"/>
      <c r="BB27" s="552"/>
      <c r="BC27" s="552"/>
      <c r="BD27" s="552"/>
      <c r="BE27" s="552"/>
      <c r="BF27" s="552"/>
      <c r="BG27" s="552"/>
      <c r="BH27" s="552"/>
      <c r="BI27" s="552"/>
      <c r="BJ27" s="552"/>
      <c r="BK27" s="552"/>
      <c r="BL27" s="552"/>
      <c r="BM27" s="552"/>
      <c r="BN27" s="552"/>
      <c r="BO27" s="552"/>
      <c r="BP27" s="552"/>
      <c r="BQ27" s="552"/>
      <c r="BR27" s="552"/>
      <c r="BS27" s="552"/>
      <c r="BT27" s="552"/>
      <c r="BU27" s="552"/>
      <c r="BV27" s="552"/>
      <c r="BW27" s="552"/>
      <c r="BX27" s="552"/>
      <c r="BY27" s="552"/>
      <c r="BZ27" s="552"/>
      <c r="CA27" s="552"/>
      <c r="CB27" s="552"/>
      <c r="CC27" s="552"/>
      <c r="CD27" s="552"/>
      <c r="CE27" s="552"/>
      <c r="CF27" s="552"/>
      <c r="CG27" s="552"/>
      <c r="CH27" s="552"/>
      <c r="CI27" s="552"/>
      <c r="CJ27" s="552"/>
      <c r="CK27" s="552"/>
      <c r="CL27" s="552"/>
      <c r="CM27" s="552"/>
      <c r="CN27" s="552"/>
      <c r="CO27" s="552"/>
      <c r="CP27" s="552"/>
      <c r="CQ27" s="552"/>
      <c r="CR27" s="552"/>
      <c r="CS27" s="552"/>
      <c r="CT27" s="552"/>
      <c r="CU27" s="552"/>
      <c r="CV27" s="552"/>
      <c r="CW27" s="552"/>
      <c r="CX27" s="552"/>
      <c r="CY27" s="552"/>
      <c r="CZ27" s="552"/>
      <c r="DA27" s="552"/>
      <c r="DB27" s="552"/>
      <c r="DC27" s="552"/>
      <c r="DD27" s="552"/>
      <c r="DE27" s="552"/>
      <c r="DF27" s="552"/>
      <c r="DG27" s="552"/>
      <c r="DH27" s="552"/>
      <c r="DI27" s="552"/>
      <c r="DJ27" s="552"/>
      <c r="DK27" s="552"/>
      <c r="DL27" s="552"/>
      <c r="DM27" s="552"/>
      <c r="DN27" s="552"/>
      <c r="DO27" s="552"/>
      <c r="DP27" s="552"/>
      <c r="DQ27" s="552"/>
      <c r="DR27" s="552"/>
      <c r="DS27" s="552"/>
      <c r="DT27" s="552"/>
      <c r="DU27" s="552"/>
      <c r="DV27" s="552"/>
      <c r="DW27" s="552"/>
      <c r="DX27" s="552"/>
      <c r="DY27" s="552"/>
      <c r="DZ27" s="552"/>
      <c r="EA27" s="552"/>
      <c r="EB27" s="552"/>
      <c r="EC27" s="552"/>
      <c r="ED27" s="552"/>
      <c r="EE27" s="552"/>
      <c r="EF27" s="552"/>
      <c r="EG27" s="552"/>
      <c r="EH27" s="552"/>
      <c r="EI27" s="552"/>
      <c r="EJ27" s="552"/>
      <c r="EK27" s="552"/>
      <c r="EL27" s="552"/>
      <c r="EM27" s="552"/>
      <c r="EN27" s="552"/>
      <c r="EO27" s="552"/>
      <c r="EP27" s="552"/>
      <c r="EQ27" s="552"/>
      <c r="ER27" s="552"/>
      <c r="ES27" s="552"/>
      <c r="ET27" s="552"/>
      <c r="EU27" s="552"/>
      <c r="EV27" s="552"/>
      <c r="EW27" s="552"/>
      <c r="EX27" s="552"/>
      <c r="EY27" s="552"/>
      <c r="EZ27" s="552"/>
      <c r="FA27" s="552"/>
      <c r="FB27" s="552"/>
      <c r="FC27" s="552"/>
      <c r="FD27" s="552"/>
      <c r="FE27" s="552"/>
      <c r="FF27" s="552"/>
      <c r="FG27" s="552"/>
      <c r="FH27" s="552"/>
      <c r="FI27" s="552"/>
      <c r="FJ27" s="552"/>
      <c r="FK27" s="552"/>
      <c r="FL27" s="552"/>
      <c r="FM27" s="552"/>
      <c r="FN27" s="552"/>
      <c r="FO27" s="552"/>
      <c r="FP27" s="552"/>
      <c r="FQ27" s="552"/>
      <c r="FR27" s="552"/>
      <c r="FS27" s="552"/>
      <c r="FT27" s="552"/>
      <c r="FU27" s="552"/>
      <c r="FV27" s="552"/>
      <c r="FW27" s="552"/>
      <c r="FX27" s="552"/>
      <c r="FY27" s="552"/>
      <c r="FZ27" s="552"/>
      <c r="GA27" s="552"/>
      <c r="GB27" s="552"/>
      <c r="GC27" s="552"/>
      <c r="GD27" s="552"/>
      <c r="GE27" s="552"/>
      <c r="GF27" s="552"/>
      <c r="GG27" s="552"/>
      <c r="GH27" s="552"/>
      <c r="GI27" s="552"/>
      <c r="GJ27" s="552"/>
      <c r="GK27" s="552"/>
      <c r="GL27" s="552"/>
      <c r="GM27" s="552"/>
      <c r="GN27" s="552"/>
      <c r="GO27" s="552"/>
      <c r="GP27" s="552"/>
      <c r="GQ27" s="552"/>
      <c r="GR27" s="552"/>
      <c r="GS27" s="552"/>
      <c r="GT27" s="552"/>
      <c r="GU27" s="552"/>
      <c r="GV27" s="552"/>
      <c r="GW27" s="552"/>
      <c r="GX27" s="552"/>
      <c r="GY27" s="552"/>
      <c r="GZ27" s="552"/>
      <c r="HA27" s="552"/>
      <c r="HB27" s="552"/>
      <c r="HC27" s="552"/>
      <c r="HD27" s="552"/>
      <c r="HE27" s="552"/>
      <c r="HF27" s="552"/>
      <c r="HG27" s="552"/>
      <c r="HH27" s="552"/>
      <c r="HI27" s="552"/>
      <c r="HJ27" s="552"/>
      <c r="HK27" s="552"/>
      <c r="HL27" s="552"/>
      <c r="HM27" s="552"/>
      <c r="HN27" s="552"/>
      <c r="HO27" s="552"/>
      <c r="HP27" s="552"/>
      <c r="HQ27" s="552"/>
      <c r="HR27" s="552"/>
      <c r="HS27" s="552"/>
      <c r="HT27" s="552"/>
      <c r="HU27" s="552"/>
      <c r="HV27" s="552"/>
      <c r="HW27" s="552"/>
      <c r="HX27" s="552"/>
      <c r="HY27" s="552"/>
      <c r="HZ27" s="552"/>
      <c r="IA27" s="552"/>
      <c r="IB27" s="552"/>
      <c r="IC27" s="552"/>
      <c r="ID27" s="552"/>
      <c r="IE27" s="552"/>
      <c r="IF27" s="552"/>
      <c r="IG27" s="552"/>
      <c r="IH27" s="552"/>
      <c r="II27" s="552"/>
      <c r="IJ27" s="552"/>
      <c r="IK27" s="552"/>
      <c r="IL27" s="552"/>
      <c r="IM27" s="552"/>
      <c r="IN27" s="552"/>
      <c r="IO27" s="552"/>
      <c r="IP27" s="552"/>
      <c r="IQ27" s="552"/>
      <c r="IR27" s="552"/>
      <c r="IS27" s="552"/>
      <c r="IT27" s="552"/>
      <c r="IU27" s="552"/>
      <c r="IV27" s="552"/>
    </row>
    <row r="28" spans="1:256" s="600" customFormat="1" ht="18" customHeight="1">
      <c r="A28" s="588">
        <v>20</v>
      </c>
      <c r="B28" s="660"/>
      <c r="C28" s="556"/>
      <c r="D28" s="570" t="s">
        <v>765</v>
      </c>
      <c r="E28" s="604"/>
      <c r="F28" s="626"/>
      <c r="G28" s="656"/>
      <c r="H28" s="615"/>
      <c r="I28" s="701"/>
      <c r="J28" s="701"/>
      <c r="K28" s="630">
        <v>63500</v>
      </c>
      <c r="L28" s="623"/>
      <c r="M28" s="623"/>
      <c r="N28" s="623"/>
      <c r="O28" s="563">
        <f>SUM(I28:N28)</f>
        <v>63500</v>
      </c>
      <c r="P28" s="611"/>
      <c r="Q28" s="552"/>
      <c r="R28" s="552"/>
      <c r="S28" s="552"/>
      <c r="T28" s="552"/>
      <c r="U28" s="552"/>
      <c r="V28" s="552"/>
      <c r="W28" s="552"/>
      <c r="X28" s="552"/>
      <c r="Y28" s="552"/>
      <c r="Z28" s="552"/>
      <c r="AA28" s="552"/>
      <c r="AB28" s="552"/>
      <c r="AC28" s="552"/>
      <c r="AD28" s="552"/>
      <c r="AE28" s="552"/>
      <c r="AF28" s="552"/>
      <c r="AG28" s="552"/>
      <c r="AH28" s="552"/>
      <c r="AI28" s="552"/>
      <c r="AJ28" s="552"/>
      <c r="AK28" s="552"/>
      <c r="AL28" s="552"/>
      <c r="AM28" s="552"/>
      <c r="AN28" s="552"/>
      <c r="AO28" s="552"/>
      <c r="AP28" s="552"/>
      <c r="AQ28" s="552"/>
      <c r="AR28" s="552"/>
      <c r="AS28" s="552"/>
      <c r="AT28" s="552"/>
      <c r="AU28" s="552"/>
      <c r="AV28" s="552"/>
      <c r="AW28" s="552"/>
      <c r="AX28" s="552"/>
      <c r="AY28" s="552"/>
      <c r="AZ28" s="552"/>
      <c r="BA28" s="552"/>
      <c r="BB28" s="552"/>
      <c r="BC28" s="552"/>
      <c r="BD28" s="552"/>
      <c r="BE28" s="552"/>
      <c r="BF28" s="552"/>
      <c r="BG28" s="552"/>
      <c r="BH28" s="552"/>
      <c r="BI28" s="552"/>
      <c r="BJ28" s="552"/>
      <c r="BK28" s="552"/>
      <c r="BL28" s="552"/>
      <c r="BM28" s="552"/>
      <c r="BN28" s="552"/>
      <c r="BO28" s="552"/>
      <c r="BP28" s="552"/>
      <c r="BQ28" s="552"/>
      <c r="BR28" s="552"/>
      <c r="BS28" s="552"/>
      <c r="BT28" s="552"/>
      <c r="BU28" s="552"/>
      <c r="BV28" s="552"/>
      <c r="BW28" s="552"/>
      <c r="BX28" s="552"/>
      <c r="BY28" s="552"/>
      <c r="BZ28" s="552"/>
      <c r="CA28" s="552"/>
      <c r="CB28" s="552"/>
      <c r="CC28" s="552"/>
      <c r="CD28" s="552"/>
      <c r="CE28" s="552"/>
      <c r="CF28" s="552"/>
      <c r="CG28" s="552"/>
      <c r="CH28" s="552"/>
      <c r="CI28" s="552"/>
      <c r="CJ28" s="552"/>
      <c r="CK28" s="552"/>
      <c r="CL28" s="552"/>
      <c r="CM28" s="552"/>
      <c r="CN28" s="552"/>
      <c r="CO28" s="552"/>
      <c r="CP28" s="552"/>
      <c r="CQ28" s="552"/>
      <c r="CR28" s="552"/>
      <c r="CS28" s="552"/>
      <c r="CT28" s="552"/>
      <c r="CU28" s="552"/>
      <c r="CV28" s="552"/>
      <c r="CW28" s="552"/>
      <c r="CX28" s="552"/>
      <c r="CY28" s="552"/>
      <c r="CZ28" s="552"/>
      <c r="DA28" s="552"/>
      <c r="DB28" s="552"/>
      <c r="DC28" s="552"/>
      <c r="DD28" s="552"/>
      <c r="DE28" s="552"/>
      <c r="DF28" s="552"/>
      <c r="DG28" s="552"/>
      <c r="DH28" s="552"/>
      <c r="DI28" s="552"/>
      <c r="DJ28" s="552"/>
      <c r="DK28" s="552"/>
      <c r="DL28" s="552"/>
      <c r="DM28" s="552"/>
      <c r="DN28" s="552"/>
      <c r="DO28" s="552"/>
      <c r="DP28" s="552"/>
      <c r="DQ28" s="552"/>
      <c r="DR28" s="552"/>
      <c r="DS28" s="552"/>
      <c r="DT28" s="552"/>
      <c r="DU28" s="552"/>
      <c r="DV28" s="552"/>
      <c r="DW28" s="552"/>
      <c r="DX28" s="552"/>
      <c r="DY28" s="552"/>
      <c r="DZ28" s="552"/>
      <c r="EA28" s="552"/>
      <c r="EB28" s="552"/>
      <c r="EC28" s="552"/>
      <c r="ED28" s="552"/>
      <c r="EE28" s="552"/>
      <c r="EF28" s="552"/>
      <c r="EG28" s="552"/>
      <c r="EH28" s="552"/>
      <c r="EI28" s="552"/>
      <c r="EJ28" s="552"/>
      <c r="EK28" s="552"/>
      <c r="EL28" s="552"/>
      <c r="EM28" s="552"/>
      <c r="EN28" s="552"/>
      <c r="EO28" s="552"/>
      <c r="EP28" s="552"/>
      <c r="EQ28" s="552"/>
      <c r="ER28" s="552"/>
      <c r="ES28" s="552"/>
      <c r="ET28" s="552"/>
      <c r="EU28" s="552"/>
      <c r="EV28" s="552"/>
      <c r="EW28" s="552"/>
      <c r="EX28" s="552"/>
      <c r="EY28" s="552"/>
      <c r="EZ28" s="552"/>
      <c r="FA28" s="552"/>
      <c r="FB28" s="552"/>
      <c r="FC28" s="552"/>
      <c r="FD28" s="552"/>
      <c r="FE28" s="552"/>
      <c r="FF28" s="552"/>
      <c r="FG28" s="552"/>
      <c r="FH28" s="552"/>
      <c r="FI28" s="552"/>
      <c r="FJ28" s="552"/>
      <c r="FK28" s="552"/>
      <c r="FL28" s="552"/>
      <c r="FM28" s="552"/>
      <c r="FN28" s="552"/>
      <c r="FO28" s="552"/>
      <c r="FP28" s="552"/>
      <c r="FQ28" s="552"/>
      <c r="FR28" s="552"/>
      <c r="FS28" s="552"/>
      <c r="FT28" s="552"/>
      <c r="FU28" s="552"/>
      <c r="FV28" s="552"/>
      <c r="FW28" s="552"/>
      <c r="FX28" s="552"/>
      <c r="FY28" s="552"/>
      <c r="FZ28" s="552"/>
      <c r="GA28" s="552"/>
      <c r="GB28" s="552"/>
      <c r="GC28" s="552"/>
      <c r="GD28" s="552"/>
      <c r="GE28" s="552"/>
      <c r="GF28" s="552"/>
      <c r="GG28" s="552"/>
      <c r="GH28" s="552"/>
      <c r="GI28" s="552"/>
      <c r="GJ28" s="552"/>
      <c r="GK28" s="552"/>
      <c r="GL28" s="552"/>
      <c r="GM28" s="552"/>
      <c r="GN28" s="552"/>
      <c r="GO28" s="552"/>
      <c r="GP28" s="552"/>
      <c r="GQ28" s="552"/>
      <c r="GR28" s="552"/>
      <c r="GS28" s="552"/>
      <c r="GT28" s="552"/>
      <c r="GU28" s="552"/>
      <c r="GV28" s="552"/>
      <c r="GW28" s="552"/>
      <c r="GX28" s="552"/>
      <c r="GY28" s="552"/>
      <c r="GZ28" s="552"/>
      <c r="HA28" s="552"/>
      <c r="HB28" s="552"/>
      <c r="HC28" s="552"/>
      <c r="HD28" s="552"/>
      <c r="HE28" s="552"/>
      <c r="HF28" s="552"/>
      <c r="HG28" s="552"/>
      <c r="HH28" s="552"/>
      <c r="HI28" s="552"/>
      <c r="HJ28" s="552"/>
      <c r="HK28" s="552"/>
      <c r="HL28" s="552"/>
      <c r="HM28" s="552"/>
      <c r="HN28" s="552"/>
      <c r="HO28" s="552"/>
      <c r="HP28" s="552"/>
      <c r="HQ28" s="552"/>
      <c r="HR28" s="552"/>
      <c r="HS28" s="552"/>
      <c r="HT28" s="552"/>
      <c r="HU28" s="552"/>
      <c r="HV28" s="552"/>
      <c r="HW28" s="552"/>
      <c r="HX28" s="552"/>
      <c r="HY28" s="552"/>
      <c r="HZ28" s="552"/>
      <c r="IA28" s="552"/>
      <c r="IB28" s="552"/>
      <c r="IC28" s="552"/>
      <c r="ID28" s="552"/>
      <c r="IE28" s="552"/>
      <c r="IF28" s="552"/>
      <c r="IG28" s="552"/>
      <c r="IH28" s="552"/>
      <c r="II28" s="552"/>
      <c r="IJ28" s="552"/>
      <c r="IK28" s="552"/>
      <c r="IL28" s="552"/>
      <c r="IM28" s="552"/>
      <c r="IN28" s="552"/>
      <c r="IO28" s="552"/>
      <c r="IP28" s="552"/>
      <c r="IQ28" s="552"/>
      <c r="IR28" s="552"/>
      <c r="IS28" s="552"/>
      <c r="IT28" s="552"/>
      <c r="IU28" s="552"/>
      <c r="IV28" s="552"/>
    </row>
    <row r="29" spans="1:256" s="600" customFormat="1" ht="18" customHeight="1">
      <c r="A29" s="588">
        <v>21</v>
      </c>
      <c r="B29" s="660"/>
      <c r="C29" s="556"/>
      <c r="D29" s="576" t="s">
        <v>1022</v>
      </c>
      <c r="E29" s="604"/>
      <c r="F29" s="626"/>
      <c r="G29" s="656"/>
      <c r="H29" s="615"/>
      <c r="I29" s="701"/>
      <c r="J29" s="701"/>
      <c r="K29" s="722">
        <v>63500</v>
      </c>
      <c r="L29" s="623"/>
      <c r="M29" s="623"/>
      <c r="N29" s="623"/>
      <c r="O29" s="562">
        <f>SUM(I29:N29)</f>
        <v>63500</v>
      </c>
      <c r="P29" s="611"/>
      <c r="Q29" s="552"/>
      <c r="R29" s="552"/>
      <c r="S29" s="552"/>
      <c r="T29" s="552"/>
      <c r="U29" s="552"/>
      <c r="V29" s="552"/>
      <c r="W29" s="552"/>
      <c r="X29" s="552"/>
      <c r="Y29" s="552"/>
      <c r="Z29" s="552"/>
      <c r="AA29" s="552"/>
      <c r="AB29" s="552"/>
      <c r="AC29" s="552"/>
      <c r="AD29" s="552"/>
      <c r="AE29" s="552"/>
      <c r="AF29" s="552"/>
      <c r="AG29" s="552"/>
      <c r="AH29" s="552"/>
      <c r="AI29" s="552"/>
      <c r="AJ29" s="552"/>
      <c r="AK29" s="552"/>
      <c r="AL29" s="552"/>
      <c r="AM29" s="552"/>
      <c r="AN29" s="552"/>
      <c r="AO29" s="552"/>
      <c r="AP29" s="552"/>
      <c r="AQ29" s="552"/>
      <c r="AR29" s="552"/>
      <c r="AS29" s="552"/>
      <c r="AT29" s="552"/>
      <c r="AU29" s="552"/>
      <c r="AV29" s="552"/>
      <c r="AW29" s="552"/>
      <c r="AX29" s="552"/>
      <c r="AY29" s="552"/>
      <c r="AZ29" s="552"/>
      <c r="BA29" s="552"/>
      <c r="BB29" s="552"/>
      <c r="BC29" s="552"/>
      <c r="BD29" s="552"/>
      <c r="BE29" s="552"/>
      <c r="BF29" s="552"/>
      <c r="BG29" s="552"/>
      <c r="BH29" s="552"/>
      <c r="BI29" s="552"/>
      <c r="BJ29" s="552"/>
      <c r="BK29" s="552"/>
      <c r="BL29" s="552"/>
      <c r="BM29" s="552"/>
      <c r="BN29" s="552"/>
      <c r="BO29" s="552"/>
      <c r="BP29" s="552"/>
      <c r="BQ29" s="552"/>
      <c r="BR29" s="552"/>
      <c r="BS29" s="552"/>
      <c r="BT29" s="552"/>
      <c r="BU29" s="552"/>
      <c r="BV29" s="552"/>
      <c r="BW29" s="552"/>
      <c r="BX29" s="552"/>
      <c r="BY29" s="552"/>
      <c r="BZ29" s="552"/>
      <c r="CA29" s="552"/>
      <c r="CB29" s="552"/>
      <c r="CC29" s="552"/>
      <c r="CD29" s="552"/>
      <c r="CE29" s="552"/>
      <c r="CF29" s="552"/>
      <c r="CG29" s="552"/>
      <c r="CH29" s="552"/>
      <c r="CI29" s="552"/>
      <c r="CJ29" s="552"/>
      <c r="CK29" s="552"/>
      <c r="CL29" s="552"/>
      <c r="CM29" s="552"/>
      <c r="CN29" s="552"/>
      <c r="CO29" s="552"/>
      <c r="CP29" s="552"/>
      <c r="CQ29" s="552"/>
      <c r="CR29" s="552"/>
      <c r="CS29" s="552"/>
      <c r="CT29" s="552"/>
      <c r="CU29" s="552"/>
      <c r="CV29" s="552"/>
      <c r="CW29" s="552"/>
      <c r="CX29" s="552"/>
      <c r="CY29" s="552"/>
      <c r="CZ29" s="552"/>
      <c r="DA29" s="552"/>
      <c r="DB29" s="552"/>
      <c r="DC29" s="552"/>
      <c r="DD29" s="552"/>
      <c r="DE29" s="552"/>
      <c r="DF29" s="552"/>
      <c r="DG29" s="552"/>
      <c r="DH29" s="552"/>
      <c r="DI29" s="552"/>
      <c r="DJ29" s="552"/>
      <c r="DK29" s="552"/>
      <c r="DL29" s="552"/>
      <c r="DM29" s="552"/>
      <c r="DN29" s="552"/>
      <c r="DO29" s="552"/>
      <c r="DP29" s="552"/>
      <c r="DQ29" s="552"/>
      <c r="DR29" s="552"/>
      <c r="DS29" s="552"/>
      <c r="DT29" s="552"/>
      <c r="DU29" s="552"/>
      <c r="DV29" s="552"/>
      <c r="DW29" s="552"/>
      <c r="DX29" s="552"/>
      <c r="DY29" s="552"/>
      <c r="DZ29" s="552"/>
      <c r="EA29" s="552"/>
      <c r="EB29" s="552"/>
      <c r="EC29" s="552"/>
      <c r="ED29" s="552"/>
      <c r="EE29" s="552"/>
      <c r="EF29" s="552"/>
      <c r="EG29" s="552"/>
      <c r="EH29" s="552"/>
      <c r="EI29" s="552"/>
      <c r="EJ29" s="552"/>
      <c r="EK29" s="552"/>
      <c r="EL29" s="552"/>
      <c r="EM29" s="552"/>
      <c r="EN29" s="552"/>
      <c r="EO29" s="552"/>
      <c r="EP29" s="552"/>
      <c r="EQ29" s="552"/>
      <c r="ER29" s="552"/>
      <c r="ES29" s="552"/>
      <c r="ET29" s="552"/>
      <c r="EU29" s="552"/>
      <c r="EV29" s="552"/>
      <c r="EW29" s="552"/>
      <c r="EX29" s="552"/>
      <c r="EY29" s="552"/>
      <c r="EZ29" s="552"/>
      <c r="FA29" s="552"/>
      <c r="FB29" s="552"/>
      <c r="FC29" s="552"/>
      <c r="FD29" s="552"/>
      <c r="FE29" s="552"/>
      <c r="FF29" s="552"/>
      <c r="FG29" s="552"/>
      <c r="FH29" s="552"/>
      <c r="FI29" s="552"/>
      <c r="FJ29" s="552"/>
      <c r="FK29" s="552"/>
      <c r="FL29" s="552"/>
      <c r="FM29" s="552"/>
      <c r="FN29" s="552"/>
      <c r="FO29" s="552"/>
      <c r="FP29" s="552"/>
      <c r="FQ29" s="552"/>
      <c r="FR29" s="552"/>
      <c r="FS29" s="552"/>
      <c r="FT29" s="552"/>
      <c r="FU29" s="552"/>
      <c r="FV29" s="552"/>
      <c r="FW29" s="552"/>
      <c r="FX29" s="552"/>
      <c r="FY29" s="552"/>
      <c r="FZ29" s="552"/>
      <c r="GA29" s="552"/>
      <c r="GB29" s="552"/>
      <c r="GC29" s="552"/>
      <c r="GD29" s="552"/>
      <c r="GE29" s="552"/>
      <c r="GF29" s="552"/>
      <c r="GG29" s="552"/>
      <c r="GH29" s="552"/>
      <c r="GI29" s="552"/>
      <c r="GJ29" s="552"/>
      <c r="GK29" s="552"/>
      <c r="GL29" s="552"/>
      <c r="GM29" s="552"/>
      <c r="GN29" s="552"/>
      <c r="GO29" s="552"/>
      <c r="GP29" s="552"/>
      <c r="GQ29" s="552"/>
      <c r="GR29" s="552"/>
      <c r="GS29" s="552"/>
      <c r="GT29" s="552"/>
      <c r="GU29" s="552"/>
      <c r="GV29" s="552"/>
      <c r="GW29" s="552"/>
      <c r="GX29" s="552"/>
      <c r="GY29" s="552"/>
      <c r="GZ29" s="552"/>
      <c r="HA29" s="552"/>
      <c r="HB29" s="552"/>
      <c r="HC29" s="552"/>
      <c r="HD29" s="552"/>
      <c r="HE29" s="552"/>
      <c r="HF29" s="552"/>
      <c r="HG29" s="552"/>
      <c r="HH29" s="552"/>
      <c r="HI29" s="552"/>
      <c r="HJ29" s="552"/>
      <c r="HK29" s="552"/>
      <c r="HL29" s="552"/>
      <c r="HM29" s="552"/>
      <c r="HN29" s="552"/>
      <c r="HO29" s="552"/>
      <c r="HP29" s="552"/>
      <c r="HQ29" s="552"/>
      <c r="HR29" s="552"/>
      <c r="HS29" s="552"/>
      <c r="HT29" s="552"/>
      <c r="HU29" s="552"/>
      <c r="HV29" s="552"/>
      <c r="HW29" s="552"/>
      <c r="HX29" s="552"/>
      <c r="HY29" s="552"/>
      <c r="HZ29" s="552"/>
      <c r="IA29" s="552"/>
      <c r="IB29" s="552"/>
      <c r="IC29" s="552"/>
      <c r="ID29" s="552"/>
      <c r="IE29" s="552"/>
      <c r="IF29" s="552"/>
      <c r="IG29" s="552"/>
      <c r="IH29" s="552"/>
      <c r="II29" s="552"/>
      <c r="IJ29" s="552"/>
      <c r="IK29" s="552"/>
      <c r="IL29" s="552"/>
      <c r="IM29" s="552"/>
      <c r="IN29" s="552"/>
      <c r="IO29" s="552"/>
      <c r="IP29" s="552"/>
      <c r="IQ29" s="552"/>
      <c r="IR29" s="552"/>
      <c r="IS29" s="552"/>
      <c r="IT29" s="552"/>
      <c r="IU29" s="552"/>
      <c r="IV29" s="552"/>
    </row>
    <row r="30" spans="1:256" s="600" customFormat="1" ht="22.5" customHeight="1">
      <c r="A30" s="588">
        <v>22</v>
      </c>
      <c r="B30" s="660"/>
      <c r="C30" s="556">
        <v>15</v>
      </c>
      <c r="D30" s="564" t="s">
        <v>673</v>
      </c>
      <c r="E30" s="604">
        <f>F30+G30+O31+P32</f>
        <v>19990</v>
      </c>
      <c r="F30" s="626"/>
      <c r="G30" s="656"/>
      <c r="H30" s="615" t="s">
        <v>231</v>
      </c>
      <c r="I30" s="701"/>
      <c r="J30" s="701"/>
      <c r="K30" s="623"/>
      <c r="L30" s="623"/>
      <c r="M30" s="623"/>
      <c r="N30" s="623"/>
      <c r="O30" s="616"/>
      <c r="P30" s="611"/>
      <c r="Q30" s="552"/>
      <c r="R30" s="552"/>
      <c r="S30" s="552"/>
      <c r="T30" s="552"/>
      <c r="U30" s="552"/>
      <c r="V30" s="552"/>
      <c r="W30" s="552"/>
      <c r="X30" s="552"/>
      <c r="Y30" s="552"/>
      <c r="Z30" s="552"/>
      <c r="AA30" s="552"/>
      <c r="AB30" s="552"/>
      <c r="AC30" s="552"/>
      <c r="AD30" s="552"/>
      <c r="AE30" s="552"/>
      <c r="AF30" s="552"/>
      <c r="AG30" s="552"/>
      <c r="AH30" s="552"/>
      <c r="AI30" s="552"/>
      <c r="AJ30" s="552"/>
      <c r="AK30" s="552"/>
      <c r="AL30" s="552"/>
      <c r="AM30" s="552"/>
      <c r="AN30" s="552"/>
      <c r="AO30" s="552"/>
      <c r="AP30" s="552"/>
      <c r="AQ30" s="552"/>
      <c r="AR30" s="552"/>
      <c r="AS30" s="552"/>
      <c r="AT30" s="552"/>
      <c r="AU30" s="552"/>
      <c r="AV30" s="552"/>
      <c r="AW30" s="552"/>
      <c r="AX30" s="552"/>
      <c r="AY30" s="552"/>
      <c r="AZ30" s="552"/>
      <c r="BA30" s="552"/>
      <c r="BB30" s="552"/>
      <c r="BC30" s="552"/>
      <c r="BD30" s="552"/>
      <c r="BE30" s="552"/>
      <c r="BF30" s="552"/>
      <c r="BG30" s="552"/>
      <c r="BH30" s="552"/>
      <c r="BI30" s="552"/>
      <c r="BJ30" s="552"/>
      <c r="BK30" s="552"/>
      <c r="BL30" s="552"/>
      <c r="BM30" s="552"/>
      <c r="BN30" s="552"/>
      <c r="BO30" s="552"/>
      <c r="BP30" s="552"/>
      <c r="BQ30" s="552"/>
      <c r="BR30" s="552"/>
      <c r="BS30" s="552"/>
      <c r="BT30" s="552"/>
      <c r="BU30" s="552"/>
      <c r="BV30" s="552"/>
      <c r="BW30" s="552"/>
      <c r="BX30" s="552"/>
      <c r="BY30" s="552"/>
      <c r="BZ30" s="552"/>
      <c r="CA30" s="552"/>
      <c r="CB30" s="552"/>
      <c r="CC30" s="552"/>
      <c r="CD30" s="552"/>
      <c r="CE30" s="552"/>
      <c r="CF30" s="552"/>
      <c r="CG30" s="552"/>
      <c r="CH30" s="552"/>
      <c r="CI30" s="552"/>
      <c r="CJ30" s="552"/>
      <c r="CK30" s="552"/>
      <c r="CL30" s="552"/>
      <c r="CM30" s="552"/>
      <c r="CN30" s="552"/>
      <c r="CO30" s="552"/>
      <c r="CP30" s="552"/>
      <c r="CQ30" s="552"/>
      <c r="CR30" s="552"/>
      <c r="CS30" s="552"/>
      <c r="CT30" s="552"/>
      <c r="CU30" s="552"/>
      <c r="CV30" s="552"/>
      <c r="CW30" s="552"/>
      <c r="CX30" s="552"/>
      <c r="CY30" s="552"/>
      <c r="CZ30" s="552"/>
      <c r="DA30" s="552"/>
      <c r="DB30" s="552"/>
      <c r="DC30" s="552"/>
      <c r="DD30" s="552"/>
      <c r="DE30" s="552"/>
      <c r="DF30" s="552"/>
      <c r="DG30" s="552"/>
      <c r="DH30" s="552"/>
      <c r="DI30" s="552"/>
      <c r="DJ30" s="552"/>
      <c r="DK30" s="552"/>
      <c r="DL30" s="552"/>
      <c r="DM30" s="552"/>
      <c r="DN30" s="552"/>
      <c r="DO30" s="552"/>
      <c r="DP30" s="552"/>
      <c r="DQ30" s="552"/>
      <c r="DR30" s="552"/>
      <c r="DS30" s="552"/>
      <c r="DT30" s="552"/>
      <c r="DU30" s="552"/>
      <c r="DV30" s="552"/>
      <c r="DW30" s="552"/>
      <c r="DX30" s="552"/>
      <c r="DY30" s="552"/>
      <c r="DZ30" s="552"/>
      <c r="EA30" s="552"/>
      <c r="EB30" s="552"/>
      <c r="EC30" s="552"/>
      <c r="ED30" s="552"/>
      <c r="EE30" s="552"/>
      <c r="EF30" s="552"/>
      <c r="EG30" s="552"/>
      <c r="EH30" s="552"/>
      <c r="EI30" s="552"/>
      <c r="EJ30" s="552"/>
      <c r="EK30" s="552"/>
      <c r="EL30" s="552"/>
      <c r="EM30" s="552"/>
      <c r="EN30" s="552"/>
      <c r="EO30" s="552"/>
      <c r="EP30" s="552"/>
      <c r="EQ30" s="552"/>
      <c r="ER30" s="552"/>
      <c r="ES30" s="552"/>
      <c r="ET30" s="552"/>
      <c r="EU30" s="552"/>
      <c r="EV30" s="552"/>
      <c r="EW30" s="552"/>
      <c r="EX30" s="552"/>
      <c r="EY30" s="552"/>
      <c r="EZ30" s="552"/>
      <c r="FA30" s="552"/>
      <c r="FB30" s="552"/>
      <c r="FC30" s="552"/>
      <c r="FD30" s="552"/>
      <c r="FE30" s="552"/>
      <c r="FF30" s="552"/>
      <c r="FG30" s="552"/>
      <c r="FH30" s="552"/>
      <c r="FI30" s="552"/>
      <c r="FJ30" s="552"/>
      <c r="FK30" s="552"/>
      <c r="FL30" s="552"/>
      <c r="FM30" s="552"/>
      <c r="FN30" s="552"/>
      <c r="FO30" s="552"/>
      <c r="FP30" s="552"/>
      <c r="FQ30" s="552"/>
      <c r="FR30" s="552"/>
      <c r="FS30" s="552"/>
      <c r="FT30" s="552"/>
      <c r="FU30" s="552"/>
      <c r="FV30" s="552"/>
      <c r="FW30" s="552"/>
      <c r="FX30" s="552"/>
      <c r="FY30" s="552"/>
      <c r="FZ30" s="552"/>
      <c r="GA30" s="552"/>
      <c r="GB30" s="552"/>
      <c r="GC30" s="552"/>
      <c r="GD30" s="552"/>
      <c r="GE30" s="552"/>
      <c r="GF30" s="552"/>
      <c r="GG30" s="552"/>
      <c r="GH30" s="552"/>
      <c r="GI30" s="552"/>
      <c r="GJ30" s="552"/>
      <c r="GK30" s="552"/>
      <c r="GL30" s="552"/>
      <c r="GM30" s="552"/>
      <c r="GN30" s="552"/>
      <c r="GO30" s="552"/>
      <c r="GP30" s="552"/>
      <c r="GQ30" s="552"/>
      <c r="GR30" s="552"/>
      <c r="GS30" s="552"/>
      <c r="GT30" s="552"/>
      <c r="GU30" s="552"/>
      <c r="GV30" s="552"/>
      <c r="GW30" s="552"/>
      <c r="GX30" s="552"/>
      <c r="GY30" s="552"/>
      <c r="GZ30" s="552"/>
      <c r="HA30" s="552"/>
      <c r="HB30" s="552"/>
      <c r="HC30" s="552"/>
      <c r="HD30" s="552"/>
      <c r="HE30" s="552"/>
      <c r="HF30" s="552"/>
      <c r="HG30" s="552"/>
      <c r="HH30" s="552"/>
      <c r="HI30" s="552"/>
      <c r="HJ30" s="552"/>
      <c r="HK30" s="552"/>
      <c r="HL30" s="552"/>
      <c r="HM30" s="552"/>
      <c r="HN30" s="552"/>
      <c r="HO30" s="552"/>
      <c r="HP30" s="552"/>
      <c r="HQ30" s="552"/>
      <c r="HR30" s="552"/>
      <c r="HS30" s="552"/>
      <c r="HT30" s="552"/>
      <c r="HU30" s="552"/>
      <c r="HV30" s="552"/>
      <c r="HW30" s="552"/>
      <c r="HX30" s="552"/>
      <c r="HY30" s="552"/>
      <c r="HZ30" s="552"/>
      <c r="IA30" s="552"/>
      <c r="IB30" s="552"/>
      <c r="IC30" s="552"/>
      <c r="ID30" s="552"/>
      <c r="IE30" s="552"/>
      <c r="IF30" s="552"/>
      <c r="IG30" s="552"/>
      <c r="IH30" s="552"/>
      <c r="II30" s="552"/>
      <c r="IJ30" s="552"/>
      <c r="IK30" s="552"/>
      <c r="IL30" s="552"/>
      <c r="IM30" s="552"/>
      <c r="IN30" s="552"/>
      <c r="IO30" s="552"/>
      <c r="IP30" s="552"/>
      <c r="IQ30" s="552"/>
      <c r="IR30" s="552"/>
      <c r="IS30" s="552"/>
      <c r="IT30" s="552"/>
      <c r="IU30" s="552"/>
      <c r="IV30" s="552"/>
    </row>
    <row r="31" spans="1:256" s="600" customFormat="1" ht="18" customHeight="1">
      <c r="A31" s="588">
        <v>23</v>
      </c>
      <c r="B31" s="660"/>
      <c r="C31" s="556"/>
      <c r="D31" s="570" t="s">
        <v>765</v>
      </c>
      <c r="E31" s="604"/>
      <c r="F31" s="626"/>
      <c r="G31" s="656"/>
      <c r="H31" s="615"/>
      <c r="I31" s="701"/>
      <c r="J31" s="701"/>
      <c r="K31" s="623"/>
      <c r="L31" s="623"/>
      <c r="M31" s="630">
        <v>19990</v>
      </c>
      <c r="N31" s="623"/>
      <c r="O31" s="563">
        <f>SUM(I31:N31)</f>
        <v>19990</v>
      </c>
      <c r="P31" s="611"/>
      <c r="Q31" s="552"/>
      <c r="R31" s="552"/>
      <c r="S31" s="552"/>
      <c r="T31" s="552"/>
      <c r="U31" s="552"/>
      <c r="V31" s="552"/>
      <c r="W31" s="552"/>
      <c r="X31" s="552"/>
      <c r="Y31" s="552"/>
      <c r="Z31" s="552"/>
      <c r="AA31" s="552"/>
      <c r="AB31" s="552"/>
      <c r="AC31" s="552"/>
      <c r="AD31" s="552"/>
      <c r="AE31" s="552"/>
      <c r="AF31" s="552"/>
      <c r="AG31" s="552"/>
      <c r="AH31" s="552"/>
      <c r="AI31" s="552"/>
      <c r="AJ31" s="552"/>
      <c r="AK31" s="552"/>
      <c r="AL31" s="552"/>
      <c r="AM31" s="552"/>
      <c r="AN31" s="552"/>
      <c r="AO31" s="552"/>
      <c r="AP31" s="552"/>
      <c r="AQ31" s="552"/>
      <c r="AR31" s="552"/>
      <c r="AS31" s="552"/>
      <c r="AT31" s="552"/>
      <c r="AU31" s="552"/>
      <c r="AV31" s="552"/>
      <c r="AW31" s="552"/>
      <c r="AX31" s="552"/>
      <c r="AY31" s="552"/>
      <c r="AZ31" s="552"/>
      <c r="BA31" s="552"/>
      <c r="BB31" s="552"/>
      <c r="BC31" s="552"/>
      <c r="BD31" s="552"/>
      <c r="BE31" s="552"/>
      <c r="BF31" s="552"/>
      <c r="BG31" s="552"/>
      <c r="BH31" s="552"/>
      <c r="BI31" s="552"/>
      <c r="BJ31" s="552"/>
      <c r="BK31" s="552"/>
      <c r="BL31" s="552"/>
      <c r="BM31" s="552"/>
      <c r="BN31" s="552"/>
      <c r="BO31" s="552"/>
      <c r="BP31" s="552"/>
      <c r="BQ31" s="552"/>
      <c r="BR31" s="552"/>
      <c r="BS31" s="552"/>
      <c r="BT31" s="552"/>
      <c r="BU31" s="552"/>
      <c r="BV31" s="552"/>
      <c r="BW31" s="552"/>
      <c r="BX31" s="552"/>
      <c r="BY31" s="552"/>
      <c r="BZ31" s="552"/>
      <c r="CA31" s="552"/>
      <c r="CB31" s="552"/>
      <c r="CC31" s="552"/>
      <c r="CD31" s="552"/>
      <c r="CE31" s="552"/>
      <c r="CF31" s="552"/>
      <c r="CG31" s="552"/>
      <c r="CH31" s="552"/>
      <c r="CI31" s="552"/>
      <c r="CJ31" s="552"/>
      <c r="CK31" s="552"/>
      <c r="CL31" s="552"/>
      <c r="CM31" s="552"/>
      <c r="CN31" s="552"/>
      <c r="CO31" s="552"/>
      <c r="CP31" s="552"/>
      <c r="CQ31" s="552"/>
      <c r="CR31" s="552"/>
      <c r="CS31" s="552"/>
      <c r="CT31" s="552"/>
      <c r="CU31" s="552"/>
      <c r="CV31" s="552"/>
      <c r="CW31" s="552"/>
      <c r="CX31" s="552"/>
      <c r="CY31" s="552"/>
      <c r="CZ31" s="552"/>
      <c r="DA31" s="552"/>
      <c r="DB31" s="552"/>
      <c r="DC31" s="552"/>
      <c r="DD31" s="552"/>
      <c r="DE31" s="552"/>
      <c r="DF31" s="552"/>
      <c r="DG31" s="552"/>
      <c r="DH31" s="552"/>
      <c r="DI31" s="552"/>
      <c r="DJ31" s="552"/>
      <c r="DK31" s="552"/>
      <c r="DL31" s="552"/>
      <c r="DM31" s="552"/>
      <c r="DN31" s="552"/>
      <c r="DO31" s="552"/>
      <c r="DP31" s="552"/>
      <c r="DQ31" s="552"/>
      <c r="DR31" s="552"/>
      <c r="DS31" s="552"/>
      <c r="DT31" s="552"/>
      <c r="DU31" s="552"/>
      <c r="DV31" s="552"/>
      <c r="DW31" s="552"/>
      <c r="DX31" s="552"/>
      <c r="DY31" s="552"/>
      <c r="DZ31" s="552"/>
      <c r="EA31" s="552"/>
      <c r="EB31" s="552"/>
      <c r="EC31" s="552"/>
      <c r="ED31" s="552"/>
      <c r="EE31" s="552"/>
      <c r="EF31" s="552"/>
      <c r="EG31" s="552"/>
      <c r="EH31" s="552"/>
      <c r="EI31" s="552"/>
      <c r="EJ31" s="552"/>
      <c r="EK31" s="552"/>
      <c r="EL31" s="552"/>
      <c r="EM31" s="552"/>
      <c r="EN31" s="552"/>
      <c r="EO31" s="552"/>
      <c r="EP31" s="552"/>
      <c r="EQ31" s="552"/>
      <c r="ER31" s="552"/>
      <c r="ES31" s="552"/>
      <c r="ET31" s="552"/>
      <c r="EU31" s="552"/>
      <c r="EV31" s="552"/>
      <c r="EW31" s="552"/>
      <c r="EX31" s="552"/>
      <c r="EY31" s="552"/>
      <c r="EZ31" s="552"/>
      <c r="FA31" s="552"/>
      <c r="FB31" s="552"/>
      <c r="FC31" s="552"/>
      <c r="FD31" s="552"/>
      <c r="FE31" s="552"/>
      <c r="FF31" s="552"/>
      <c r="FG31" s="552"/>
      <c r="FH31" s="552"/>
      <c r="FI31" s="552"/>
      <c r="FJ31" s="552"/>
      <c r="FK31" s="552"/>
      <c r="FL31" s="552"/>
      <c r="FM31" s="552"/>
      <c r="FN31" s="552"/>
      <c r="FO31" s="552"/>
      <c r="FP31" s="552"/>
      <c r="FQ31" s="552"/>
      <c r="FR31" s="552"/>
      <c r="FS31" s="552"/>
      <c r="FT31" s="552"/>
      <c r="FU31" s="552"/>
      <c r="FV31" s="552"/>
      <c r="FW31" s="552"/>
      <c r="FX31" s="552"/>
      <c r="FY31" s="552"/>
      <c r="FZ31" s="552"/>
      <c r="GA31" s="552"/>
      <c r="GB31" s="552"/>
      <c r="GC31" s="552"/>
      <c r="GD31" s="552"/>
      <c r="GE31" s="552"/>
      <c r="GF31" s="552"/>
      <c r="GG31" s="552"/>
      <c r="GH31" s="552"/>
      <c r="GI31" s="552"/>
      <c r="GJ31" s="552"/>
      <c r="GK31" s="552"/>
      <c r="GL31" s="552"/>
      <c r="GM31" s="552"/>
      <c r="GN31" s="552"/>
      <c r="GO31" s="552"/>
      <c r="GP31" s="552"/>
      <c r="GQ31" s="552"/>
      <c r="GR31" s="552"/>
      <c r="GS31" s="552"/>
      <c r="GT31" s="552"/>
      <c r="GU31" s="552"/>
      <c r="GV31" s="552"/>
      <c r="GW31" s="552"/>
      <c r="GX31" s="552"/>
      <c r="GY31" s="552"/>
      <c r="GZ31" s="552"/>
      <c r="HA31" s="552"/>
      <c r="HB31" s="552"/>
      <c r="HC31" s="552"/>
      <c r="HD31" s="552"/>
      <c r="HE31" s="552"/>
      <c r="HF31" s="552"/>
      <c r="HG31" s="552"/>
      <c r="HH31" s="552"/>
      <c r="HI31" s="552"/>
      <c r="HJ31" s="552"/>
      <c r="HK31" s="552"/>
      <c r="HL31" s="552"/>
      <c r="HM31" s="552"/>
      <c r="HN31" s="552"/>
      <c r="HO31" s="552"/>
      <c r="HP31" s="552"/>
      <c r="HQ31" s="552"/>
      <c r="HR31" s="552"/>
      <c r="HS31" s="552"/>
      <c r="HT31" s="552"/>
      <c r="HU31" s="552"/>
      <c r="HV31" s="552"/>
      <c r="HW31" s="552"/>
      <c r="HX31" s="552"/>
      <c r="HY31" s="552"/>
      <c r="HZ31" s="552"/>
      <c r="IA31" s="552"/>
      <c r="IB31" s="552"/>
      <c r="IC31" s="552"/>
      <c r="ID31" s="552"/>
      <c r="IE31" s="552"/>
      <c r="IF31" s="552"/>
      <c r="IG31" s="552"/>
      <c r="IH31" s="552"/>
      <c r="II31" s="552"/>
      <c r="IJ31" s="552"/>
      <c r="IK31" s="552"/>
      <c r="IL31" s="552"/>
      <c r="IM31" s="552"/>
      <c r="IN31" s="552"/>
      <c r="IO31" s="552"/>
      <c r="IP31" s="552"/>
      <c r="IQ31" s="552"/>
      <c r="IR31" s="552"/>
      <c r="IS31" s="552"/>
      <c r="IT31" s="552"/>
      <c r="IU31" s="552"/>
      <c r="IV31" s="552"/>
    </row>
    <row r="32" spans="1:256" s="600" customFormat="1" ht="18" customHeight="1">
      <c r="A32" s="588">
        <v>24</v>
      </c>
      <c r="B32" s="660"/>
      <c r="C32" s="556"/>
      <c r="D32" s="576" t="s">
        <v>1021</v>
      </c>
      <c r="E32" s="604"/>
      <c r="F32" s="626"/>
      <c r="G32" s="656"/>
      <c r="H32" s="615"/>
      <c r="I32" s="701"/>
      <c r="J32" s="701"/>
      <c r="K32" s="623"/>
      <c r="L32" s="623"/>
      <c r="M32" s="722">
        <v>19926</v>
      </c>
      <c r="N32" s="623"/>
      <c r="O32" s="713">
        <f>SUM(I32:N32)</f>
        <v>19926</v>
      </c>
      <c r="P32" s="611"/>
      <c r="Q32" s="552"/>
      <c r="R32" s="552"/>
      <c r="S32" s="552"/>
      <c r="T32" s="552"/>
      <c r="U32" s="552"/>
      <c r="V32" s="552"/>
      <c r="W32" s="552"/>
      <c r="X32" s="552"/>
      <c r="Y32" s="552"/>
      <c r="Z32" s="552"/>
      <c r="AA32" s="552"/>
      <c r="AB32" s="552"/>
      <c r="AC32" s="552"/>
      <c r="AD32" s="552"/>
      <c r="AE32" s="552"/>
      <c r="AF32" s="552"/>
      <c r="AG32" s="552"/>
      <c r="AH32" s="552"/>
      <c r="AI32" s="552"/>
      <c r="AJ32" s="552"/>
      <c r="AK32" s="552"/>
      <c r="AL32" s="552"/>
      <c r="AM32" s="552"/>
      <c r="AN32" s="552"/>
      <c r="AO32" s="552"/>
      <c r="AP32" s="552"/>
      <c r="AQ32" s="552"/>
      <c r="AR32" s="552"/>
      <c r="AS32" s="552"/>
      <c r="AT32" s="552"/>
      <c r="AU32" s="552"/>
      <c r="AV32" s="552"/>
      <c r="AW32" s="552"/>
      <c r="AX32" s="552"/>
      <c r="AY32" s="552"/>
      <c r="AZ32" s="552"/>
      <c r="BA32" s="552"/>
      <c r="BB32" s="552"/>
      <c r="BC32" s="552"/>
      <c r="BD32" s="552"/>
      <c r="BE32" s="552"/>
      <c r="BF32" s="552"/>
      <c r="BG32" s="552"/>
      <c r="BH32" s="552"/>
      <c r="BI32" s="552"/>
      <c r="BJ32" s="552"/>
      <c r="BK32" s="552"/>
      <c r="BL32" s="552"/>
      <c r="BM32" s="552"/>
      <c r="BN32" s="552"/>
      <c r="BO32" s="552"/>
      <c r="BP32" s="552"/>
      <c r="BQ32" s="552"/>
      <c r="BR32" s="552"/>
      <c r="BS32" s="552"/>
      <c r="BT32" s="552"/>
      <c r="BU32" s="552"/>
      <c r="BV32" s="552"/>
      <c r="BW32" s="552"/>
      <c r="BX32" s="552"/>
      <c r="BY32" s="552"/>
      <c r="BZ32" s="552"/>
      <c r="CA32" s="552"/>
      <c r="CB32" s="552"/>
      <c r="CC32" s="552"/>
      <c r="CD32" s="552"/>
      <c r="CE32" s="552"/>
      <c r="CF32" s="552"/>
      <c r="CG32" s="552"/>
      <c r="CH32" s="552"/>
      <c r="CI32" s="552"/>
      <c r="CJ32" s="552"/>
      <c r="CK32" s="552"/>
      <c r="CL32" s="552"/>
      <c r="CM32" s="552"/>
      <c r="CN32" s="552"/>
      <c r="CO32" s="552"/>
      <c r="CP32" s="552"/>
      <c r="CQ32" s="552"/>
      <c r="CR32" s="552"/>
      <c r="CS32" s="552"/>
      <c r="CT32" s="552"/>
      <c r="CU32" s="552"/>
      <c r="CV32" s="552"/>
      <c r="CW32" s="552"/>
      <c r="CX32" s="552"/>
      <c r="CY32" s="552"/>
      <c r="CZ32" s="552"/>
      <c r="DA32" s="552"/>
      <c r="DB32" s="552"/>
      <c r="DC32" s="552"/>
      <c r="DD32" s="552"/>
      <c r="DE32" s="552"/>
      <c r="DF32" s="552"/>
      <c r="DG32" s="552"/>
      <c r="DH32" s="552"/>
      <c r="DI32" s="552"/>
      <c r="DJ32" s="552"/>
      <c r="DK32" s="552"/>
      <c r="DL32" s="552"/>
      <c r="DM32" s="552"/>
      <c r="DN32" s="552"/>
      <c r="DO32" s="552"/>
      <c r="DP32" s="552"/>
      <c r="DQ32" s="552"/>
      <c r="DR32" s="552"/>
      <c r="DS32" s="552"/>
      <c r="DT32" s="552"/>
      <c r="DU32" s="552"/>
      <c r="DV32" s="552"/>
      <c r="DW32" s="552"/>
      <c r="DX32" s="552"/>
      <c r="DY32" s="552"/>
      <c r="DZ32" s="552"/>
      <c r="EA32" s="552"/>
      <c r="EB32" s="552"/>
      <c r="EC32" s="552"/>
      <c r="ED32" s="552"/>
      <c r="EE32" s="552"/>
      <c r="EF32" s="552"/>
      <c r="EG32" s="552"/>
      <c r="EH32" s="552"/>
      <c r="EI32" s="552"/>
      <c r="EJ32" s="552"/>
      <c r="EK32" s="552"/>
      <c r="EL32" s="552"/>
      <c r="EM32" s="552"/>
      <c r="EN32" s="552"/>
      <c r="EO32" s="552"/>
      <c r="EP32" s="552"/>
      <c r="EQ32" s="552"/>
      <c r="ER32" s="552"/>
      <c r="ES32" s="552"/>
      <c r="ET32" s="552"/>
      <c r="EU32" s="552"/>
      <c r="EV32" s="552"/>
      <c r="EW32" s="552"/>
      <c r="EX32" s="552"/>
      <c r="EY32" s="552"/>
      <c r="EZ32" s="552"/>
      <c r="FA32" s="552"/>
      <c r="FB32" s="552"/>
      <c r="FC32" s="552"/>
      <c r="FD32" s="552"/>
      <c r="FE32" s="552"/>
      <c r="FF32" s="552"/>
      <c r="FG32" s="552"/>
      <c r="FH32" s="552"/>
      <c r="FI32" s="552"/>
      <c r="FJ32" s="552"/>
      <c r="FK32" s="552"/>
      <c r="FL32" s="552"/>
      <c r="FM32" s="552"/>
      <c r="FN32" s="552"/>
      <c r="FO32" s="552"/>
      <c r="FP32" s="552"/>
      <c r="FQ32" s="552"/>
      <c r="FR32" s="552"/>
      <c r="FS32" s="552"/>
      <c r="FT32" s="552"/>
      <c r="FU32" s="552"/>
      <c r="FV32" s="552"/>
      <c r="FW32" s="552"/>
      <c r="FX32" s="552"/>
      <c r="FY32" s="552"/>
      <c r="FZ32" s="552"/>
      <c r="GA32" s="552"/>
      <c r="GB32" s="552"/>
      <c r="GC32" s="552"/>
      <c r="GD32" s="552"/>
      <c r="GE32" s="552"/>
      <c r="GF32" s="552"/>
      <c r="GG32" s="552"/>
      <c r="GH32" s="552"/>
      <c r="GI32" s="552"/>
      <c r="GJ32" s="552"/>
      <c r="GK32" s="552"/>
      <c r="GL32" s="552"/>
      <c r="GM32" s="552"/>
      <c r="GN32" s="552"/>
      <c r="GO32" s="552"/>
      <c r="GP32" s="552"/>
      <c r="GQ32" s="552"/>
      <c r="GR32" s="552"/>
      <c r="GS32" s="552"/>
      <c r="GT32" s="552"/>
      <c r="GU32" s="552"/>
      <c r="GV32" s="552"/>
      <c r="GW32" s="552"/>
      <c r="GX32" s="552"/>
      <c r="GY32" s="552"/>
      <c r="GZ32" s="552"/>
      <c r="HA32" s="552"/>
      <c r="HB32" s="552"/>
      <c r="HC32" s="552"/>
      <c r="HD32" s="552"/>
      <c r="HE32" s="552"/>
      <c r="HF32" s="552"/>
      <c r="HG32" s="552"/>
      <c r="HH32" s="552"/>
      <c r="HI32" s="552"/>
      <c r="HJ32" s="552"/>
      <c r="HK32" s="552"/>
      <c r="HL32" s="552"/>
      <c r="HM32" s="552"/>
      <c r="HN32" s="552"/>
      <c r="HO32" s="552"/>
      <c r="HP32" s="552"/>
      <c r="HQ32" s="552"/>
      <c r="HR32" s="552"/>
      <c r="HS32" s="552"/>
      <c r="HT32" s="552"/>
      <c r="HU32" s="552"/>
      <c r="HV32" s="552"/>
      <c r="HW32" s="552"/>
      <c r="HX32" s="552"/>
      <c r="HY32" s="552"/>
      <c r="HZ32" s="552"/>
      <c r="IA32" s="552"/>
      <c r="IB32" s="552"/>
      <c r="IC32" s="552"/>
      <c r="ID32" s="552"/>
      <c r="IE32" s="552"/>
      <c r="IF32" s="552"/>
      <c r="IG32" s="552"/>
      <c r="IH32" s="552"/>
      <c r="II32" s="552"/>
      <c r="IJ32" s="552"/>
      <c r="IK32" s="552"/>
      <c r="IL32" s="552"/>
      <c r="IM32" s="552"/>
      <c r="IN32" s="552"/>
      <c r="IO32" s="552"/>
      <c r="IP32" s="552"/>
      <c r="IQ32" s="552"/>
      <c r="IR32" s="552"/>
      <c r="IS32" s="552"/>
      <c r="IT32" s="552"/>
      <c r="IU32" s="552"/>
      <c r="IV32" s="552"/>
    </row>
    <row r="33" spans="1:256" s="600" customFormat="1" ht="22.5" customHeight="1">
      <c r="A33" s="588">
        <v>25</v>
      </c>
      <c r="B33" s="601"/>
      <c r="C33" s="556">
        <v>16</v>
      </c>
      <c r="D33" s="564" t="s">
        <v>8</v>
      </c>
      <c r="E33" s="604">
        <f>F33+G33+O34</f>
        <v>27550</v>
      </c>
      <c r="F33" s="626"/>
      <c r="G33" s="727"/>
      <c r="H33" s="728" t="s">
        <v>231</v>
      </c>
      <c r="I33" s="625"/>
      <c r="J33" s="625"/>
      <c r="K33" s="624"/>
      <c r="L33" s="624"/>
      <c r="M33" s="627"/>
      <c r="N33" s="624"/>
      <c r="O33" s="563"/>
      <c r="P33" s="729"/>
      <c r="Q33" s="552"/>
      <c r="R33" s="552"/>
      <c r="S33" s="552"/>
      <c r="T33" s="552"/>
      <c r="U33" s="552"/>
      <c r="V33" s="552"/>
      <c r="W33" s="552"/>
      <c r="X33" s="552"/>
      <c r="Y33" s="552"/>
      <c r="Z33" s="552"/>
      <c r="AA33" s="552"/>
      <c r="AB33" s="552"/>
      <c r="AC33" s="552"/>
      <c r="AD33" s="552"/>
      <c r="AE33" s="552"/>
      <c r="AF33" s="552"/>
      <c r="AG33" s="552"/>
      <c r="AH33" s="552"/>
      <c r="AI33" s="552"/>
      <c r="AJ33" s="552"/>
      <c r="AK33" s="552"/>
      <c r="AL33" s="552"/>
      <c r="AM33" s="552"/>
      <c r="AN33" s="552"/>
      <c r="AO33" s="552"/>
      <c r="AP33" s="552"/>
      <c r="AQ33" s="552"/>
      <c r="AR33" s="552"/>
      <c r="AS33" s="552"/>
      <c r="AT33" s="552"/>
      <c r="AU33" s="552"/>
      <c r="AV33" s="552"/>
      <c r="AW33" s="552"/>
      <c r="AX33" s="552"/>
      <c r="AY33" s="552"/>
      <c r="AZ33" s="552"/>
      <c r="BA33" s="552"/>
      <c r="BB33" s="552"/>
      <c r="BC33" s="552"/>
      <c r="BD33" s="552"/>
      <c r="BE33" s="552"/>
      <c r="BF33" s="552"/>
      <c r="BG33" s="552"/>
      <c r="BH33" s="552"/>
      <c r="BI33" s="552"/>
      <c r="BJ33" s="552"/>
      <c r="BK33" s="552"/>
      <c r="BL33" s="552"/>
      <c r="BM33" s="552"/>
      <c r="BN33" s="552"/>
      <c r="BO33" s="552"/>
      <c r="BP33" s="552"/>
      <c r="BQ33" s="552"/>
      <c r="BR33" s="552"/>
      <c r="BS33" s="552"/>
      <c r="BT33" s="552"/>
      <c r="BU33" s="552"/>
      <c r="BV33" s="552"/>
      <c r="BW33" s="552"/>
      <c r="BX33" s="552"/>
      <c r="BY33" s="552"/>
      <c r="BZ33" s="552"/>
      <c r="CA33" s="552"/>
      <c r="CB33" s="552"/>
      <c r="CC33" s="552"/>
      <c r="CD33" s="552"/>
      <c r="CE33" s="552"/>
      <c r="CF33" s="552"/>
      <c r="CG33" s="552"/>
      <c r="CH33" s="552"/>
      <c r="CI33" s="552"/>
      <c r="CJ33" s="552"/>
      <c r="CK33" s="552"/>
      <c r="CL33" s="552"/>
      <c r="CM33" s="552"/>
      <c r="CN33" s="552"/>
      <c r="CO33" s="552"/>
      <c r="CP33" s="552"/>
      <c r="CQ33" s="552"/>
      <c r="CR33" s="552"/>
      <c r="CS33" s="552"/>
      <c r="CT33" s="552"/>
      <c r="CU33" s="552"/>
      <c r="CV33" s="552"/>
      <c r="CW33" s="552"/>
      <c r="CX33" s="552"/>
      <c r="CY33" s="552"/>
      <c r="CZ33" s="552"/>
      <c r="DA33" s="552"/>
      <c r="DB33" s="552"/>
      <c r="DC33" s="552"/>
      <c r="DD33" s="552"/>
      <c r="DE33" s="552"/>
      <c r="DF33" s="552"/>
      <c r="DG33" s="552"/>
      <c r="DH33" s="552"/>
      <c r="DI33" s="552"/>
      <c r="DJ33" s="552"/>
      <c r="DK33" s="552"/>
      <c r="DL33" s="552"/>
      <c r="DM33" s="552"/>
      <c r="DN33" s="552"/>
      <c r="DO33" s="552"/>
      <c r="DP33" s="552"/>
      <c r="DQ33" s="552"/>
      <c r="DR33" s="552"/>
      <c r="DS33" s="552"/>
      <c r="DT33" s="552"/>
      <c r="DU33" s="552"/>
      <c r="DV33" s="552"/>
      <c r="DW33" s="552"/>
      <c r="DX33" s="552"/>
      <c r="DY33" s="552"/>
      <c r="DZ33" s="552"/>
      <c r="EA33" s="552"/>
      <c r="EB33" s="552"/>
      <c r="EC33" s="552"/>
      <c r="ED33" s="552"/>
      <c r="EE33" s="552"/>
      <c r="EF33" s="552"/>
      <c r="EG33" s="552"/>
      <c r="EH33" s="552"/>
      <c r="EI33" s="552"/>
      <c r="EJ33" s="552"/>
      <c r="EK33" s="552"/>
      <c r="EL33" s="552"/>
      <c r="EM33" s="552"/>
      <c r="EN33" s="552"/>
      <c r="EO33" s="552"/>
      <c r="EP33" s="552"/>
      <c r="EQ33" s="552"/>
      <c r="ER33" s="552"/>
      <c r="ES33" s="552"/>
      <c r="ET33" s="552"/>
      <c r="EU33" s="552"/>
      <c r="EV33" s="552"/>
      <c r="EW33" s="552"/>
      <c r="EX33" s="552"/>
      <c r="EY33" s="552"/>
      <c r="EZ33" s="552"/>
      <c r="FA33" s="552"/>
      <c r="FB33" s="552"/>
      <c r="FC33" s="552"/>
      <c r="FD33" s="552"/>
      <c r="FE33" s="552"/>
      <c r="FF33" s="552"/>
      <c r="FG33" s="552"/>
      <c r="FH33" s="552"/>
      <c r="FI33" s="552"/>
      <c r="FJ33" s="552"/>
      <c r="FK33" s="552"/>
      <c r="FL33" s="552"/>
      <c r="FM33" s="552"/>
      <c r="FN33" s="552"/>
      <c r="FO33" s="552"/>
      <c r="FP33" s="552"/>
      <c r="FQ33" s="552"/>
      <c r="FR33" s="552"/>
      <c r="FS33" s="552"/>
      <c r="FT33" s="552"/>
      <c r="FU33" s="552"/>
      <c r="FV33" s="552"/>
      <c r="FW33" s="552"/>
      <c r="FX33" s="552"/>
      <c r="FY33" s="552"/>
      <c r="FZ33" s="552"/>
      <c r="GA33" s="552"/>
      <c r="GB33" s="552"/>
      <c r="GC33" s="552"/>
      <c r="GD33" s="552"/>
      <c r="GE33" s="552"/>
      <c r="GF33" s="552"/>
      <c r="GG33" s="552"/>
      <c r="GH33" s="552"/>
      <c r="GI33" s="552"/>
      <c r="GJ33" s="552"/>
      <c r="GK33" s="552"/>
      <c r="GL33" s="552"/>
      <c r="GM33" s="552"/>
      <c r="GN33" s="552"/>
      <c r="GO33" s="552"/>
      <c r="GP33" s="552"/>
      <c r="GQ33" s="552"/>
      <c r="GR33" s="552"/>
      <c r="GS33" s="552"/>
      <c r="GT33" s="552"/>
      <c r="GU33" s="552"/>
      <c r="GV33" s="552"/>
      <c r="GW33" s="552"/>
      <c r="GX33" s="552"/>
      <c r="GY33" s="552"/>
      <c r="GZ33" s="552"/>
      <c r="HA33" s="552"/>
      <c r="HB33" s="552"/>
      <c r="HC33" s="552"/>
      <c r="HD33" s="552"/>
      <c r="HE33" s="552"/>
      <c r="HF33" s="552"/>
      <c r="HG33" s="552"/>
      <c r="HH33" s="552"/>
      <c r="HI33" s="552"/>
      <c r="HJ33" s="552"/>
      <c r="HK33" s="552"/>
      <c r="HL33" s="552"/>
      <c r="HM33" s="552"/>
      <c r="HN33" s="552"/>
      <c r="HO33" s="552"/>
      <c r="HP33" s="552"/>
      <c r="HQ33" s="552"/>
      <c r="HR33" s="552"/>
      <c r="HS33" s="552"/>
      <c r="HT33" s="552"/>
      <c r="HU33" s="552"/>
      <c r="HV33" s="552"/>
      <c r="HW33" s="552"/>
      <c r="HX33" s="552"/>
      <c r="HY33" s="552"/>
      <c r="HZ33" s="552"/>
      <c r="IA33" s="552"/>
      <c r="IB33" s="552"/>
      <c r="IC33" s="552"/>
      <c r="ID33" s="552"/>
      <c r="IE33" s="552"/>
      <c r="IF33" s="552"/>
      <c r="IG33" s="552"/>
      <c r="IH33" s="552"/>
      <c r="II33" s="552"/>
      <c r="IJ33" s="552"/>
      <c r="IK33" s="552"/>
      <c r="IL33" s="552"/>
      <c r="IM33" s="552"/>
      <c r="IN33" s="552"/>
      <c r="IO33" s="552"/>
      <c r="IP33" s="552"/>
      <c r="IQ33" s="552"/>
      <c r="IR33" s="552"/>
      <c r="IS33" s="552"/>
      <c r="IT33" s="552"/>
      <c r="IU33" s="552"/>
      <c r="IV33" s="552"/>
    </row>
    <row r="34" spans="1:256" s="600" customFormat="1" ht="18" customHeight="1">
      <c r="A34" s="588">
        <v>26</v>
      </c>
      <c r="B34" s="601"/>
      <c r="C34" s="556"/>
      <c r="D34" s="570" t="s">
        <v>765</v>
      </c>
      <c r="E34" s="604"/>
      <c r="F34" s="626"/>
      <c r="G34" s="727"/>
      <c r="H34" s="728"/>
      <c r="I34" s="625"/>
      <c r="J34" s="625"/>
      <c r="K34" s="627">
        <v>27550</v>
      </c>
      <c r="L34" s="624"/>
      <c r="M34" s="627"/>
      <c r="N34" s="624"/>
      <c r="O34" s="563">
        <f>SUM(I34:N34)</f>
        <v>27550</v>
      </c>
      <c r="P34" s="729"/>
      <c r="Q34" s="552"/>
      <c r="R34" s="552"/>
      <c r="S34" s="552"/>
      <c r="T34" s="552"/>
      <c r="U34" s="552"/>
      <c r="V34" s="552"/>
      <c r="W34" s="552"/>
      <c r="X34" s="552"/>
      <c r="Y34" s="552"/>
      <c r="Z34" s="552"/>
      <c r="AA34" s="552"/>
      <c r="AB34" s="552"/>
      <c r="AC34" s="552"/>
      <c r="AD34" s="552"/>
      <c r="AE34" s="552"/>
      <c r="AF34" s="552"/>
      <c r="AG34" s="552"/>
      <c r="AH34" s="552"/>
      <c r="AI34" s="552"/>
      <c r="AJ34" s="552"/>
      <c r="AK34" s="552"/>
      <c r="AL34" s="552"/>
      <c r="AM34" s="552"/>
      <c r="AN34" s="552"/>
      <c r="AO34" s="552"/>
      <c r="AP34" s="552"/>
      <c r="AQ34" s="552"/>
      <c r="AR34" s="552"/>
      <c r="AS34" s="552"/>
      <c r="AT34" s="552"/>
      <c r="AU34" s="552"/>
      <c r="AV34" s="552"/>
      <c r="AW34" s="552"/>
      <c r="AX34" s="552"/>
      <c r="AY34" s="552"/>
      <c r="AZ34" s="552"/>
      <c r="BA34" s="552"/>
      <c r="BB34" s="552"/>
      <c r="BC34" s="552"/>
      <c r="BD34" s="552"/>
      <c r="BE34" s="552"/>
      <c r="BF34" s="552"/>
      <c r="BG34" s="552"/>
      <c r="BH34" s="552"/>
      <c r="BI34" s="552"/>
      <c r="BJ34" s="552"/>
      <c r="BK34" s="552"/>
      <c r="BL34" s="552"/>
      <c r="BM34" s="552"/>
      <c r="BN34" s="552"/>
      <c r="BO34" s="552"/>
      <c r="BP34" s="552"/>
      <c r="BQ34" s="552"/>
      <c r="BR34" s="552"/>
      <c r="BS34" s="552"/>
      <c r="BT34" s="552"/>
      <c r="BU34" s="552"/>
      <c r="BV34" s="552"/>
      <c r="BW34" s="552"/>
      <c r="BX34" s="552"/>
      <c r="BY34" s="552"/>
      <c r="BZ34" s="552"/>
      <c r="CA34" s="552"/>
      <c r="CB34" s="552"/>
      <c r="CC34" s="552"/>
      <c r="CD34" s="552"/>
      <c r="CE34" s="552"/>
      <c r="CF34" s="552"/>
      <c r="CG34" s="552"/>
      <c r="CH34" s="552"/>
      <c r="CI34" s="552"/>
      <c r="CJ34" s="552"/>
      <c r="CK34" s="552"/>
      <c r="CL34" s="552"/>
      <c r="CM34" s="552"/>
      <c r="CN34" s="552"/>
      <c r="CO34" s="552"/>
      <c r="CP34" s="552"/>
      <c r="CQ34" s="552"/>
      <c r="CR34" s="552"/>
      <c r="CS34" s="552"/>
      <c r="CT34" s="552"/>
      <c r="CU34" s="552"/>
      <c r="CV34" s="552"/>
      <c r="CW34" s="552"/>
      <c r="CX34" s="552"/>
      <c r="CY34" s="552"/>
      <c r="CZ34" s="552"/>
      <c r="DA34" s="552"/>
      <c r="DB34" s="552"/>
      <c r="DC34" s="552"/>
      <c r="DD34" s="552"/>
      <c r="DE34" s="552"/>
      <c r="DF34" s="552"/>
      <c r="DG34" s="552"/>
      <c r="DH34" s="552"/>
      <c r="DI34" s="552"/>
      <c r="DJ34" s="552"/>
      <c r="DK34" s="552"/>
      <c r="DL34" s="552"/>
      <c r="DM34" s="552"/>
      <c r="DN34" s="552"/>
      <c r="DO34" s="552"/>
      <c r="DP34" s="552"/>
      <c r="DQ34" s="552"/>
      <c r="DR34" s="552"/>
      <c r="DS34" s="552"/>
      <c r="DT34" s="552"/>
      <c r="DU34" s="552"/>
      <c r="DV34" s="552"/>
      <c r="DW34" s="552"/>
      <c r="DX34" s="552"/>
      <c r="DY34" s="552"/>
      <c r="DZ34" s="552"/>
      <c r="EA34" s="552"/>
      <c r="EB34" s="552"/>
      <c r="EC34" s="552"/>
      <c r="ED34" s="552"/>
      <c r="EE34" s="552"/>
      <c r="EF34" s="552"/>
      <c r="EG34" s="552"/>
      <c r="EH34" s="552"/>
      <c r="EI34" s="552"/>
      <c r="EJ34" s="552"/>
      <c r="EK34" s="552"/>
      <c r="EL34" s="552"/>
      <c r="EM34" s="552"/>
      <c r="EN34" s="552"/>
      <c r="EO34" s="552"/>
      <c r="EP34" s="552"/>
      <c r="EQ34" s="552"/>
      <c r="ER34" s="552"/>
      <c r="ES34" s="552"/>
      <c r="ET34" s="552"/>
      <c r="EU34" s="552"/>
      <c r="EV34" s="552"/>
      <c r="EW34" s="552"/>
      <c r="EX34" s="552"/>
      <c r="EY34" s="552"/>
      <c r="EZ34" s="552"/>
      <c r="FA34" s="552"/>
      <c r="FB34" s="552"/>
      <c r="FC34" s="552"/>
      <c r="FD34" s="552"/>
      <c r="FE34" s="552"/>
      <c r="FF34" s="552"/>
      <c r="FG34" s="552"/>
      <c r="FH34" s="552"/>
      <c r="FI34" s="552"/>
      <c r="FJ34" s="552"/>
      <c r="FK34" s="552"/>
      <c r="FL34" s="552"/>
      <c r="FM34" s="552"/>
      <c r="FN34" s="552"/>
      <c r="FO34" s="552"/>
      <c r="FP34" s="552"/>
      <c r="FQ34" s="552"/>
      <c r="FR34" s="552"/>
      <c r="FS34" s="552"/>
      <c r="FT34" s="552"/>
      <c r="FU34" s="552"/>
      <c r="FV34" s="552"/>
      <c r="FW34" s="552"/>
      <c r="FX34" s="552"/>
      <c r="FY34" s="552"/>
      <c r="FZ34" s="552"/>
      <c r="GA34" s="552"/>
      <c r="GB34" s="552"/>
      <c r="GC34" s="552"/>
      <c r="GD34" s="552"/>
      <c r="GE34" s="552"/>
      <c r="GF34" s="552"/>
      <c r="GG34" s="552"/>
      <c r="GH34" s="552"/>
      <c r="GI34" s="552"/>
      <c r="GJ34" s="552"/>
      <c r="GK34" s="552"/>
      <c r="GL34" s="552"/>
      <c r="GM34" s="552"/>
      <c r="GN34" s="552"/>
      <c r="GO34" s="552"/>
      <c r="GP34" s="552"/>
      <c r="GQ34" s="552"/>
      <c r="GR34" s="552"/>
      <c r="GS34" s="552"/>
      <c r="GT34" s="552"/>
      <c r="GU34" s="552"/>
      <c r="GV34" s="552"/>
      <c r="GW34" s="552"/>
      <c r="GX34" s="552"/>
      <c r="GY34" s="552"/>
      <c r="GZ34" s="552"/>
      <c r="HA34" s="552"/>
      <c r="HB34" s="552"/>
      <c r="HC34" s="552"/>
      <c r="HD34" s="552"/>
      <c r="HE34" s="552"/>
      <c r="HF34" s="552"/>
      <c r="HG34" s="552"/>
      <c r="HH34" s="552"/>
      <c r="HI34" s="552"/>
      <c r="HJ34" s="552"/>
      <c r="HK34" s="552"/>
      <c r="HL34" s="552"/>
      <c r="HM34" s="552"/>
      <c r="HN34" s="552"/>
      <c r="HO34" s="552"/>
      <c r="HP34" s="552"/>
      <c r="HQ34" s="552"/>
      <c r="HR34" s="552"/>
      <c r="HS34" s="552"/>
      <c r="HT34" s="552"/>
      <c r="HU34" s="552"/>
      <c r="HV34" s="552"/>
      <c r="HW34" s="552"/>
      <c r="HX34" s="552"/>
      <c r="HY34" s="552"/>
      <c r="HZ34" s="552"/>
      <c r="IA34" s="552"/>
      <c r="IB34" s="552"/>
      <c r="IC34" s="552"/>
      <c r="ID34" s="552"/>
      <c r="IE34" s="552"/>
      <c r="IF34" s="552"/>
      <c r="IG34" s="552"/>
      <c r="IH34" s="552"/>
      <c r="II34" s="552"/>
      <c r="IJ34" s="552"/>
      <c r="IK34" s="552"/>
      <c r="IL34" s="552"/>
      <c r="IM34" s="552"/>
      <c r="IN34" s="552"/>
      <c r="IO34" s="552"/>
      <c r="IP34" s="552"/>
      <c r="IQ34" s="552"/>
      <c r="IR34" s="552"/>
      <c r="IS34" s="552"/>
      <c r="IT34" s="552"/>
      <c r="IU34" s="552"/>
      <c r="IV34" s="552"/>
    </row>
    <row r="35" spans="1:256" s="600" customFormat="1" ht="18" customHeight="1" thickBot="1">
      <c r="A35" s="588">
        <v>27</v>
      </c>
      <c r="B35" s="601"/>
      <c r="C35" s="556"/>
      <c r="D35" s="576" t="s">
        <v>1021</v>
      </c>
      <c r="E35" s="604"/>
      <c r="F35" s="626"/>
      <c r="G35" s="727"/>
      <c r="H35" s="728"/>
      <c r="I35" s="625"/>
      <c r="J35" s="625"/>
      <c r="K35" s="629">
        <v>17467</v>
      </c>
      <c r="L35" s="624"/>
      <c r="M35" s="627"/>
      <c r="N35" s="624"/>
      <c r="O35" s="713">
        <f>SUM(I35:N35)</f>
        <v>17467</v>
      </c>
      <c r="P35" s="729"/>
      <c r="Q35" s="552"/>
      <c r="R35" s="552"/>
      <c r="S35" s="552"/>
      <c r="T35" s="552"/>
      <c r="U35" s="552"/>
      <c r="V35" s="552"/>
      <c r="W35" s="552"/>
      <c r="X35" s="552"/>
      <c r="Y35" s="552"/>
      <c r="Z35" s="552"/>
      <c r="AA35" s="552"/>
      <c r="AB35" s="552"/>
      <c r="AC35" s="552"/>
      <c r="AD35" s="552"/>
      <c r="AE35" s="552"/>
      <c r="AF35" s="552"/>
      <c r="AG35" s="552"/>
      <c r="AH35" s="552"/>
      <c r="AI35" s="552"/>
      <c r="AJ35" s="552"/>
      <c r="AK35" s="552"/>
      <c r="AL35" s="552"/>
      <c r="AM35" s="552"/>
      <c r="AN35" s="552"/>
      <c r="AO35" s="552"/>
      <c r="AP35" s="552"/>
      <c r="AQ35" s="552"/>
      <c r="AR35" s="552"/>
      <c r="AS35" s="552"/>
      <c r="AT35" s="552"/>
      <c r="AU35" s="552"/>
      <c r="AV35" s="552"/>
      <c r="AW35" s="552"/>
      <c r="AX35" s="552"/>
      <c r="AY35" s="552"/>
      <c r="AZ35" s="552"/>
      <c r="BA35" s="552"/>
      <c r="BB35" s="552"/>
      <c r="BC35" s="552"/>
      <c r="BD35" s="552"/>
      <c r="BE35" s="552"/>
      <c r="BF35" s="552"/>
      <c r="BG35" s="552"/>
      <c r="BH35" s="552"/>
      <c r="BI35" s="552"/>
      <c r="BJ35" s="552"/>
      <c r="BK35" s="552"/>
      <c r="BL35" s="552"/>
      <c r="BM35" s="552"/>
      <c r="BN35" s="552"/>
      <c r="BO35" s="552"/>
      <c r="BP35" s="552"/>
      <c r="BQ35" s="552"/>
      <c r="BR35" s="552"/>
      <c r="BS35" s="552"/>
      <c r="BT35" s="552"/>
      <c r="BU35" s="552"/>
      <c r="BV35" s="552"/>
      <c r="BW35" s="552"/>
      <c r="BX35" s="552"/>
      <c r="BY35" s="552"/>
      <c r="BZ35" s="552"/>
      <c r="CA35" s="552"/>
      <c r="CB35" s="552"/>
      <c r="CC35" s="552"/>
      <c r="CD35" s="552"/>
      <c r="CE35" s="552"/>
      <c r="CF35" s="552"/>
      <c r="CG35" s="552"/>
      <c r="CH35" s="552"/>
      <c r="CI35" s="552"/>
      <c r="CJ35" s="552"/>
      <c r="CK35" s="552"/>
      <c r="CL35" s="552"/>
      <c r="CM35" s="552"/>
      <c r="CN35" s="552"/>
      <c r="CO35" s="552"/>
      <c r="CP35" s="552"/>
      <c r="CQ35" s="552"/>
      <c r="CR35" s="552"/>
      <c r="CS35" s="552"/>
      <c r="CT35" s="552"/>
      <c r="CU35" s="552"/>
      <c r="CV35" s="552"/>
      <c r="CW35" s="552"/>
      <c r="CX35" s="552"/>
      <c r="CY35" s="552"/>
      <c r="CZ35" s="552"/>
      <c r="DA35" s="552"/>
      <c r="DB35" s="552"/>
      <c r="DC35" s="552"/>
      <c r="DD35" s="552"/>
      <c r="DE35" s="552"/>
      <c r="DF35" s="552"/>
      <c r="DG35" s="552"/>
      <c r="DH35" s="552"/>
      <c r="DI35" s="552"/>
      <c r="DJ35" s="552"/>
      <c r="DK35" s="552"/>
      <c r="DL35" s="552"/>
      <c r="DM35" s="552"/>
      <c r="DN35" s="552"/>
      <c r="DO35" s="552"/>
      <c r="DP35" s="552"/>
      <c r="DQ35" s="552"/>
      <c r="DR35" s="552"/>
      <c r="DS35" s="552"/>
      <c r="DT35" s="552"/>
      <c r="DU35" s="552"/>
      <c r="DV35" s="552"/>
      <c r="DW35" s="552"/>
      <c r="DX35" s="552"/>
      <c r="DY35" s="552"/>
      <c r="DZ35" s="552"/>
      <c r="EA35" s="552"/>
      <c r="EB35" s="552"/>
      <c r="EC35" s="552"/>
      <c r="ED35" s="552"/>
      <c r="EE35" s="552"/>
      <c r="EF35" s="552"/>
      <c r="EG35" s="552"/>
      <c r="EH35" s="552"/>
      <c r="EI35" s="552"/>
      <c r="EJ35" s="552"/>
      <c r="EK35" s="552"/>
      <c r="EL35" s="552"/>
      <c r="EM35" s="552"/>
      <c r="EN35" s="552"/>
      <c r="EO35" s="552"/>
      <c r="EP35" s="552"/>
      <c r="EQ35" s="552"/>
      <c r="ER35" s="552"/>
      <c r="ES35" s="552"/>
      <c r="ET35" s="552"/>
      <c r="EU35" s="552"/>
      <c r="EV35" s="552"/>
      <c r="EW35" s="552"/>
      <c r="EX35" s="552"/>
      <c r="EY35" s="552"/>
      <c r="EZ35" s="552"/>
      <c r="FA35" s="552"/>
      <c r="FB35" s="552"/>
      <c r="FC35" s="552"/>
      <c r="FD35" s="552"/>
      <c r="FE35" s="552"/>
      <c r="FF35" s="552"/>
      <c r="FG35" s="552"/>
      <c r="FH35" s="552"/>
      <c r="FI35" s="552"/>
      <c r="FJ35" s="552"/>
      <c r="FK35" s="552"/>
      <c r="FL35" s="552"/>
      <c r="FM35" s="552"/>
      <c r="FN35" s="552"/>
      <c r="FO35" s="552"/>
      <c r="FP35" s="552"/>
      <c r="FQ35" s="552"/>
      <c r="FR35" s="552"/>
      <c r="FS35" s="552"/>
      <c r="FT35" s="552"/>
      <c r="FU35" s="552"/>
      <c r="FV35" s="552"/>
      <c r="FW35" s="552"/>
      <c r="FX35" s="552"/>
      <c r="FY35" s="552"/>
      <c r="FZ35" s="552"/>
      <c r="GA35" s="552"/>
      <c r="GB35" s="552"/>
      <c r="GC35" s="552"/>
      <c r="GD35" s="552"/>
      <c r="GE35" s="552"/>
      <c r="GF35" s="552"/>
      <c r="GG35" s="552"/>
      <c r="GH35" s="552"/>
      <c r="GI35" s="552"/>
      <c r="GJ35" s="552"/>
      <c r="GK35" s="552"/>
      <c r="GL35" s="552"/>
      <c r="GM35" s="552"/>
      <c r="GN35" s="552"/>
      <c r="GO35" s="552"/>
      <c r="GP35" s="552"/>
      <c r="GQ35" s="552"/>
      <c r="GR35" s="552"/>
      <c r="GS35" s="552"/>
      <c r="GT35" s="552"/>
      <c r="GU35" s="552"/>
      <c r="GV35" s="552"/>
      <c r="GW35" s="552"/>
      <c r="GX35" s="552"/>
      <c r="GY35" s="552"/>
      <c r="GZ35" s="552"/>
      <c r="HA35" s="552"/>
      <c r="HB35" s="552"/>
      <c r="HC35" s="552"/>
      <c r="HD35" s="552"/>
      <c r="HE35" s="552"/>
      <c r="HF35" s="552"/>
      <c r="HG35" s="552"/>
      <c r="HH35" s="552"/>
      <c r="HI35" s="552"/>
      <c r="HJ35" s="552"/>
      <c r="HK35" s="552"/>
      <c r="HL35" s="552"/>
      <c r="HM35" s="552"/>
      <c r="HN35" s="552"/>
      <c r="HO35" s="552"/>
      <c r="HP35" s="552"/>
      <c r="HQ35" s="552"/>
      <c r="HR35" s="552"/>
      <c r="HS35" s="552"/>
      <c r="HT35" s="552"/>
      <c r="HU35" s="552"/>
      <c r="HV35" s="552"/>
      <c r="HW35" s="552"/>
      <c r="HX35" s="552"/>
      <c r="HY35" s="552"/>
      <c r="HZ35" s="552"/>
      <c r="IA35" s="552"/>
      <c r="IB35" s="552"/>
      <c r="IC35" s="552"/>
      <c r="ID35" s="552"/>
      <c r="IE35" s="552"/>
      <c r="IF35" s="552"/>
      <c r="IG35" s="552"/>
      <c r="IH35" s="552"/>
      <c r="II35" s="552"/>
      <c r="IJ35" s="552"/>
      <c r="IK35" s="552"/>
      <c r="IL35" s="552"/>
      <c r="IM35" s="552"/>
      <c r="IN35" s="552"/>
      <c r="IO35" s="552"/>
      <c r="IP35" s="552"/>
      <c r="IQ35" s="552"/>
      <c r="IR35" s="552"/>
      <c r="IS35" s="552"/>
      <c r="IT35" s="552"/>
      <c r="IU35" s="552"/>
      <c r="IV35" s="552"/>
    </row>
    <row r="36" spans="1:256" s="600" customFormat="1" ht="27" customHeight="1">
      <c r="A36" s="588">
        <v>28</v>
      </c>
      <c r="B36" s="1986" t="s">
        <v>221</v>
      </c>
      <c r="C36" s="1986"/>
      <c r="D36" s="1986"/>
      <c r="E36" s="1986"/>
      <c r="F36" s="1986"/>
      <c r="G36" s="1986"/>
      <c r="H36" s="731"/>
      <c r="I36" s="732"/>
      <c r="J36" s="732"/>
      <c r="K36" s="733"/>
      <c r="L36" s="733"/>
      <c r="M36" s="733"/>
      <c r="N36" s="733"/>
      <c r="O36" s="734"/>
      <c r="P36" s="735"/>
      <c r="Q36" s="552"/>
      <c r="R36" s="552"/>
      <c r="S36" s="552"/>
      <c r="T36" s="552"/>
      <c r="U36" s="552"/>
      <c r="V36" s="552"/>
      <c r="W36" s="552"/>
      <c r="X36" s="552"/>
      <c r="Y36" s="552"/>
      <c r="Z36" s="552"/>
      <c r="AA36" s="552"/>
      <c r="AB36" s="552"/>
      <c r="AC36" s="552"/>
      <c r="AD36" s="552"/>
      <c r="AE36" s="552"/>
      <c r="AF36" s="552"/>
      <c r="AG36" s="552"/>
      <c r="AH36" s="552"/>
      <c r="AI36" s="552"/>
      <c r="AJ36" s="552"/>
      <c r="AK36" s="552"/>
      <c r="AL36" s="552"/>
      <c r="AM36" s="552"/>
      <c r="AN36" s="552"/>
      <c r="AO36" s="552"/>
      <c r="AP36" s="552"/>
      <c r="AQ36" s="552"/>
      <c r="AR36" s="552"/>
      <c r="AS36" s="552"/>
      <c r="AT36" s="552"/>
      <c r="AU36" s="552"/>
      <c r="AV36" s="552"/>
      <c r="AW36" s="552"/>
      <c r="AX36" s="552"/>
      <c r="AY36" s="552"/>
      <c r="AZ36" s="552"/>
      <c r="BA36" s="552"/>
      <c r="BB36" s="552"/>
      <c r="BC36" s="552"/>
      <c r="BD36" s="552"/>
      <c r="BE36" s="552"/>
      <c r="BF36" s="552"/>
      <c r="BG36" s="552"/>
      <c r="BH36" s="552"/>
      <c r="BI36" s="552"/>
      <c r="BJ36" s="552"/>
      <c r="BK36" s="552"/>
      <c r="BL36" s="552"/>
      <c r="BM36" s="552"/>
      <c r="BN36" s="552"/>
      <c r="BO36" s="552"/>
      <c r="BP36" s="552"/>
      <c r="BQ36" s="552"/>
      <c r="BR36" s="552"/>
      <c r="BS36" s="552"/>
      <c r="BT36" s="552"/>
      <c r="BU36" s="552"/>
      <c r="BV36" s="552"/>
      <c r="BW36" s="552"/>
      <c r="BX36" s="552"/>
      <c r="BY36" s="552"/>
      <c r="BZ36" s="552"/>
      <c r="CA36" s="552"/>
      <c r="CB36" s="552"/>
      <c r="CC36" s="552"/>
      <c r="CD36" s="552"/>
      <c r="CE36" s="552"/>
      <c r="CF36" s="552"/>
      <c r="CG36" s="552"/>
      <c r="CH36" s="552"/>
      <c r="CI36" s="552"/>
      <c r="CJ36" s="552"/>
      <c r="CK36" s="552"/>
      <c r="CL36" s="552"/>
      <c r="CM36" s="552"/>
      <c r="CN36" s="552"/>
      <c r="CO36" s="552"/>
      <c r="CP36" s="552"/>
      <c r="CQ36" s="552"/>
      <c r="CR36" s="552"/>
      <c r="CS36" s="552"/>
      <c r="CT36" s="552"/>
      <c r="CU36" s="552"/>
      <c r="CV36" s="552"/>
      <c r="CW36" s="552"/>
      <c r="CX36" s="552"/>
      <c r="CY36" s="552"/>
      <c r="CZ36" s="552"/>
      <c r="DA36" s="552"/>
      <c r="DB36" s="552"/>
      <c r="DC36" s="552"/>
      <c r="DD36" s="552"/>
      <c r="DE36" s="552"/>
      <c r="DF36" s="552"/>
      <c r="DG36" s="552"/>
      <c r="DH36" s="552"/>
      <c r="DI36" s="552"/>
      <c r="DJ36" s="552"/>
      <c r="DK36" s="552"/>
      <c r="DL36" s="552"/>
      <c r="DM36" s="552"/>
      <c r="DN36" s="552"/>
      <c r="DO36" s="552"/>
      <c r="DP36" s="552"/>
      <c r="DQ36" s="552"/>
      <c r="DR36" s="552"/>
      <c r="DS36" s="552"/>
      <c r="DT36" s="552"/>
      <c r="DU36" s="552"/>
      <c r="DV36" s="552"/>
      <c r="DW36" s="552"/>
      <c r="DX36" s="552"/>
      <c r="DY36" s="552"/>
      <c r="DZ36" s="552"/>
      <c r="EA36" s="552"/>
      <c r="EB36" s="552"/>
      <c r="EC36" s="552"/>
      <c r="ED36" s="552"/>
      <c r="EE36" s="552"/>
      <c r="EF36" s="552"/>
      <c r="EG36" s="552"/>
      <c r="EH36" s="552"/>
      <c r="EI36" s="552"/>
      <c r="EJ36" s="552"/>
      <c r="EK36" s="552"/>
      <c r="EL36" s="552"/>
      <c r="EM36" s="552"/>
      <c r="EN36" s="552"/>
      <c r="EO36" s="552"/>
      <c r="EP36" s="552"/>
      <c r="EQ36" s="552"/>
      <c r="ER36" s="552"/>
      <c r="ES36" s="552"/>
      <c r="ET36" s="552"/>
      <c r="EU36" s="552"/>
      <c r="EV36" s="552"/>
      <c r="EW36" s="552"/>
      <c r="EX36" s="552"/>
      <c r="EY36" s="552"/>
      <c r="EZ36" s="552"/>
      <c r="FA36" s="552"/>
      <c r="FB36" s="552"/>
      <c r="FC36" s="552"/>
      <c r="FD36" s="552"/>
      <c r="FE36" s="552"/>
      <c r="FF36" s="552"/>
      <c r="FG36" s="552"/>
      <c r="FH36" s="552"/>
      <c r="FI36" s="552"/>
      <c r="FJ36" s="552"/>
      <c r="FK36" s="552"/>
      <c r="FL36" s="552"/>
      <c r="FM36" s="552"/>
      <c r="FN36" s="552"/>
      <c r="FO36" s="552"/>
      <c r="FP36" s="552"/>
      <c r="FQ36" s="552"/>
      <c r="FR36" s="552"/>
      <c r="FS36" s="552"/>
      <c r="FT36" s="552"/>
      <c r="FU36" s="552"/>
      <c r="FV36" s="552"/>
      <c r="FW36" s="552"/>
      <c r="FX36" s="552"/>
      <c r="FY36" s="552"/>
      <c r="FZ36" s="552"/>
      <c r="GA36" s="552"/>
      <c r="GB36" s="552"/>
      <c r="GC36" s="552"/>
      <c r="GD36" s="552"/>
      <c r="GE36" s="552"/>
      <c r="GF36" s="552"/>
      <c r="GG36" s="552"/>
      <c r="GH36" s="552"/>
      <c r="GI36" s="552"/>
      <c r="GJ36" s="552"/>
      <c r="GK36" s="552"/>
      <c r="GL36" s="552"/>
      <c r="GM36" s="552"/>
      <c r="GN36" s="552"/>
      <c r="GO36" s="552"/>
      <c r="GP36" s="552"/>
      <c r="GQ36" s="552"/>
      <c r="GR36" s="552"/>
      <c r="GS36" s="552"/>
      <c r="GT36" s="552"/>
      <c r="GU36" s="552"/>
      <c r="GV36" s="552"/>
      <c r="GW36" s="552"/>
      <c r="GX36" s="552"/>
      <c r="GY36" s="552"/>
      <c r="GZ36" s="552"/>
      <c r="HA36" s="552"/>
      <c r="HB36" s="552"/>
      <c r="HC36" s="552"/>
      <c r="HD36" s="552"/>
      <c r="HE36" s="552"/>
      <c r="HF36" s="552"/>
      <c r="HG36" s="552"/>
      <c r="HH36" s="552"/>
      <c r="HI36" s="552"/>
      <c r="HJ36" s="552"/>
      <c r="HK36" s="552"/>
      <c r="HL36" s="552"/>
      <c r="HM36" s="552"/>
      <c r="HN36" s="552"/>
      <c r="HO36" s="552"/>
      <c r="HP36" s="552"/>
      <c r="HQ36" s="552"/>
      <c r="HR36" s="552"/>
      <c r="HS36" s="552"/>
      <c r="HT36" s="552"/>
      <c r="HU36" s="552"/>
      <c r="HV36" s="552"/>
      <c r="HW36" s="552"/>
      <c r="HX36" s="552"/>
      <c r="HY36" s="552"/>
      <c r="HZ36" s="552"/>
      <c r="IA36" s="552"/>
      <c r="IB36" s="552"/>
      <c r="IC36" s="552"/>
      <c r="ID36" s="552"/>
      <c r="IE36" s="552"/>
      <c r="IF36" s="552"/>
      <c r="IG36" s="552"/>
      <c r="IH36" s="552"/>
      <c r="II36" s="552"/>
      <c r="IJ36" s="552"/>
      <c r="IK36" s="552"/>
      <c r="IL36" s="552"/>
      <c r="IM36" s="552"/>
      <c r="IN36" s="552"/>
      <c r="IO36" s="552"/>
      <c r="IP36" s="552"/>
      <c r="IQ36" s="552"/>
      <c r="IR36" s="552"/>
      <c r="IS36" s="552"/>
      <c r="IT36" s="552"/>
      <c r="IU36" s="552"/>
      <c r="IV36" s="552"/>
    </row>
    <row r="37" spans="1:256" s="676" customFormat="1" ht="19.5" customHeight="1">
      <c r="A37" s="588">
        <v>29</v>
      </c>
      <c r="B37" s="668"/>
      <c r="C37" s="669"/>
      <c r="D37" s="636" t="s">
        <v>198</v>
      </c>
      <c r="E37" s="670"/>
      <c r="F37" s="670"/>
      <c r="G37" s="671"/>
      <c r="H37" s="736"/>
      <c r="I37" s="721">
        <f t="shared" ref="I37:N37" si="0">I27+I23+I19+I15+I11</f>
        <v>0</v>
      </c>
      <c r="J37" s="721">
        <f t="shared" si="0"/>
        <v>0</v>
      </c>
      <c r="K37" s="721">
        <f t="shared" si="0"/>
        <v>103489</v>
      </c>
      <c r="L37" s="721">
        <f t="shared" si="0"/>
        <v>0</v>
      </c>
      <c r="M37" s="721">
        <f t="shared" si="0"/>
        <v>5774430</v>
      </c>
      <c r="N37" s="721">
        <f t="shared" si="0"/>
        <v>0</v>
      </c>
      <c r="O37" s="643">
        <f>SUM(I37:N37)</f>
        <v>5877919</v>
      </c>
      <c r="P37" s="737">
        <f>SUM(P10:P27)</f>
        <v>0</v>
      </c>
    </row>
    <row r="38" spans="1:256" s="676" customFormat="1" ht="19.5" customHeight="1">
      <c r="A38" s="588">
        <v>30</v>
      </c>
      <c r="B38" s="680"/>
      <c r="C38" s="670"/>
      <c r="D38" s="570" t="s">
        <v>765</v>
      </c>
      <c r="E38" s="670"/>
      <c r="F38" s="670"/>
      <c r="G38" s="681"/>
      <c r="H38" s="738"/>
      <c r="I38" s="739">
        <f t="shared" ref="I38:N39" si="1">I28+I24+I20+I16+I12+I31+I34</f>
        <v>0</v>
      </c>
      <c r="J38" s="739">
        <f t="shared" si="1"/>
        <v>0</v>
      </c>
      <c r="K38" s="739">
        <f t="shared" si="1"/>
        <v>107262</v>
      </c>
      <c r="L38" s="739">
        <f t="shared" si="1"/>
        <v>0</v>
      </c>
      <c r="M38" s="739">
        <f t="shared" si="1"/>
        <v>6113334</v>
      </c>
      <c r="N38" s="739">
        <f t="shared" si="1"/>
        <v>0</v>
      </c>
      <c r="O38" s="569">
        <f>SUM(I38:N38)</f>
        <v>6220596</v>
      </c>
      <c r="P38" s="682"/>
    </row>
    <row r="39" spans="1:256" s="676" customFormat="1" ht="19.5" customHeight="1" thickBot="1">
      <c r="A39" s="588">
        <v>31</v>
      </c>
      <c r="B39" s="683"/>
      <c r="C39" s="684"/>
      <c r="D39" s="1330" t="s">
        <v>1022</v>
      </c>
      <c r="E39" s="684"/>
      <c r="F39" s="684"/>
      <c r="G39" s="685"/>
      <c r="H39" s="740"/>
      <c r="I39" s="1333">
        <f t="shared" si="1"/>
        <v>0</v>
      </c>
      <c r="J39" s="1333">
        <f t="shared" si="1"/>
        <v>0</v>
      </c>
      <c r="K39" s="1333">
        <f t="shared" si="1"/>
        <v>89072</v>
      </c>
      <c r="L39" s="1333">
        <f t="shared" si="1"/>
        <v>0</v>
      </c>
      <c r="M39" s="1333">
        <f t="shared" si="1"/>
        <v>996982</v>
      </c>
      <c r="N39" s="1333">
        <f t="shared" si="1"/>
        <v>0</v>
      </c>
      <c r="O39" s="1334">
        <f>SUM(I39:N39)</f>
        <v>1086054</v>
      </c>
      <c r="P39" s="687"/>
    </row>
    <row r="40" spans="1:256" ht="16.5" customHeight="1">
      <c r="A40" s="588"/>
      <c r="B40" s="741" t="s">
        <v>288</v>
      </c>
      <c r="C40" s="742"/>
      <c r="D40" s="741"/>
      <c r="E40" s="690"/>
      <c r="F40" s="691"/>
      <c r="G40" s="690"/>
      <c r="H40" s="695"/>
      <c r="I40" s="690"/>
      <c r="J40" s="690"/>
      <c r="K40" s="690"/>
      <c r="L40" s="690"/>
      <c r="M40" s="690"/>
      <c r="N40" s="690"/>
      <c r="O40" s="692"/>
    </row>
    <row r="41" spans="1:256" ht="16.5" customHeight="1">
      <c r="B41" s="741" t="s">
        <v>289</v>
      </c>
      <c r="C41" s="742"/>
      <c r="D41" s="741"/>
      <c r="E41" s="694"/>
      <c r="F41" s="691"/>
      <c r="G41" s="690"/>
      <c r="H41" s="695"/>
      <c r="I41" s="690"/>
      <c r="J41" s="690"/>
      <c r="K41" s="690"/>
      <c r="L41" s="690"/>
      <c r="M41" s="690"/>
      <c r="N41" s="690"/>
      <c r="O41" s="692"/>
    </row>
    <row r="42" spans="1:256" ht="16.5" customHeight="1">
      <c r="B42" s="741" t="s">
        <v>290</v>
      </c>
      <c r="C42" s="742"/>
      <c r="D42" s="741"/>
      <c r="E42" s="694"/>
      <c r="F42" s="691"/>
      <c r="G42" s="690"/>
      <c r="H42" s="695"/>
      <c r="I42" s="690"/>
      <c r="J42" s="690"/>
      <c r="K42" s="690"/>
      <c r="L42" s="690"/>
      <c r="M42" s="690"/>
      <c r="N42" s="690"/>
      <c r="O42" s="692"/>
    </row>
    <row r="43" spans="1:256" ht="16.5" customHeight="1">
      <c r="B43" s="693" t="s">
        <v>674</v>
      </c>
      <c r="C43" s="693"/>
    </row>
  </sheetData>
  <mergeCells count="18">
    <mergeCell ref="Q6:R6"/>
    <mergeCell ref="I7:L7"/>
    <mergeCell ref="M7:N7"/>
    <mergeCell ref="O7:O8"/>
    <mergeCell ref="B36:G36"/>
    <mergeCell ref="I1:P1"/>
    <mergeCell ref="A2:P2"/>
    <mergeCell ref="A3:P3"/>
    <mergeCell ref="B6:B8"/>
    <mergeCell ref="C6:C8"/>
    <mergeCell ref="D6:D8"/>
    <mergeCell ref="E6:E8"/>
    <mergeCell ref="F6:F8"/>
    <mergeCell ref="G6:G8"/>
    <mergeCell ref="H6:H8"/>
    <mergeCell ref="I6:O6"/>
    <mergeCell ref="P6:P8"/>
    <mergeCell ref="B1:F1"/>
  </mergeCells>
  <printOptions horizontalCentered="1"/>
  <pageMargins left="0.196527777777778" right="0.196527777777778" top="0.59027777777777801" bottom="0.59027777777777801" header="0.511811023622047" footer="0.51180555555555596"/>
  <pageSetup paperSize="9" scale="60" orientation="landscape" horizontalDpi="300" verticalDpi="300" r:id="rId1"/>
  <headerFooter>
    <oddFooter>&amp;C- &amp;P -</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178"/>
  <sheetViews>
    <sheetView view="pageBreakPreview" topLeftCell="G164" zoomScaleNormal="100" workbookViewId="0">
      <selection activeCell="A4" sqref="A4:Q178"/>
    </sheetView>
  </sheetViews>
  <sheetFormatPr defaultColWidth="9.26953125" defaultRowHeight="15.5"/>
  <cols>
    <col min="1" max="1" width="3.7265625" style="546" customWidth="1"/>
    <col min="2" max="3" width="5.7265625" style="577" customWidth="1"/>
    <col min="4" max="4" width="62.7265625" style="552" customWidth="1"/>
    <col min="5" max="5" width="12.7265625" style="550" customWidth="1"/>
    <col min="6" max="7" width="10.7265625" style="550" customWidth="1"/>
    <col min="8" max="8" width="6.7265625" style="578" customWidth="1"/>
    <col min="9" max="15" width="14.7265625" style="550" customWidth="1"/>
    <col min="16" max="16" width="15.7265625" style="579" customWidth="1"/>
    <col min="17" max="17" width="13.7265625" style="550" customWidth="1"/>
    <col min="18" max="16384" width="9.26953125" style="552"/>
  </cols>
  <sheetData>
    <row r="1" spans="1:256" ht="18" customHeight="1">
      <c r="B1" s="1893" t="s">
        <v>1196</v>
      </c>
      <c r="C1" s="1893"/>
      <c r="D1" s="1893"/>
      <c r="E1" s="1893"/>
      <c r="F1" s="1893"/>
      <c r="G1" s="549"/>
      <c r="H1" s="580"/>
      <c r="I1" s="1962"/>
      <c r="J1" s="1962"/>
      <c r="K1" s="1962"/>
      <c r="L1" s="1962"/>
      <c r="M1" s="1962"/>
      <c r="N1" s="1962"/>
      <c r="O1" s="1962"/>
      <c r="P1" s="1962"/>
      <c r="Q1" s="1962"/>
      <c r="R1" s="551"/>
      <c r="S1" s="551"/>
      <c r="T1" s="551"/>
      <c r="U1" s="551"/>
      <c r="V1" s="551"/>
      <c r="W1" s="551"/>
      <c r="X1" s="551"/>
      <c r="Y1" s="551"/>
      <c r="Z1" s="551"/>
      <c r="AA1" s="551"/>
      <c r="AB1" s="551"/>
      <c r="AC1" s="551"/>
      <c r="AD1" s="551"/>
      <c r="AE1" s="551"/>
      <c r="AF1" s="551"/>
      <c r="AG1" s="551"/>
      <c r="AH1" s="551"/>
      <c r="AI1" s="551"/>
      <c r="AJ1" s="551"/>
      <c r="AK1" s="551"/>
      <c r="AL1" s="551"/>
      <c r="AM1" s="551"/>
      <c r="AN1" s="551"/>
      <c r="AO1" s="551"/>
      <c r="AP1" s="551"/>
      <c r="AQ1" s="551"/>
      <c r="AR1" s="551"/>
      <c r="AS1" s="551"/>
      <c r="AT1" s="551"/>
      <c r="AU1" s="551"/>
      <c r="AV1" s="551"/>
      <c r="AW1" s="551"/>
      <c r="AX1" s="551"/>
      <c r="AY1" s="551"/>
      <c r="AZ1" s="551"/>
      <c r="BA1" s="551"/>
      <c r="BB1" s="551"/>
      <c r="BC1" s="551"/>
      <c r="BD1" s="551"/>
      <c r="BE1" s="551"/>
      <c r="BF1" s="551"/>
      <c r="BG1" s="551"/>
      <c r="BH1" s="551"/>
      <c r="BI1" s="551"/>
      <c r="BJ1" s="551"/>
      <c r="BK1" s="551"/>
      <c r="BL1" s="551"/>
      <c r="BM1" s="551"/>
      <c r="BN1" s="551"/>
      <c r="BO1" s="551"/>
      <c r="BP1" s="551"/>
      <c r="BQ1" s="551"/>
      <c r="BR1" s="551"/>
      <c r="BS1" s="551"/>
      <c r="BT1" s="551"/>
      <c r="BU1" s="551"/>
      <c r="BV1" s="551"/>
      <c r="BW1" s="551"/>
      <c r="BX1" s="551"/>
      <c r="BY1" s="551"/>
      <c r="BZ1" s="551"/>
      <c r="CA1" s="551"/>
      <c r="CB1" s="551"/>
      <c r="CC1" s="551"/>
      <c r="CD1" s="551"/>
      <c r="CE1" s="551"/>
      <c r="CF1" s="551"/>
      <c r="CG1" s="551"/>
      <c r="CH1" s="551"/>
      <c r="CI1" s="551"/>
      <c r="CJ1" s="551"/>
      <c r="CK1" s="551"/>
      <c r="CL1" s="551"/>
      <c r="CM1" s="551"/>
      <c r="CN1" s="551"/>
      <c r="CO1" s="551"/>
      <c r="CP1" s="551"/>
      <c r="CQ1" s="551"/>
      <c r="CR1" s="551"/>
      <c r="CS1" s="551"/>
      <c r="CT1" s="551"/>
      <c r="CU1" s="551"/>
      <c r="CV1" s="551"/>
      <c r="CW1" s="551"/>
      <c r="CX1" s="551"/>
      <c r="CY1" s="551"/>
      <c r="CZ1" s="551"/>
      <c r="DA1" s="551"/>
      <c r="DB1" s="551"/>
      <c r="DC1" s="551"/>
      <c r="DD1" s="551"/>
      <c r="DE1" s="551"/>
      <c r="DF1" s="551"/>
      <c r="DG1" s="551"/>
      <c r="DH1" s="551"/>
      <c r="DI1" s="551"/>
      <c r="DJ1" s="551"/>
      <c r="DK1" s="551"/>
      <c r="DL1" s="551"/>
      <c r="DM1" s="551"/>
      <c r="DN1" s="551"/>
      <c r="DO1" s="551"/>
      <c r="DP1" s="551"/>
      <c r="DQ1" s="551"/>
      <c r="DR1" s="551"/>
      <c r="DS1" s="551"/>
      <c r="DT1" s="551"/>
      <c r="DU1" s="551"/>
      <c r="DV1" s="551"/>
      <c r="DW1" s="551"/>
      <c r="DX1" s="551"/>
      <c r="DY1" s="551"/>
      <c r="DZ1" s="551"/>
      <c r="EA1" s="551"/>
      <c r="EB1" s="551"/>
      <c r="EC1" s="551"/>
      <c r="ED1" s="551"/>
      <c r="EE1" s="551"/>
      <c r="EF1" s="551"/>
      <c r="EG1" s="551"/>
      <c r="EH1" s="551"/>
      <c r="EI1" s="551"/>
      <c r="EJ1" s="551"/>
      <c r="EK1" s="551"/>
      <c r="EL1" s="551"/>
      <c r="EM1" s="551"/>
      <c r="EN1" s="551"/>
      <c r="EO1" s="551"/>
      <c r="EP1" s="551"/>
      <c r="EQ1" s="551"/>
      <c r="ER1" s="551"/>
      <c r="ES1" s="551"/>
      <c r="ET1" s="551"/>
      <c r="EU1" s="551"/>
      <c r="EV1" s="551"/>
      <c r="EW1" s="551"/>
      <c r="EX1" s="551"/>
      <c r="EY1" s="551"/>
      <c r="EZ1" s="551"/>
      <c r="FA1" s="551"/>
      <c r="FB1" s="551"/>
      <c r="FC1" s="551"/>
      <c r="FD1" s="551"/>
      <c r="FE1" s="551"/>
      <c r="FF1" s="551"/>
      <c r="FG1" s="551"/>
      <c r="FH1" s="551"/>
      <c r="FI1" s="551"/>
      <c r="FJ1" s="551"/>
      <c r="FK1" s="551"/>
      <c r="FL1" s="551"/>
      <c r="FM1" s="551"/>
      <c r="FN1" s="551"/>
      <c r="FO1" s="551"/>
      <c r="FP1" s="551"/>
      <c r="FQ1" s="551"/>
      <c r="FR1" s="551"/>
      <c r="FS1" s="551"/>
      <c r="FT1" s="551"/>
      <c r="FU1" s="551"/>
      <c r="FV1" s="551"/>
      <c r="FW1" s="551"/>
      <c r="FX1" s="551"/>
      <c r="FY1" s="551"/>
      <c r="FZ1" s="551"/>
      <c r="GA1" s="551"/>
      <c r="GB1" s="551"/>
      <c r="GC1" s="551"/>
      <c r="GD1" s="551"/>
      <c r="GE1" s="551"/>
      <c r="GF1" s="551"/>
      <c r="GG1" s="551"/>
      <c r="GH1" s="551"/>
      <c r="GI1" s="551"/>
      <c r="GJ1" s="551"/>
      <c r="GK1" s="551"/>
      <c r="GL1" s="551"/>
      <c r="GM1" s="551"/>
      <c r="GN1" s="551"/>
      <c r="GO1" s="551"/>
      <c r="GP1" s="551"/>
      <c r="GQ1" s="551"/>
      <c r="GR1" s="551"/>
      <c r="GS1" s="551"/>
      <c r="GT1" s="551"/>
      <c r="GU1" s="551"/>
      <c r="GV1" s="551"/>
      <c r="GW1" s="551"/>
      <c r="GX1" s="551"/>
      <c r="GY1" s="551"/>
      <c r="GZ1" s="551"/>
      <c r="HA1" s="551"/>
      <c r="HB1" s="551"/>
      <c r="HC1" s="551"/>
      <c r="HD1" s="551"/>
      <c r="HE1" s="551"/>
      <c r="HF1" s="551"/>
      <c r="HG1" s="551"/>
      <c r="HH1" s="551"/>
      <c r="HI1" s="551"/>
      <c r="HJ1" s="551"/>
      <c r="HK1" s="551"/>
      <c r="HL1" s="551"/>
      <c r="HM1" s="551"/>
      <c r="HN1" s="551"/>
      <c r="HO1" s="551"/>
      <c r="HP1" s="551"/>
      <c r="HQ1" s="551"/>
      <c r="HR1" s="551"/>
      <c r="HS1" s="551"/>
      <c r="HT1" s="551"/>
      <c r="HU1" s="551"/>
      <c r="HV1" s="551"/>
      <c r="HW1" s="551"/>
      <c r="HX1" s="551"/>
      <c r="HY1" s="551"/>
      <c r="HZ1" s="551"/>
      <c r="IA1" s="551"/>
      <c r="IB1" s="551"/>
      <c r="IC1" s="551"/>
      <c r="ID1" s="551"/>
      <c r="IE1" s="551"/>
      <c r="IF1" s="551"/>
      <c r="IG1" s="551"/>
      <c r="IH1" s="551"/>
      <c r="II1" s="551"/>
      <c r="IJ1" s="551"/>
      <c r="IK1" s="551"/>
      <c r="IL1" s="551"/>
      <c r="IM1" s="551"/>
      <c r="IN1" s="551"/>
      <c r="IO1" s="551"/>
      <c r="IP1" s="551"/>
      <c r="IQ1" s="551"/>
    </row>
    <row r="2" spans="1:256" ht="24.75" customHeight="1">
      <c r="A2" s="1961" t="s">
        <v>411</v>
      </c>
      <c r="B2" s="1961"/>
      <c r="C2" s="1961"/>
      <c r="D2" s="1961"/>
      <c r="E2" s="1961"/>
      <c r="F2" s="1961"/>
      <c r="G2" s="1961"/>
      <c r="H2" s="1961"/>
      <c r="I2" s="1961"/>
      <c r="J2" s="1961"/>
      <c r="K2" s="1961"/>
      <c r="L2" s="1961"/>
      <c r="M2" s="1961"/>
      <c r="N2" s="1961"/>
      <c r="O2" s="1961"/>
      <c r="P2" s="1961"/>
      <c r="Q2" s="1961"/>
    </row>
    <row r="3" spans="1:256" ht="24.75" customHeight="1">
      <c r="A3" s="1973" t="s">
        <v>675</v>
      </c>
      <c r="B3" s="1973"/>
      <c r="C3" s="1973"/>
      <c r="D3" s="1973"/>
      <c r="E3" s="1973"/>
      <c r="F3" s="1973"/>
      <c r="G3" s="1973"/>
      <c r="H3" s="1973"/>
      <c r="I3" s="1973"/>
      <c r="J3" s="1973"/>
      <c r="K3" s="1973"/>
      <c r="L3" s="1973"/>
      <c r="M3" s="1973"/>
      <c r="N3" s="1973"/>
      <c r="O3" s="1973"/>
      <c r="P3" s="1973"/>
      <c r="Q3" s="1973"/>
    </row>
    <row r="4" spans="1:256" s="548" customFormat="1" ht="18" customHeight="1">
      <c r="A4" s="546"/>
      <c r="B4" s="546"/>
      <c r="C4" s="546"/>
      <c r="E4" s="547"/>
      <c r="F4" s="547"/>
      <c r="G4" s="547"/>
      <c r="H4" s="581"/>
      <c r="I4" s="547"/>
      <c r="J4" s="547"/>
      <c r="K4" s="547"/>
      <c r="L4" s="547"/>
      <c r="M4" s="547"/>
      <c r="N4" s="547"/>
      <c r="O4" s="547"/>
      <c r="P4" s="582"/>
      <c r="Q4" s="553" t="s">
        <v>0</v>
      </c>
    </row>
    <row r="5" spans="1:256" s="31" customFormat="1" ht="18" customHeight="1" thickBot="1">
      <c r="A5" s="583"/>
      <c r="B5" s="584" t="s">
        <v>1</v>
      </c>
      <c r="C5" s="554" t="s">
        <v>2</v>
      </c>
      <c r="D5" s="554" t="s">
        <v>72</v>
      </c>
      <c r="E5" s="554" t="s">
        <v>73</v>
      </c>
      <c r="F5" s="554" t="s">
        <v>74</v>
      </c>
      <c r="G5" s="554" t="s">
        <v>75</v>
      </c>
      <c r="H5" s="554" t="s">
        <v>76</v>
      </c>
      <c r="I5" s="554" t="s">
        <v>77</v>
      </c>
      <c r="J5" s="554" t="s">
        <v>78</v>
      </c>
      <c r="K5" s="554" t="s">
        <v>79</v>
      </c>
      <c r="L5" s="554" t="s">
        <v>80</v>
      </c>
      <c r="M5" s="554" t="s">
        <v>81</v>
      </c>
      <c r="N5" s="554" t="s">
        <v>184</v>
      </c>
      <c r="O5" s="554" t="s">
        <v>185</v>
      </c>
      <c r="P5" s="554" t="s">
        <v>186</v>
      </c>
      <c r="Q5" s="554" t="s">
        <v>187</v>
      </c>
      <c r="R5" s="583"/>
      <c r="S5" s="583"/>
      <c r="T5" s="583"/>
      <c r="U5" s="583"/>
      <c r="V5" s="583"/>
      <c r="W5" s="583"/>
      <c r="X5" s="583"/>
      <c r="Y5" s="583"/>
      <c r="Z5" s="583"/>
      <c r="AA5" s="583"/>
      <c r="AB5" s="583"/>
      <c r="AC5" s="583"/>
      <c r="AD5" s="583"/>
      <c r="AE5" s="583"/>
      <c r="AF5" s="583"/>
      <c r="AG5" s="583"/>
      <c r="AH5" s="583"/>
      <c r="AI5" s="583"/>
      <c r="AJ5" s="583"/>
      <c r="AK5" s="583"/>
      <c r="AL5" s="583"/>
      <c r="AM5" s="583"/>
      <c r="AN5" s="583"/>
      <c r="AO5" s="583"/>
      <c r="AP5" s="583"/>
      <c r="AQ5" s="583"/>
      <c r="AR5" s="583"/>
      <c r="AS5" s="583"/>
      <c r="AT5" s="583"/>
      <c r="AU5" s="583"/>
      <c r="AV5" s="583"/>
      <c r="AW5" s="583"/>
      <c r="AX5" s="583"/>
      <c r="AY5" s="583"/>
      <c r="AZ5" s="583"/>
      <c r="BA5" s="583"/>
      <c r="BB5" s="583"/>
      <c r="BC5" s="583"/>
      <c r="BD5" s="583"/>
      <c r="BE5" s="583"/>
      <c r="BF5" s="583"/>
      <c r="BG5" s="583"/>
      <c r="BH5" s="583"/>
      <c r="BI5" s="583"/>
      <c r="BJ5" s="583"/>
      <c r="BK5" s="583"/>
      <c r="BL5" s="583"/>
      <c r="BM5" s="583"/>
      <c r="BN5" s="583"/>
      <c r="BO5" s="583"/>
      <c r="BP5" s="583"/>
      <c r="BQ5" s="583"/>
      <c r="BR5" s="583"/>
      <c r="BS5" s="583"/>
      <c r="BT5" s="583"/>
      <c r="BU5" s="583"/>
      <c r="BV5" s="583"/>
      <c r="BW5" s="583"/>
      <c r="BX5" s="583"/>
      <c r="BY5" s="583"/>
      <c r="BZ5" s="583"/>
      <c r="CA5" s="583"/>
      <c r="CB5" s="583"/>
      <c r="CC5" s="583"/>
      <c r="CD5" s="583"/>
      <c r="CE5" s="583"/>
      <c r="CF5" s="583"/>
      <c r="CG5" s="583"/>
      <c r="CH5" s="583"/>
      <c r="CI5" s="583"/>
      <c r="CJ5" s="583"/>
      <c r="CK5" s="583"/>
      <c r="CL5" s="583"/>
      <c r="CM5" s="583"/>
      <c r="CN5" s="583"/>
      <c r="CO5" s="583"/>
      <c r="CP5" s="583"/>
      <c r="CQ5" s="583"/>
      <c r="CR5" s="583"/>
      <c r="CS5" s="583"/>
      <c r="CT5" s="583"/>
      <c r="CU5" s="583"/>
      <c r="CV5" s="583"/>
      <c r="CW5" s="583"/>
      <c r="CX5" s="583"/>
      <c r="CY5" s="583"/>
      <c r="CZ5" s="583"/>
      <c r="DA5" s="583"/>
      <c r="DB5" s="583"/>
      <c r="DC5" s="583"/>
      <c r="DD5" s="583"/>
      <c r="DE5" s="583"/>
      <c r="DF5" s="583"/>
      <c r="DG5" s="583"/>
      <c r="DH5" s="583"/>
      <c r="DI5" s="583"/>
      <c r="DJ5" s="583"/>
      <c r="DK5" s="583"/>
      <c r="DL5" s="583"/>
      <c r="DM5" s="583"/>
      <c r="DN5" s="583"/>
      <c r="DO5" s="583"/>
      <c r="DP5" s="583"/>
      <c r="DQ5" s="583"/>
      <c r="DR5" s="583"/>
      <c r="DS5" s="583"/>
      <c r="DT5" s="583"/>
      <c r="DU5" s="583"/>
      <c r="DV5" s="583"/>
      <c r="DW5" s="583"/>
      <c r="DX5" s="583"/>
      <c r="DY5" s="583"/>
      <c r="DZ5" s="583"/>
      <c r="EA5" s="583"/>
      <c r="EB5" s="583"/>
      <c r="EC5" s="583"/>
      <c r="ED5" s="583"/>
      <c r="EE5" s="583"/>
      <c r="EF5" s="583"/>
      <c r="EG5" s="583"/>
      <c r="EH5" s="583"/>
      <c r="EI5" s="583"/>
      <c r="EJ5" s="583"/>
      <c r="EK5" s="583"/>
      <c r="EL5" s="583"/>
      <c r="EM5" s="583"/>
      <c r="EN5" s="583"/>
      <c r="EO5" s="583"/>
      <c r="EP5" s="583"/>
      <c r="EQ5" s="583"/>
      <c r="ER5" s="583"/>
      <c r="ES5" s="583"/>
      <c r="ET5" s="583"/>
      <c r="EU5" s="583"/>
      <c r="EV5" s="583"/>
      <c r="EW5" s="583"/>
      <c r="EX5" s="583"/>
      <c r="EY5" s="583"/>
      <c r="EZ5" s="583"/>
      <c r="FA5" s="583"/>
      <c r="FB5" s="583"/>
      <c r="FC5" s="583"/>
      <c r="FD5" s="583"/>
      <c r="FE5" s="583"/>
      <c r="FF5" s="583"/>
      <c r="FG5" s="583"/>
      <c r="FH5" s="583"/>
      <c r="FI5" s="583"/>
      <c r="FJ5" s="583"/>
      <c r="FK5" s="583"/>
      <c r="FL5" s="583"/>
      <c r="FM5" s="583"/>
      <c r="FN5" s="583"/>
      <c r="FO5" s="583"/>
      <c r="FP5" s="583"/>
      <c r="FQ5" s="583"/>
      <c r="FR5" s="583"/>
      <c r="FS5" s="583"/>
      <c r="FT5" s="583"/>
      <c r="FU5" s="583"/>
      <c r="FV5" s="583"/>
      <c r="FW5" s="583"/>
      <c r="FX5" s="583"/>
      <c r="FY5" s="583"/>
      <c r="FZ5" s="583"/>
      <c r="GA5" s="583"/>
      <c r="GB5" s="583"/>
      <c r="GC5" s="583"/>
      <c r="GD5" s="583"/>
      <c r="GE5" s="583"/>
      <c r="GF5" s="583"/>
      <c r="GG5" s="583"/>
      <c r="GH5" s="583"/>
      <c r="GI5" s="583"/>
      <c r="GJ5" s="583"/>
      <c r="GK5" s="583"/>
      <c r="GL5" s="583"/>
      <c r="GM5" s="583"/>
      <c r="GN5" s="583"/>
      <c r="GO5" s="583"/>
      <c r="GP5" s="583"/>
      <c r="GQ5" s="583"/>
      <c r="GR5" s="583"/>
      <c r="GS5" s="583"/>
      <c r="GT5" s="583"/>
      <c r="GU5" s="583"/>
      <c r="GV5" s="583"/>
      <c r="GW5" s="583"/>
      <c r="GX5" s="583"/>
      <c r="GY5" s="583"/>
      <c r="GZ5" s="583"/>
      <c r="HA5" s="583"/>
      <c r="HB5" s="583"/>
      <c r="HC5" s="583"/>
      <c r="HD5" s="583"/>
      <c r="HE5" s="583"/>
      <c r="HF5" s="583"/>
      <c r="HG5" s="583"/>
      <c r="HH5" s="583"/>
      <c r="HI5" s="583"/>
      <c r="HJ5" s="583"/>
      <c r="HK5" s="583"/>
      <c r="HL5" s="583"/>
      <c r="HM5" s="583"/>
      <c r="HN5" s="583"/>
      <c r="HO5" s="583"/>
      <c r="HP5" s="583"/>
      <c r="HQ5" s="583"/>
      <c r="HR5" s="583"/>
      <c r="HS5" s="583"/>
      <c r="HT5" s="583"/>
      <c r="HU5" s="583"/>
      <c r="HV5" s="583"/>
      <c r="HW5" s="583"/>
      <c r="HX5" s="583"/>
      <c r="HY5" s="583"/>
      <c r="HZ5" s="583"/>
      <c r="IA5" s="583"/>
      <c r="IB5" s="583"/>
      <c r="IC5" s="583"/>
      <c r="ID5" s="583"/>
      <c r="IE5" s="583"/>
      <c r="IF5" s="583"/>
      <c r="IG5" s="583"/>
      <c r="IH5" s="583"/>
      <c r="II5" s="583"/>
      <c r="IJ5" s="583"/>
      <c r="IK5" s="583"/>
      <c r="IL5" s="583"/>
      <c r="IM5" s="583"/>
      <c r="IN5" s="583"/>
      <c r="IO5" s="583"/>
      <c r="IP5" s="583"/>
      <c r="IQ5" s="583"/>
    </row>
    <row r="6" spans="1:256" ht="22.5" customHeight="1" thickBot="1">
      <c r="B6" s="1974" t="s">
        <v>82</v>
      </c>
      <c r="C6" s="1975" t="s">
        <v>83</v>
      </c>
      <c r="D6" s="1976" t="s">
        <v>3</v>
      </c>
      <c r="E6" s="1977" t="s">
        <v>648</v>
      </c>
      <c r="F6" s="1977" t="s">
        <v>649</v>
      </c>
      <c r="G6" s="1978" t="s">
        <v>650</v>
      </c>
      <c r="H6" s="1970" t="s">
        <v>222</v>
      </c>
      <c r="I6" s="1979" t="s">
        <v>413</v>
      </c>
      <c r="J6" s="1979"/>
      <c r="K6" s="1979"/>
      <c r="L6" s="1979"/>
      <c r="M6" s="1979"/>
      <c r="N6" s="1979"/>
      <c r="O6" s="1979"/>
      <c r="P6" s="1979"/>
      <c r="Q6" s="1980" t="s">
        <v>646</v>
      </c>
      <c r="R6" s="1981"/>
      <c r="S6" s="1981"/>
    </row>
    <row r="7" spans="1:256" ht="33" customHeight="1" thickBot="1">
      <c r="B7" s="1974"/>
      <c r="C7" s="1975"/>
      <c r="D7" s="1976"/>
      <c r="E7" s="1977"/>
      <c r="F7" s="1977"/>
      <c r="G7" s="1978"/>
      <c r="H7" s="1970"/>
      <c r="I7" s="1982" t="s">
        <v>651</v>
      </c>
      <c r="J7" s="1982"/>
      <c r="K7" s="1982"/>
      <c r="L7" s="1982"/>
      <c r="M7" s="1983" t="s">
        <v>157</v>
      </c>
      <c r="N7" s="1983"/>
      <c r="O7" s="1983"/>
      <c r="P7" s="1984" t="s">
        <v>4</v>
      </c>
      <c r="Q7" s="1980"/>
    </row>
    <row r="8" spans="1:256" ht="53.25" customHeight="1" thickBot="1">
      <c r="B8" s="1974"/>
      <c r="C8" s="1975"/>
      <c r="D8" s="1976"/>
      <c r="E8" s="1977"/>
      <c r="F8" s="1977"/>
      <c r="G8" s="1978"/>
      <c r="H8" s="1970"/>
      <c r="I8" s="585" t="s">
        <v>224</v>
      </c>
      <c r="J8" s="586" t="s">
        <v>652</v>
      </c>
      <c r="K8" s="587" t="s">
        <v>226</v>
      </c>
      <c r="L8" s="587" t="s">
        <v>653</v>
      </c>
      <c r="M8" s="586" t="s">
        <v>36</v>
      </c>
      <c r="N8" s="586" t="s">
        <v>159</v>
      </c>
      <c r="O8" s="586" t="s">
        <v>158</v>
      </c>
      <c r="P8" s="1984"/>
      <c r="Q8" s="1980"/>
    </row>
    <row r="9" spans="1:256" s="600" customFormat="1" ht="22.5" customHeight="1">
      <c r="A9" s="588">
        <v>1</v>
      </c>
      <c r="B9" s="589">
        <v>18</v>
      </c>
      <c r="C9" s="590" t="s">
        <v>411</v>
      </c>
      <c r="D9" s="591"/>
      <c r="E9" s="592"/>
      <c r="F9" s="593"/>
      <c r="G9" s="594"/>
      <c r="H9" s="595"/>
      <c r="I9" s="697"/>
      <c r="J9" s="698"/>
      <c r="K9" s="698"/>
      <c r="L9" s="698"/>
      <c r="M9" s="698"/>
      <c r="N9" s="698"/>
      <c r="O9" s="698"/>
      <c r="P9" s="699"/>
      <c r="Q9" s="726"/>
      <c r="R9" s="552"/>
      <c r="S9" s="552"/>
      <c r="T9" s="552"/>
      <c r="U9" s="552"/>
      <c r="V9" s="552"/>
      <c r="W9" s="552"/>
      <c r="X9" s="552"/>
      <c r="Y9" s="552"/>
      <c r="Z9" s="552"/>
      <c r="AA9" s="552"/>
      <c r="AB9" s="552"/>
      <c r="AC9" s="552"/>
      <c r="AD9" s="552"/>
      <c r="AE9" s="552"/>
      <c r="AF9" s="552"/>
      <c r="AG9" s="552"/>
      <c r="AH9" s="552"/>
      <c r="AI9" s="552"/>
      <c r="AJ9" s="552"/>
      <c r="AK9" s="552"/>
      <c r="AL9" s="552"/>
      <c r="AM9" s="552"/>
      <c r="AN9" s="552"/>
      <c r="AO9" s="552"/>
      <c r="AP9" s="552"/>
      <c r="AQ9" s="552"/>
      <c r="AR9" s="552"/>
      <c r="AS9" s="552"/>
      <c r="AT9" s="552"/>
      <c r="AU9" s="552"/>
      <c r="AV9" s="552"/>
      <c r="AW9" s="552"/>
      <c r="AX9" s="552"/>
      <c r="AY9" s="552"/>
      <c r="AZ9" s="552"/>
      <c r="BA9" s="552"/>
      <c r="BB9" s="552"/>
      <c r="BC9" s="552"/>
      <c r="BD9" s="552"/>
      <c r="BE9" s="552"/>
      <c r="BF9" s="552"/>
      <c r="BG9" s="552"/>
      <c r="BH9" s="552"/>
      <c r="BI9" s="552"/>
      <c r="BJ9" s="552"/>
      <c r="BK9" s="552"/>
      <c r="BL9" s="552"/>
      <c r="BM9" s="552"/>
      <c r="BN9" s="552"/>
      <c r="BO9" s="552"/>
      <c r="BP9" s="552"/>
      <c r="BQ9" s="552"/>
      <c r="BR9" s="552"/>
      <c r="BS9" s="552"/>
      <c r="BT9" s="552"/>
      <c r="BU9" s="552"/>
      <c r="BV9" s="552"/>
      <c r="BW9" s="552"/>
      <c r="BX9" s="552"/>
      <c r="BY9" s="552"/>
      <c r="BZ9" s="552"/>
      <c r="CA9" s="552"/>
      <c r="CB9" s="552"/>
      <c r="CC9" s="552"/>
      <c r="CD9" s="552"/>
      <c r="CE9" s="552"/>
      <c r="CF9" s="552"/>
      <c r="CG9" s="552"/>
      <c r="CH9" s="552"/>
      <c r="CI9" s="552"/>
      <c r="CJ9" s="552"/>
      <c r="CK9" s="552"/>
      <c r="CL9" s="552"/>
      <c r="CM9" s="552"/>
      <c r="CN9" s="552"/>
      <c r="CO9" s="552"/>
      <c r="CP9" s="552"/>
      <c r="CQ9" s="552"/>
      <c r="CR9" s="552"/>
      <c r="CS9" s="552"/>
      <c r="CT9" s="552"/>
      <c r="CU9" s="552"/>
      <c r="CV9" s="552"/>
      <c r="CW9" s="552"/>
      <c r="CX9" s="552"/>
      <c r="CY9" s="552"/>
      <c r="CZ9" s="552"/>
      <c r="DA9" s="552"/>
      <c r="DB9" s="552"/>
      <c r="DC9" s="552"/>
      <c r="DD9" s="552"/>
      <c r="DE9" s="552"/>
      <c r="DF9" s="552"/>
      <c r="DG9" s="552"/>
      <c r="DH9" s="552"/>
      <c r="DI9" s="552"/>
      <c r="DJ9" s="552"/>
      <c r="DK9" s="552"/>
      <c r="DL9" s="552"/>
      <c r="DM9" s="552"/>
      <c r="DN9" s="552"/>
      <c r="DO9" s="552"/>
      <c r="DP9" s="552"/>
      <c r="DQ9" s="552"/>
      <c r="DR9" s="552"/>
      <c r="DS9" s="552"/>
      <c r="DT9" s="552"/>
      <c r="DU9" s="552"/>
      <c r="DV9" s="552"/>
      <c r="DW9" s="552"/>
      <c r="DX9" s="552"/>
      <c r="DY9" s="552"/>
      <c r="DZ9" s="552"/>
      <c r="EA9" s="552"/>
      <c r="EB9" s="552"/>
      <c r="EC9" s="552"/>
      <c r="ED9" s="552"/>
      <c r="EE9" s="552"/>
      <c r="EF9" s="552"/>
      <c r="EG9" s="552"/>
      <c r="EH9" s="552"/>
      <c r="EI9" s="552"/>
      <c r="EJ9" s="552"/>
      <c r="EK9" s="552"/>
      <c r="EL9" s="552"/>
      <c r="EM9" s="552"/>
      <c r="EN9" s="552"/>
      <c r="EO9" s="552"/>
      <c r="EP9" s="552"/>
      <c r="EQ9" s="552"/>
      <c r="ER9" s="552"/>
      <c r="ES9" s="552"/>
      <c r="ET9" s="552"/>
      <c r="EU9" s="552"/>
      <c r="EV9" s="552"/>
      <c r="EW9" s="552"/>
      <c r="EX9" s="552"/>
      <c r="EY9" s="552"/>
      <c r="EZ9" s="552"/>
      <c r="FA9" s="552"/>
      <c r="FB9" s="552"/>
      <c r="FC9" s="552"/>
      <c r="FD9" s="552"/>
      <c r="FE9" s="552"/>
      <c r="FF9" s="552"/>
      <c r="FG9" s="552"/>
      <c r="FH9" s="552"/>
      <c r="FI9" s="552"/>
      <c r="FJ9" s="552"/>
      <c r="FK9" s="552"/>
      <c r="FL9" s="552"/>
      <c r="FM9" s="552"/>
      <c r="FN9" s="552"/>
      <c r="FO9" s="552"/>
      <c r="FP9" s="552"/>
      <c r="FQ9" s="552"/>
      <c r="FR9" s="552"/>
      <c r="FS9" s="552"/>
      <c r="FT9" s="552"/>
      <c r="FU9" s="552"/>
      <c r="FV9" s="552"/>
      <c r="FW9" s="552"/>
      <c r="FX9" s="552"/>
      <c r="FY9" s="552"/>
      <c r="FZ9" s="552"/>
      <c r="GA9" s="552"/>
      <c r="GB9" s="552"/>
      <c r="GC9" s="552"/>
      <c r="GD9" s="552"/>
      <c r="GE9" s="552"/>
      <c r="GF9" s="552"/>
      <c r="GG9" s="552"/>
      <c r="GH9" s="552"/>
      <c r="GI9" s="552"/>
      <c r="GJ9" s="552"/>
      <c r="GK9" s="552"/>
      <c r="GL9" s="552"/>
      <c r="GM9" s="552"/>
      <c r="GN9" s="552"/>
      <c r="GO9" s="552"/>
      <c r="GP9" s="552"/>
      <c r="GQ9" s="552"/>
      <c r="GR9" s="552"/>
      <c r="GS9" s="552"/>
      <c r="GT9" s="552"/>
      <c r="GU9" s="552"/>
      <c r="GV9" s="552"/>
      <c r="GW9" s="552"/>
      <c r="GX9" s="552"/>
      <c r="GY9" s="552"/>
      <c r="GZ9" s="552"/>
      <c r="HA9" s="552"/>
      <c r="HB9" s="552"/>
      <c r="HC9" s="552"/>
      <c r="HD9" s="552"/>
      <c r="HE9" s="552"/>
      <c r="HF9" s="552"/>
      <c r="HG9" s="552"/>
      <c r="HH9" s="552"/>
      <c r="HI9" s="552"/>
      <c r="HJ9" s="552"/>
      <c r="HK9" s="552"/>
      <c r="HL9" s="552"/>
      <c r="HM9" s="552"/>
      <c r="HN9" s="552"/>
      <c r="HO9" s="552"/>
      <c r="HP9" s="552"/>
      <c r="HQ9" s="552"/>
      <c r="HR9" s="552"/>
      <c r="HS9" s="552"/>
      <c r="HT9" s="552"/>
      <c r="HU9" s="552"/>
      <c r="HV9" s="552"/>
      <c r="HW9" s="552"/>
      <c r="HX9" s="552"/>
      <c r="HY9" s="552"/>
      <c r="HZ9" s="552"/>
      <c r="IA9" s="552"/>
      <c r="IB9" s="552"/>
      <c r="IC9" s="552"/>
      <c r="ID9" s="552"/>
      <c r="IE9" s="552"/>
      <c r="IF9" s="552"/>
      <c r="IG9" s="552"/>
      <c r="IH9" s="552"/>
      <c r="II9" s="552"/>
      <c r="IJ9" s="552"/>
      <c r="IK9" s="552"/>
      <c r="IL9" s="552"/>
      <c r="IM9" s="552"/>
      <c r="IN9" s="552"/>
      <c r="IO9" s="552"/>
      <c r="IP9" s="552"/>
      <c r="IQ9" s="552"/>
      <c r="IR9" s="552"/>
      <c r="IS9" s="552"/>
      <c r="IT9" s="552"/>
      <c r="IU9" s="552"/>
      <c r="IV9" s="552"/>
    </row>
    <row r="10" spans="1:256" ht="24.75" customHeight="1">
      <c r="A10" s="588">
        <v>2</v>
      </c>
      <c r="B10" s="612"/>
      <c r="C10" s="567">
        <v>8</v>
      </c>
      <c r="D10" s="743" t="s">
        <v>263</v>
      </c>
      <c r="E10" s="573"/>
      <c r="F10" s="573"/>
      <c r="G10" s="744"/>
      <c r="H10" s="595" t="s">
        <v>231</v>
      </c>
      <c r="I10" s="745"/>
      <c r="J10" s="745"/>
      <c r="K10" s="745"/>
      <c r="L10" s="745"/>
      <c r="M10" s="745"/>
      <c r="N10" s="745"/>
      <c r="O10" s="745"/>
      <c r="P10" s="746"/>
      <c r="Q10" s="747"/>
    </row>
    <row r="11" spans="1:256" ht="18" customHeight="1">
      <c r="A11" s="588">
        <v>3</v>
      </c>
      <c r="B11" s="612"/>
      <c r="C11" s="568"/>
      <c r="D11" s="700" t="s">
        <v>676</v>
      </c>
      <c r="E11" s="604">
        <f>F11+G11+P13</f>
        <v>6411</v>
      </c>
      <c r="F11" s="748">
        <v>2887</v>
      </c>
      <c r="G11" s="748">
        <v>1524</v>
      </c>
      <c r="H11" s="749"/>
      <c r="I11" s="725"/>
      <c r="J11" s="725"/>
      <c r="K11" s="725"/>
      <c r="L11" s="725"/>
      <c r="M11" s="725"/>
      <c r="N11" s="725"/>
      <c r="O11" s="725"/>
      <c r="P11" s="1351"/>
      <c r="Q11" s="750"/>
    </row>
    <row r="12" spans="1:256" ht="18" customHeight="1">
      <c r="A12" s="588">
        <v>4</v>
      </c>
      <c r="B12" s="612"/>
      <c r="C12" s="751"/>
      <c r="D12" s="752" t="s">
        <v>198</v>
      </c>
      <c r="E12" s="604"/>
      <c r="F12" s="619"/>
      <c r="G12" s="753"/>
      <c r="H12" s="754"/>
      <c r="I12" s="627"/>
      <c r="J12" s="627"/>
      <c r="K12" s="625">
        <v>2000</v>
      </c>
      <c r="L12" s="625"/>
      <c r="M12" s="625"/>
      <c r="N12" s="627"/>
      <c r="O12" s="627"/>
      <c r="P12" s="616">
        <f>SUM(I12:O12)</f>
        <v>2000</v>
      </c>
      <c r="Q12" s="755"/>
    </row>
    <row r="13" spans="1:256" ht="18" customHeight="1">
      <c r="A13" s="588">
        <v>5</v>
      </c>
      <c r="B13" s="612"/>
      <c r="C13" s="751"/>
      <c r="D13" s="570" t="s">
        <v>765</v>
      </c>
      <c r="E13" s="604"/>
      <c r="F13" s="619"/>
      <c r="G13" s="753"/>
      <c r="H13" s="754"/>
      <c r="I13" s="627"/>
      <c r="J13" s="627"/>
      <c r="K13" s="628">
        <v>2000</v>
      </c>
      <c r="L13" s="628"/>
      <c r="M13" s="628"/>
      <c r="N13" s="627"/>
      <c r="O13" s="627"/>
      <c r="P13" s="563">
        <f>SUM(I13:O13)</f>
        <v>2000</v>
      </c>
      <c r="Q13" s="755"/>
    </row>
    <row r="14" spans="1:256" ht="18" customHeight="1">
      <c r="A14" s="588">
        <v>6</v>
      </c>
      <c r="B14" s="612"/>
      <c r="C14" s="751"/>
      <c r="D14" s="576" t="s">
        <v>1022</v>
      </c>
      <c r="E14" s="604"/>
      <c r="F14" s="619"/>
      <c r="G14" s="753"/>
      <c r="H14" s="754"/>
      <c r="I14" s="627"/>
      <c r="J14" s="627"/>
      <c r="K14" s="629">
        <v>1994</v>
      </c>
      <c r="L14" s="625"/>
      <c r="M14" s="625"/>
      <c r="N14" s="627"/>
      <c r="O14" s="627"/>
      <c r="P14" s="562">
        <f>SUM(J14:O14)</f>
        <v>1994</v>
      </c>
      <c r="Q14" s="755"/>
    </row>
    <row r="15" spans="1:256" ht="18" customHeight="1">
      <c r="A15" s="588">
        <v>7</v>
      </c>
      <c r="B15" s="612"/>
      <c r="C15" s="751"/>
      <c r="D15" s="756" t="s">
        <v>677</v>
      </c>
      <c r="E15" s="604">
        <f>F15+G15</f>
        <v>61525</v>
      </c>
      <c r="F15" s="604">
        <v>61525</v>
      </c>
      <c r="G15" s="757"/>
      <c r="H15" s="754"/>
      <c r="I15" s="627"/>
      <c r="J15" s="627"/>
      <c r="K15" s="625"/>
      <c r="L15" s="625"/>
      <c r="M15" s="625"/>
      <c r="N15" s="627"/>
      <c r="O15" s="627"/>
      <c r="P15" s="563"/>
      <c r="Q15" s="755"/>
    </row>
    <row r="16" spans="1:256" ht="18" customHeight="1">
      <c r="A16" s="588">
        <v>8</v>
      </c>
      <c r="B16" s="612"/>
      <c r="C16" s="751"/>
      <c r="D16" s="700" t="s">
        <v>678</v>
      </c>
      <c r="E16" s="604">
        <f>F16+G16</f>
        <v>93127</v>
      </c>
      <c r="F16" s="604">
        <f>122011-28884</f>
        <v>93127</v>
      </c>
      <c r="G16" s="757"/>
      <c r="H16" s="754"/>
      <c r="I16" s="627"/>
      <c r="J16" s="627"/>
      <c r="K16" s="625"/>
      <c r="L16" s="625"/>
      <c r="M16" s="625"/>
      <c r="N16" s="627"/>
      <c r="O16" s="627"/>
      <c r="P16" s="563"/>
      <c r="Q16" s="755"/>
    </row>
    <row r="17" spans="1:17" ht="18" customHeight="1">
      <c r="A17" s="588">
        <v>9</v>
      </c>
      <c r="B17" s="612"/>
      <c r="C17" s="751"/>
      <c r="D17" s="700" t="s">
        <v>679</v>
      </c>
      <c r="E17" s="604">
        <f>F17+G17</f>
        <v>3429</v>
      </c>
      <c r="F17" s="604">
        <v>3429</v>
      </c>
      <c r="G17" s="757"/>
      <c r="H17" s="754"/>
      <c r="I17" s="627"/>
      <c r="J17" s="627"/>
      <c r="K17" s="625"/>
      <c r="L17" s="625"/>
      <c r="M17" s="625"/>
      <c r="N17" s="627"/>
      <c r="O17" s="627"/>
      <c r="P17" s="563"/>
      <c r="Q17" s="755"/>
    </row>
    <row r="18" spans="1:17" ht="18" customHeight="1">
      <c r="A18" s="588">
        <v>10</v>
      </c>
      <c r="B18" s="612"/>
      <c r="C18" s="751"/>
      <c r="D18" s="700" t="s">
        <v>680</v>
      </c>
      <c r="E18" s="604">
        <f>F18+G18+P20</f>
        <v>49999</v>
      </c>
      <c r="F18" s="619"/>
      <c r="G18" s="758"/>
      <c r="H18" s="754"/>
      <c r="I18" s="627"/>
      <c r="J18" s="627"/>
      <c r="K18" s="625"/>
      <c r="L18" s="625"/>
      <c r="M18" s="625"/>
      <c r="N18" s="627"/>
      <c r="O18" s="627"/>
      <c r="P18" s="616"/>
      <c r="Q18" s="755"/>
    </row>
    <row r="19" spans="1:17" ht="18" customHeight="1">
      <c r="A19" s="588">
        <v>11</v>
      </c>
      <c r="B19" s="612"/>
      <c r="C19" s="759"/>
      <c r="D19" s="760" t="s">
        <v>198</v>
      </c>
      <c r="E19" s="637"/>
      <c r="F19" s="761"/>
      <c r="G19" s="762"/>
      <c r="H19" s="763"/>
      <c r="I19" s="739"/>
      <c r="J19" s="739"/>
      <c r="K19" s="720"/>
      <c r="L19" s="720"/>
      <c r="M19" s="720">
        <v>49999</v>
      </c>
      <c r="N19" s="739"/>
      <c r="O19" s="739"/>
      <c r="P19" s="643">
        <f>SUM(I19:O19)</f>
        <v>49999</v>
      </c>
      <c r="Q19" s="764"/>
    </row>
    <row r="20" spans="1:17" ht="18" customHeight="1">
      <c r="A20" s="588">
        <v>12</v>
      </c>
      <c r="B20" s="612"/>
      <c r="C20" s="759"/>
      <c r="D20" s="570" t="s">
        <v>765</v>
      </c>
      <c r="E20" s="637"/>
      <c r="F20" s="761"/>
      <c r="G20" s="762"/>
      <c r="H20" s="763"/>
      <c r="I20" s="739"/>
      <c r="J20" s="739"/>
      <c r="K20" s="765"/>
      <c r="L20" s="765"/>
      <c r="M20" s="765">
        <v>49999</v>
      </c>
      <c r="N20" s="739"/>
      <c r="O20" s="739"/>
      <c r="P20" s="569">
        <f>SUM(I20:O20)</f>
        <v>49999</v>
      </c>
      <c r="Q20" s="764"/>
    </row>
    <row r="21" spans="1:17" ht="18" customHeight="1">
      <c r="A21" s="588">
        <v>13</v>
      </c>
      <c r="B21" s="612"/>
      <c r="C21" s="766"/>
      <c r="D21" s="1335" t="s">
        <v>1022</v>
      </c>
      <c r="E21" s="767"/>
      <c r="F21" s="768"/>
      <c r="G21" s="769"/>
      <c r="H21" s="770"/>
      <c r="I21" s="771"/>
      <c r="J21" s="771"/>
      <c r="K21" s="772"/>
      <c r="L21" s="772"/>
      <c r="M21" s="1410">
        <v>49999</v>
      </c>
      <c r="N21" s="771"/>
      <c r="O21" s="771"/>
      <c r="P21" s="1336">
        <f>SUM(J21:O21)</f>
        <v>49999</v>
      </c>
      <c r="Q21" s="773"/>
    </row>
    <row r="22" spans="1:17" ht="24.75" customHeight="1">
      <c r="A22" s="588">
        <v>14</v>
      </c>
      <c r="B22" s="612"/>
      <c r="C22" s="774"/>
      <c r="D22" s="775" t="s">
        <v>681</v>
      </c>
      <c r="E22" s="776">
        <f>SUM(E11:E21)</f>
        <v>214491</v>
      </c>
      <c r="F22" s="776">
        <f>SUM(F11:F21)</f>
        <v>160968</v>
      </c>
      <c r="G22" s="833">
        <f>SUM(G11:G21)</f>
        <v>1524</v>
      </c>
      <c r="H22" s="777"/>
      <c r="I22" s="778"/>
      <c r="J22" s="778"/>
      <c r="K22" s="778"/>
      <c r="L22" s="778"/>
      <c r="M22" s="778"/>
      <c r="N22" s="778"/>
      <c r="O22" s="778"/>
      <c r="P22" s="572"/>
      <c r="Q22" s="779"/>
    </row>
    <row r="23" spans="1:17" ht="18" customHeight="1">
      <c r="A23" s="588">
        <v>15</v>
      </c>
      <c r="B23" s="612"/>
      <c r="C23" s="759"/>
      <c r="D23" s="760" t="s">
        <v>198</v>
      </c>
      <c r="E23" s="761"/>
      <c r="F23" s="761"/>
      <c r="G23" s="762"/>
      <c r="H23" s="763"/>
      <c r="I23" s="780">
        <f t="shared" ref="I23:O25" si="0">I19+I12</f>
        <v>0</v>
      </c>
      <c r="J23" s="780">
        <f t="shared" si="0"/>
        <v>0</v>
      </c>
      <c r="K23" s="721">
        <f t="shared" si="0"/>
        <v>2000</v>
      </c>
      <c r="L23" s="721">
        <f t="shared" si="0"/>
        <v>0</v>
      </c>
      <c r="M23" s="721">
        <f t="shared" si="0"/>
        <v>49999</v>
      </c>
      <c r="N23" s="780">
        <f t="shared" si="0"/>
        <v>0</v>
      </c>
      <c r="O23" s="780">
        <f t="shared" si="0"/>
        <v>0</v>
      </c>
      <c r="P23" s="781">
        <f>SUM(I23:O23)</f>
        <v>51999</v>
      </c>
      <c r="Q23" s="764"/>
    </row>
    <row r="24" spans="1:17" ht="18" customHeight="1">
      <c r="A24" s="588">
        <v>16</v>
      </c>
      <c r="B24" s="782"/>
      <c r="C24" s="759"/>
      <c r="D24" s="570" t="s">
        <v>765</v>
      </c>
      <c r="E24" s="761"/>
      <c r="F24" s="761"/>
      <c r="G24" s="762"/>
      <c r="H24" s="763"/>
      <c r="I24" s="739">
        <f t="shared" si="0"/>
        <v>0</v>
      </c>
      <c r="J24" s="739">
        <f t="shared" si="0"/>
        <v>0</v>
      </c>
      <c r="K24" s="739">
        <f t="shared" si="0"/>
        <v>2000</v>
      </c>
      <c r="L24" s="739">
        <f t="shared" si="0"/>
        <v>0</v>
      </c>
      <c r="M24" s="739">
        <f t="shared" si="0"/>
        <v>49999</v>
      </c>
      <c r="N24" s="739">
        <f t="shared" si="0"/>
        <v>0</v>
      </c>
      <c r="O24" s="739">
        <f t="shared" si="0"/>
        <v>0</v>
      </c>
      <c r="P24" s="571">
        <f>SUM(I24:O24)</f>
        <v>51999</v>
      </c>
      <c r="Q24" s="764"/>
    </row>
    <row r="25" spans="1:17" ht="18" customHeight="1" thickBot="1">
      <c r="A25" s="588">
        <v>17</v>
      </c>
      <c r="B25" s="782"/>
      <c r="C25" s="783"/>
      <c r="D25" s="1338" t="s">
        <v>1022</v>
      </c>
      <c r="E25" s="784"/>
      <c r="F25" s="784"/>
      <c r="G25" s="785"/>
      <c r="H25" s="786"/>
      <c r="I25" s="1339">
        <f t="shared" si="0"/>
        <v>0</v>
      </c>
      <c r="J25" s="1339">
        <f t="shared" si="0"/>
        <v>0</v>
      </c>
      <c r="K25" s="1339">
        <f t="shared" si="0"/>
        <v>1994</v>
      </c>
      <c r="L25" s="1339">
        <f t="shared" si="0"/>
        <v>0</v>
      </c>
      <c r="M25" s="1339">
        <f t="shared" si="0"/>
        <v>49999</v>
      </c>
      <c r="N25" s="1339">
        <f t="shared" si="0"/>
        <v>0</v>
      </c>
      <c r="O25" s="1339">
        <f t="shared" si="0"/>
        <v>0</v>
      </c>
      <c r="P25" s="1329">
        <f>SUM(J25:O25)</f>
        <v>51993</v>
      </c>
      <c r="Q25" s="788"/>
    </row>
    <row r="26" spans="1:17" ht="36.75" customHeight="1" thickTop="1">
      <c r="A26" s="588">
        <v>18</v>
      </c>
      <c r="B26" s="782"/>
      <c r="C26" s="789">
        <v>19</v>
      </c>
      <c r="D26" s="790" t="s">
        <v>682</v>
      </c>
      <c r="E26" s="550">
        <f>F26+G26+P28</f>
        <v>1131053</v>
      </c>
      <c r="F26" s="1337">
        <v>638</v>
      </c>
      <c r="G26" s="550">
        <v>1020040</v>
      </c>
      <c r="H26" s="723" t="s">
        <v>231</v>
      </c>
      <c r="I26" s="791"/>
      <c r="J26" s="791"/>
      <c r="K26" s="791"/>
      <c r="L26" s="792"/>
      <c r="M26" s="724"/>
      <c r="N26" s="792"/>
      <c r="O26" s="792"/>
      <c r="P26" s="1352"/>
      <c r="Q26" s="726"/>
    </row>
    <row r="27" spans="1:17" ht="18" customHeight="1">
      <c r="A27" s="588">
        <v>19</v>
      </c>
      <c r="B27" s="793"/>
      <c r="C27" s="566"/>
      <c r="D27" s="760" t="s">
        <v>198</v>
      </c>
      <c r="E27" s="646"/>
      <c r="F27" s="718"/>
      <c r="G27" s="646"/>
      <c r="H27" s="639"/>
      <c r="I27" s="794"/>
      <c r="J27" s="794"/>
      <c r="K27" s="794">
        <v>16266</v>
      </c>
      <c r="L27" s="794">
        <v>84827</v>
      </c>
      <c r="M27" s="719">
        <v>782</v>
      </c>
      <c r="N27" s="795"/>
      <c r="O27" s="795"/>
      <c r="P27" s="796">
        <f>SUM(I27:O27)</f>
        <v>101875</v>
      </c>
      <c r="Q27" s="644"/>
    </row>
    <row r="28" spans="1:17" ht="18" customHeight="1">
      <c r="A28" s="588">
        <v>20</v>
      </c>
      <c r="B28" s="797"/>
      <c r="C28" s="759"/>
      <c r="D28" s="570" t="s">
        <v>765</v>
      </c>
      <c r="E28" s="646"/>
      <c r="F28" s="718"/>
      <c r="G28" s="646"/>
      <c r="H28" s="615"/>
      <c r="I28" s="795"/>
      <c r="J28" s="795"/>
      <c r="K28" s="795">
        <v>30688</v>
      </c>
      <c r="L28" s="795">
        <v>76827</v>
      </c>
      <c r="M28" s="795">
        <v>2860</v>
      </c>
      <c r="N28" s="795"/>
      <c r="O28" s="795"/>
      <c r="P28" s="569">
        <f>SUM(I28:O28)</f>
        <v>110375</v>
      </c>
      <c r="Q28" s="798"/>
    </row>
    <row r="29" spans="1:17" ht="18" customHeight="1" thickBot="1">
      <c r="A29" s="588">
        <v>21</v>
      </c>
      <c r="B29" s="797"/>
      <c r="C29" s="800"/>
      <c r="D29" s="1338" t="s">
        <v>1021</v>
      </c>
      <c r="E29" s="801"/>
      <c r="F29" s="802"/>
      <c r="G29" s="803"/>
      <c r="H29" s="804"/>
      <c r="I29" s="805"/>
      <c r="J29" s="805"/>
      <c r="K29" s="1340">
        <v>10069</v>
      </c>
      <c r="L29" s="1340">
        <v>59440</v>
      </c>
      <c r="M29" s="1340"/>
      <c r="N29" s="806"/>
      <c r="O29" s="806"/>
      <c r="P29" s="1329">
        <f>SUM(J29:O29)</f>
        <v>69509</v>
      </c>
      <c r="Q29" s="807"/>
    </row>
    <row r="30" spans="1:17" ht="24.75" customHeight="1" thickTop="1">
      <c r="A30" s="588">
        <v>22</v>
      </c>
      <c r="B30" s="808"/>
      <c r="C30" s="809">
        <v>20</v>
      </c>
      <c r="D30" s="743" t="s">
        <v>270</v>
      </c>
      <c r="E30" s="573"/>
      <c r="F30" s="810"/>
      <c r="G30" s="811"/>
      <c r="H30" s="812" t="s">
        <v>231</v>
      </c>
      <c r="I30" s="813"/>
      <c r="J30" s="813"/>
      <c r="K30" s="813"/>
      <c r="L30" s="813"/>
      <c r="M30" s="813"/>
      <c r="N30" s="813"/>
      <c r="O30" s="813"/>
      <c r="P30" s="814"/>
      <c r="Q30" s="779"/>
    </row>
    <row r="31" spans="1:17" ht="34.5" customHeight="1">
      <c r="A31" s="588">
        <v>23</v>
      </c>
      <c r="B31" s="612"/>
      <c r="C31" s="809"/>
      <c r="D31" s="815" t="s">
        <v>683</v>
      </c>
      <c r="E31" s="604">
        <f>F31+G31+P33</f>
        <v>354295</v>
      </c>
      <c r="F31" s="604">
        <v>63206</v>
      </c>
      <c r="G31" s="727">
        <v>188919</v>
      </c>
      <c r="H31" s="754"/>
      <c r="I31" s="816"/>
      <c r="J31" s="816"/>
      <c r="K31" s="816"/>
      <c r="L31" s="816"/>
      <c r="M31" s="816"/>
      <c r="N31" s="816"/>
      <c r="O31" s="816"/>
      <c r="P31" s="781"/>
      <c r="Q31" s="755"/>
    </row>
    <row r="32" spans="1:17" ht="18" customHeight="1">
      <c r="A32" s="588">
        <v>24</v>
      </c>
      <c r="B32" s="612"/>
      <c r="C32" s="759"/>
      <c r="D32" s="760" t="s">
        <v>198</v>
      </c>
      <c r="E32" s="637"/>
      <c r="F32" s="619"/>
      <c r="G32" s="758"/>
      <c r="H32" s="754"/>
      <c r="I32" s="816"/>
      <c r="J32" s="816"/>
      <c r="K32" s="817">
        <v>77854</v>
      </c>
      <c r="L32" s="817"/>
      <c r="M32" s="817">
        <v>24316</v>
      </c>
      <c r="N32" s="816"/>
      <c r="O32" s="816"/>
      <c r="P32" s="781">
        <f>SUM(I32:O32)</f>
        <v>102170</v>
      </c>
      <c r="Q32" s="755"/>
    </row>
    <row r="33" spans="1:17" ht="18" customHeight="1">
      <c r="A33" s="588">
        <v>25</v>
      </c>
      <c r="B33" s="612"/>
      <c r="C33" s="759"/>
      <c r="D33" s="570" t="s">
        <v>765</v>
      </c>
      <c r="E33" s="637"/>
      <c r="F33" s="810"/>
      <c r="G33" s="811"/>
      <c r="H33" s="777"/>
      <c r="I33" s="725"/>
      <c r="J33" s="725"/>
      <c r="K33" s="792">
        <v>77854</v>
      </c>
      <c r="L33" s="792"/>
      <c r="M33" s="792">
        <v>24316</v>
      </c>
      <c r="N33" s="725"/>
      <c r="O33" s="725"/>
      <c r="P33" s="571">
        <f>SUM(I33:O33)</f>
        <v>102170</v>
      </c>
      <c r="Q33" s="779"/>
    </row>
    <row r="34" spans="1:17" ht="18" customHeight="1" thickBot="1">
      <c r="A34" s="588">
        <v>26</v>
      </c>
      <c r="B34" s="612"/>
      <c r="C34" s="800"/>
      <c r="D34" s="1338" t="s">
        <v>1022</v>
      </c>
      <c r="E34" s="819"/>
      <c r="F34" s="784"/>
      <c r="G34" s="785"/>
      <c r="H34" s="786"/>
      <c r="I34" s="820"/>
      <c r="J34" s="820"/>
      <c r="K34" s="1340">
        <v>77854</v>
      </c>
      <c r="L34" s="805"/>
      <c r="M34" s="1340">
        <v>24316</v>
      </c>
      <c r="N34" s="820"/>
      <c r="O34" s="820"/>
      <c r="P34" s="1329">
        <f>SUM(J34:O34)</f>
        <v>102170</v>
      </c>
      <c r="Q34" s="821"/>
    </row>
    <row r="35" spans="1:17" ht="24.75" customHeight="1" thickTop="1">
      <c r="A35" s="588">
        <v>27</v>
      </c>
      <c r="B35" s="612"/>
      <c r="C35" s="809">
        <v>30</v>
      </c>
      <c r="D35" s="743" t="s">
        <v>684</v>
      </c>
      <c r="E35" s="573"/>
      <c r="F35" s="573"/>
      <c r="G35" s="822"/>
      <c r="H35" s="595" t="s">
        <v>231</v>
      </c>
      <c r="I35" s="745"/>
      <c r="J35" s="745"/>
      <c r="K35" s="745"/>
      <c r="L35" s="745"/>
      <c r="M35" s="745"/>
      <c r="N35" s="745"/>
      <c r="O35" s="745"/>
      <c r="P35" s="572"/>
      <c r="Q35" s="823"/>
    </row>
    <row r="36" spans="1:17" ht="18" customHeight="1">
      <c r="A36" s="588">
        <v>28</v>
      </c>
      <c r="B36" s="612"/>
      <c r="C36" s="751"/>
      <c r="D36" s="824" t="s">
        <v>685</v>
      </c>
      <c r="E36" s="619"/>
      <c r="F36" s="619"/>
      <c r="G36" s="758"/>
      <c r="H36" s="754"/>
      <c r="I36" s="630"/>
      <c r="J36" s="630"/>
      <c r="K36" s="630"/>
      <c r="L36" s="630"/>
      <c r="M36" s="630"/>
      <c r="N36" s="630"/>
      <c r="O36" s="630"/>
      <c r="P36" s="563"/>
      <c r="Q36" s="755"/>
    </row>
    <row r="37" spans="1:17" ht="38.25" customHeight="1">
      <c r="A37" s="588">
        <v>29</v>
      </c>
      <c r="B37" s="612"/>
      <c r="C37" s="751"/>
      <c r="D37" s="824" t="s">
        <v>686</v>
      </c>
      <c r="E37" s="603">
        <f>F37+G37+P39</f>
        <v>75562</v>
      </c>
      <c r="F37" s="603">
        <v>18923</v>
      </c>
      <c r="G37" s="825">
        <v>15577</v>
      </c>
      <c r="H37" s="754"/>
      <c r="I37" s="630"/>
      <c r="J37" s="630"/>
      <c r="K37" s="630"/>
      <c r="L37" s="630"/>
      <c r="M37" s="630"/>
      <c r="N37" s="630"/>
      <c r="O37" s="630"/>
      <c r="P37" s="563"/>
      <c r="Q37" s="755"/>
    </row>
    <row r="38" spans="1:17" ht="18" customHeight="1">
      <c r="A38" s="588">
        <v>30</v>
      </c>
      <c r="B38" s="612"/>
      <c r="C38" s="751"/>
      <c r="D38" s="752" t="s">
        <v>198</v>
      </c>
      <c r="E38" s="619"/>
      <c r="F38" s="619"/>
      <c r="G38" s="727"/>
      <c r="H38" s="754"/>
      <c r="I38" s="630"/>
      <c r="J38" s="630"/>
      <c r="K38" s="799">
        <v>39406</v>
      </c>
      <c r="L38" s="630"/>
      <c r="M38" s="630"/>
      <c r="N38" s="630"/>
      <c r="O38" s="630"/>
      <c r="P38" s="616">
        <f>SUM(I38:O38)</f>
        <v>39406</v>
      </c>
      <c r="Q38" s="755"/>
    </row>
    <row r="39" spans="1:17" ht="18" customHeight="1">
      <c r="A39" s="588">
        <v>31</v>
      </c>
      <c r="B39" s="612"/>
      <c r="C39" s="751"/>
      <c r="D39" s="570" t="s">
        <v>765</v>
      </c>
      <c r="E39" s="619"/>
      <c r="F39" s="619"/>
      <c r="G39" s="727"/>
      <c r="H39" s="754"/>
      <c r="I39" s="630"/>
      <c r="J39" s="630"/>
      <c r="K39" s="714">
        <v>34458</v>
      </c>
      <c r="L39" s="630"/>
      <c r="M39" s="714">
        <v>4445</v>
      </c>
      <c r="N39" s="630"/>
      <c r="O39" s="714">
        <v>2159</v>
      </c>
      <c r="P39" s="563">
        <f>SUM(I39:O39)</f>
        <v>41062</v>
      </c>
      <c r="Q39" s="755"/>
    </row>
    <row r="40" spans="1:17" ht="18" customHeight="1">
      <c r="A40" s="588">
        <v>32</v>
      </c>
      <c r="B40" s="612"/>
      <c r="C40" s="751"/>
      <c r="D40" s="576" t="s">
        <v>1021</v>
      </c>
      <c r="E40" s="619"/>
      <c r="F40" s="619"/>
      <c r="G40" s="727"/>
      <c r="H40" s="754"/>
      <c r="I40" s="630"/>
      <c r="J40" s="630"/>
      <c r="K40" s="722">
        <v>34458</v>
      </c>
      <c r="L40" s="630"/>
      <c r="M40" s="722">
        <v>4445</v>
      </c>
      <c r="N40" s="722"/>
      <c r="O40" s="722">
        <v>2159</v>
      </c>
      <c r="P40" s="562">
        <f>SUM(J40:O40)</f>
        <v>41062</v>
      </c>
      <c r="Q40" s="755"/>
    </row>
    <row r="41" spans="1:17" ht="18" customHeight="1">
      <c r="A41" s="588">
        <v>33</v>
      </c>
      <c r="B41" s="612"/>
      <c r="C41" s="751"/>
      <c r="D41" s="826" t="s">
        <v>687</v>
      </c>
      <c r="E41" s="603">
        <f>F41+G41</f>
        <v>20000</v>
      </c>
      <c r="F41" s="604">
        <v>20000</v>
      </c>
      <c r="G41" s="727"/>
      <c r="H41" s="754"/>
      <c r="I41" s="630"/>
      <c r="J41" s="630"/>
      <c r="K41" s="630"/>
      <c r="L41" s="630"/>
      <c r="M41" s="630"/>
      <c r="N41" s="630"/>
      <c r="O41" s="630"/>
      <c r="P41" s="563"/>
      <c r="Q41" s="755"/>
    </row>
    <row r="42" spans="1:17" ht="35.25" customHeight="1">
      <c r="A42" s="588">
        <v>34</v>
      </c>
      <c r="B42" s="612"/>
      <c r="C42" s="751"/>
      <c r="D42" s="824" t="s">
        <v>688</v>
      </c>
      <c r="E42" s="603">
        <f>F42+G42+P44</f>
        <v>102850</v>
      </c>
      <c r="F42" s="619"/>
      <c r="G42" s="825">
        <v>29859</v>
      </c>
      <c r="H42" s="754"/>
      <c r="I42" s="630"/>
      <c r="J42" s="630"/>
      <c r="K42" s="630"/>
      <c r="L42" s="630"/>
      <c r="M42" s="630"/>
      <c r="N42" s="630"/>
      <c r="O42" s="630"/>
      <c r="P42" s="563"/>
      <c r="Q42" s="755"/>
    </row>
    <row r="43" spans="1:17" ht="18" customHeight="1">
      <c r="A43" s="588">
        <v>35</v>
      </c>
      <c r="B43" s="612"/>
      <c r="C43" s="751"/>
      <c r="D43" s="752" t="s">
        <v>198</v>
      </c>
      <c r="E43" s="619"/>
      <c r="F43" s="619"/>
      <c r="G43" s="727"/>
      <c r="H43" s="754"/>
      <c r="I43" s="630"/>
      <c r="J43" s="630"/>
      <c r="K43" s="799">
        <v>8516</v>
      </c>
      <c r="L43" s="630"/>
      <c r="M43" s="799">
        <v>66131</v>
      </c>
      <c r="N43" s="630"/>
      <c r="O43" s="630"/>
      <c r="P43" s="616">
        <f>SUM(I43:O43)</f>
        <v>74647</v>
      </c>
      <c r="Q43" s="755"/>
    </row>
    <row r="44" spans="1:17" ht="18" customHeight="1">
      <c r="A44" s="588">
        <v>36</v>
      </c>
      <c r="B44" s="612"/>
      <c r="C44" s="751"/>
      <c r="D44" s="570" t="s">
        <v>765</v>
      </c>
      <c r="E44" s="619"/>
      <c r="F44" s="619"/>
      <c r="G44" s="727"/>
      <c r="H44" s="754"/>
      <c r="I44" s="630"/>
      <c r="J44" s="630"/>
      <c r="K44" s="714">
        <v>447</v>
      </c>
      <c r="L44" s="714">
        <v>1271</v>
      </c>
      <c r="M44" s="714">
        <v>71273</v>
      </c>
      <c r="N44" s="630"/>
      <c r="O44" s="630"/>
      <c r="P44" s="563">
        <f>SUM(I44:O44)</f>
        <v>72991</v>
      </c>
      <c r="Q44" s="755"/>
    </row>
    <row r="45" spans="1:17" ht="18" customHeight="1">
      <c r="A45" s="588">
        <v>37</v>
      </c>
      <c r="B45" s="612"/>
      <c r="C45" s="751"/>
      <c r="D45" s="576" t="s">
        <v>1021</v>
      </c>
      <c r="E45" s="619"/>
      <c r="F45" s="619"/>
      <c r="G45" s="727"/>
      <c r="H45" s="754"/>
      <c r="I45" s="630"/>
      <c r="J45" s="630"/>
      <c r="K45" s="722">
        <v>446</v>
      </c>
      <c r="L45" s="722">
        <v>1271</v>
      </c>
      <c r="M45" s="722">
        <v>71273</v>
      </c>
      <c r="N45" s="630"/>
      <c r="O45" s="630"/>
      <c r="P45" s="562">
        <f>SUM(J45:O45)</f>
        <v>72990</v>
      </c>
      <c r="Q45" s="755"/>
    </row>
    <row r="46" spans="1:17" ht="18" customHeight="1">
      <c r="A46" s="588">
        <v>38</v>
      </c>
      <c r="B46" s="612"/>
      <c r="C46" s="751"/>
      <c r="D46" s="824" t="s">
        <v>689</v>
      </c>
      <c r="E46" s="603">
        <f>F46+G46</f>
        <v>20080</v>
      </c>
      <c r="F46" s="619"/>
      <c r="G46" s="727">
        <v>20080</v>
      </c>
      <c r="H46" s="754"/>
      <c r="I46" s="630"/>
      <c r="J46" s="630"/>
      <c r="K46" s="630"/>
      <c r="L46" s="630"/>
      <c r="M46" s="630"/>
      <c r="N46" s="630"/>
      <c r="O46" s="630"/>
      <c r="P46" s="563"/>
      <c r="Q46" s="755"/>
    </row>
    <row r="47" spans="1:17" ht="18" customHeight="1">
      <c r="A47" s="588">
        <v>39</v>
      </c>
      <c r="B47" s="612"/>
      <c r="C47" s="751"/>
      <c r="D47" s="824" t="s">
        <v>690</v>
      </c>
      <c r="E47" s="603">
        <f>F47+G47</f>
        <v>10000</v>
      </c>
      <c r="F47" s="619"/>
      <c r="G47" s="727">
        <v>10000</v>
      </c>
      <c r="H47" s="754"/>
      <c r="I47" s="630"/>
      <c r="J47" s="630"/>
      <c r="K47" s="630"/>
      <c r="L47" s="630"/>
      <c r="M47" s="630"/>
      <c r="N47" s="630"/>
      <c r="O47" s="630"/>
      <c r="P47" s="563"/>
      <c r="Q47" s="755"/>
    </row>
    <row r="48" spans="1:17" ht="18" customHeight="1">
      <c r="A48" s="588">
        <v>40</v>
      </c>
      <c r="B48" s="612"/>
      <c r="C48" s="751"/>
      <c r="D48" s="824" t="s">
        <v>1284</v>
      </c>
      <c r="E48" s="603">
        <f>F48+G48</f>
        <v>26000</v>
      </c>
      <c r="F48" s="619"/>
      <c r="G48" s="727">
        <v>26000</v>
      </c>
      <c r="H48" s="754"/>
      <c r="I48" s="630"/>
      <c r="J48" s="630"/>
      <c r="K48" s="630"/>
      <c r="L48" s="630"/>
      <c r="M48" s="630"/>
      <c r="N48" s="630"/>
      <c r="O48" s="630"/>
      <c r="P48" s="563"/>
      <c r="Q48" s="755"/>
    </row>
    <row r="49" spans="1:17" ht="18" customHeight="1">
      <c r="A49" s="588">
        <v>41</v>
      </c>
      <c r="B49" s="612"/>
      <c r="C49" s="751"/>
      <c r="D49" s="824" t="s">
        <v>691</v>
      </c>
      <c r="E49" s="603">
        <f>F49+G49+P51</f>
        <v>60289</v>
      </c>
      <c r="F49" s="619"/>
      <c r="G49" s="727">
        <v>5063</v>
      </c>
      <c r="H49" s="754"/>
      <c r="I49" s="630"/>
      <c r="J49" s="630"/>
      <c r="K49" s="630"/>
      <c r="L49" s="630"/>
      <c r="M49" s="630"/>
      <c r="N49" s="630"/>
      <c r="O49" s="630"/>
      <c r="P49" s="563"/>
      <c r="Q49" s="755"/>
    </row>
    <row r="50" spans="1:17" ht="18" customHeight="1">
      <c r="A50" s="588">
        <v>42</v>
      </c>
      <c r="B50" s="612"/>
      <c r="C50" s="759"/>
      <c r="D50" s="760" t="s">
        <v>198</v>
      </c>
      <c r="E50" s="761"/>
      <c r="F50" s="761"/>
      <c r="G50" s="827"/>
      <c r="H50" s="763"/>
      <c r="I50" s="828"/>
      <c r="J50" s="828"/>
      <c r="K50" s="794"/>
      <c r="L50" s="828"/>
      <c r="M50" s="794">
        <v>55226</v>
      </c>
      <c r="N50" s="828"/>
      <c r="O50" s="828"/>
      <c r="P50" s="643">
        <f>SUM(I50:O50)</f>
        <v>55226</v>
      </c>
      <c r="Q50" s="764"/>
    </row>
    <row r="51" spans="1:17" ht="18" customHeight="1">
      <c r="A51" s="588">
        <v>43</v>
      </c>
      <c r="B51" s="612"/>
      <c r="C51" s="759"/>
      <c r="D51" s="570" t="s">
        <v>765</v>
      </c>
      <c r="E51" s="761"/>
      <c r="F51" s="761"/>
      <c r="G51" s="827"/>
      <c r="H51" s="763"/>
      <c r="I51" s="828"/>
      <c r="J51" s="828"/>
      <c r="K51" s="795"/>
      <c r="L51" s="828"/>
      <c r="M51" s="795">
        <v>55226</v>
      </c>
      <c r="N51" s="828"/>
      <c r="O51" s="828"/>
      <c r="P51" s="569">
        <f>SUM(I51:O51)</f>
        <v>55226</v>
      </c>
      <c r="Q51" s="764"/>
    </row>
    <row r="52" spans="1:17" ht="18" customHeight="1">
      <c r="A52" s="588">
        <v>44</v>
      </c>
      <c r="B52" s="612"/>
      <c r="C52" s="766"/>
      <c r="D52" s="1343" t="s">
        <v>1022</v>
      </c>
      <c r="E52" s="768"/>
      <c r="F52" s="768"/>
      <c r="G52" s="829"/>
      <c r="H52" s="770"/>
      <c r="I52" s="830"/>
      <c r="J52" s="830"/>
      <c r="K52" s="831"/>
      <c r="L52" s="830"/>
      <c r="M52" s="1411">
        <v>55226</v>
      </c>
      <c r="N52" s="830"/>
      <c r="O52" s="830"/>
      <c r="P52" s="1336">
        <f>SUM(J52:O52)</f>
        <v>55226</v>
      </c>
      <c r="Q52" s="773"/>
    </row>
    <row r="53" spans="1:17" ht="18" customHeight="1">
      <c r="A53" s="588">
        <v>45</v>
      </c>
      <c r="B53" s="612"/>
      <c r="C53" s="809"/>
      <c r="D53" s="832" t="s">
        <v>4</v>
      </c>
      <c r="E53" s="592">
        <f>SUM(E37:E50)</f>
        <v>314781</v>
      </c>
      <c r="F53" s="592">
        <f>SUM(F37:F50)</f>
        <v>38923</v>
      </c>
      <c r="G53" s="833">
        <f>SUM(G37:G50)</f>
        <v>106579</v>
      </c>
      <c r="H53" s="834"/>
      <c r="I53" s="745"/>
      <c r="J53" s="745"/>
      <c r="K53" s="745"/>
      <c r="L53" s="745"/>
      <c r="M53" s="745"/>
      <c r="N53" s="745"/>
      <c r="O53" s="745"/>
      <c r="P53" s="572"/>
      <c r="Q53" s="823"/>
    </row>
    <row r="54" spans="1:17" ht="18" customHeight="1">
      <c r="A54" s="588">
        <v>46</v>
      </c>
      <c r="B54" s="612"/>
      <c r="C54" s="759"/>
      <c r="D54" s="835" t="s">
        <v>198</v>
      </c>
      <c r="E54" s="761"/>
      <c r="F54" s="761"/>
      <c r="G54" s="762"/>
      <c r="H54" s="763"/>
      <c r="I54" s="836">
        <f t="shared" ref="I54:O56" si="1">I50+I43+I38</f>
        <v>0</v>
      </c>
      <c r="J54" s="836">
        <f t="shared" si="1"/>
        <v>0</v>
      </c>
      <c r="K54" s="836">
        <f t="shared" si="1"/>
        <v>47922</v>
      </c>
      <c r="L54" s="836">
        <f t="shared" si="1"/>
        <v>0</v>
      </c>
      <c r="M54" s="836">
        <f t="shared" si="1"/>
        <v>121357</v>
      </c>
      <c r="N54" s="836">
        <f t="shared" si="1"/>
        <v>0</v>
      </c>
      <c r="O54" s="836">
        <f t="shared" si="1"/>
        <v>0</v>
      </c>
      <c r="P54" s="796">
        <f>SUM(I54:O54)</f>
        <v>169279</v>
      </c>
      <c r="Q54" s="764"/>
    </row>
    <row r="55" spans="1:17" ht="18" customHeight="1">
      <c r="A55" s="588">
        <v>47</v>
      </c>
      <c r="B55" s="612"/>
      <c r="C55" s="759"/>
      <c r="D55" s="570" t="s">
        <v>765</v>
      </c>
      <c r="E55" s="761"/>
      <c r="F55" s="761"/>
      <c r="G55" s="762"/>
      <c r="H55" s="763"/>
      <c r="I55" s="828">
        <f t="shared" si="1"/>
        <v>0</v>
      </c>
      <c r="J55" s="828">
        <f t="shared" si="1"/>
        <v>0</v>
      </c>
      <c r="K55" s="828">
        <f t="shared" si="1"/>
        <v>34905</v>
      </c>
      <c r="L55" s="828">
        <f t="shared" si="1"/>
        <v>1271</v>
      </c>
      <c r="M55" s="828">
        <f t="shared" si="1"/>
        <v>130944</v>
      </c>
      <c r="N55" s="828">
        <f t="shared" si="1"/>
        <v>0</v>
      </c>
      <c r="O55" s="828">
        <f t="shared" si="1"/>
        <v>2159</v>
      </c>
      <c r="P55" s="569">
        <f>SUM(I55:O55)</f>
        <v>169279</v>
      </c>
      <c r="Q55" s="764"/>
    </row>
    <row r="56" spans="1:17" ht="18" customHeight="1" thickBot="1">
      <c r="A56" s="588">
        <v>48</v>
      </c>
      <c r="B56" s="612"/>
      <c r="C56" s="783"/>
      <c r="D56" s="1338" t="s">
        <v>1022</v>
      </c>
      <c r="E56" s="784"/>
      <c r="F56" s="784"/>
      <c r="G56" s="785"/>
      <c r="H56" s="786"/>
      <c r="I56" s="1339">
        <f t="shared" si="1"/>
        <v>0</v>
      </c>
      <c r="J56" s="1339">
        <f t="shared" si="1"/>
        <v>0</v>
      </c>
      <c r="K56" s="1339">
        <f t="shared" si="1"/>
        <v>34904</v>
      </c>
      <c r="L56" s="1339">
        <f t="shared" si="1"/>
        <v>1271</v>
      </c>
      <c r="M56" s="1339">
        <f t="shared" si="1"/>
        <v>130944</v>
      </c>
      <c r="N56" s="1339">
        <f t="shared" si="1"/>
        <v>0</v>
      </c>
      <c r="O56" s="1339">
        <f t="shared" si="1"/>
        <v>2159</v>
      </c>
      <c r="P56" s="1329">
        <f>SUM(J56:O56)</f>
        <v>169278</v>
      </c>
      <c r="Q56" s="821"/>
    </row>
    <row r="57" spans="1:17" ht="24.75" customHeight="1" thickTop="1">
      <c r="A57" s="588">
        <v>49</v>
      </c>
      <c r="B57" s="612"/>
      <c r="C57" s="809">
        <v>34</v>
      </c>
      <c r="D57" s="743" t="s">
        <v>236</v>
      </c>
      <c r="E57" s="573"/>
      <c r="F57" s="573"/>
      <c r="G57" s="822"/>
      <c r="H57" s="837" t="s">
        <v>231</v>
      </c>
      <c r="I57" s="838"/>
      <c r="J57" s="838"/>
      <c r="K57" s="838"/>
      <c r="L57" s="838"/>
      <c r="M57" s="838"/>
      <c r="N57" s="838"/>
      <c r="O57" s="838"/>
      <c r="P57" s="572"/>
      <c r="Q57" s="823"/>
    </row>
    <row r="58" spans="1:17" ht="18" customHeight="1">
      <c r="A58" s="588">
        <v>50</v>
      </c>
      <c r="B58" s="612"/>
      <c r="C58" s="809"/>
      <c r="D58" s="700" t="s">
        <v>692</v>
      </c>
      <c r="E58" s="604">
        <f>F58+G58+P60</f>
        <v>24043</v>
      </c>
      <c r="F58" s="592">
        <v>182</v>
      </c>
      <c r="G58" s="833">
        <v>14393</v>
      </c>
      <c r="H58" s="834"/>
      <c r="I58" s="838"/>
      <c r="J58" s="838"/>
      <c r="K58" s="839"/>
      <c r="L58" s="839"/>
      <c r="M58" s="839"/>
      <c r="N58" s="838"/>
      <c r="O58" s="838"/>
      <c r="P58" s="572"/>
      <c r="Q58" s="823"/>
    </row>
    <row r="59" spans="1:17" ht="18" customHeight="1">
      <c r="A59" s="588">
        <v>51</v>
      </c>
      <c r="B59" s="612"/>
      <c r="C59" s="759"/>
      <c r="D59" s="760" t="s">
        <v>198</v>
      </c>
      <c r="E59" s="637"/>
      <c r="F59" s="761"/>
      <c r="G59" s="762"/>
      <c r="H59" s="763"/>
      <c r="I59" s="739"/>
      <c r="J59" s="739"/>
      <c r="K59" s="720">
        <v>1333</v>
      </c>
      <c r="L59" s="720"/>
      <c r="M59" s="720">
        <v>8135</v>
      </c>
      <c r="N59" s="739"/>
      <c r="O59" s="739"/>
      <c r="P59" s="643">
        <f>SUM(I59:O59)</f>
        <v>9468</v>
      </c>
      <c r="Q59" s="764"/>
    </row>
    <row r="60" spans="1:17" ht="18" customHeight="1">
      <c r="A60" s="588">
        <v>52</v>
      </c>
      <c r="B60" s="612"/>
      <c r="C60" s="759"/>
      <c r="D60" s="570" t="s">
        <v>765</v>
      </c>
      <c r="E60" s="637"/>
      <c r="F60" s="761"/>
      <c r="G60" s="762"/>
      <c r="H60" s="763"/>
      <c r="I60" s="739"/>
      <c r="J60" s="739"/>
      <c r="K60" s="765">
        <v>1333</v>
      </c>
      <c r="L60" s="765"/>
      <c r="M60" s="765">
        <v>8135</v>
      </c>
      <c r="N60" s="739"/>
      <c r="O60" s="739"/>
      <c r="P60" s="569">
        <f>SUM(I60:O60)</f>
        <v>9468</v>
      </c>
      <c r="Q60" s="764"/>
    </row>
    <row r="61" spans="1:17" ht="18" customHeight="1" thickBot="1">
      <c r="A61" s="588">
        <v>53</v>
      </c>
      <c r="B61" s="612"/>
      <c r="C61" s="783"/>
      <c r="D61" s="1338" t="s">
        <v>1022</v>
      </c>
      <c r="E61" s="819"/>
      <c r="F61" s="784"/>
      <c r="G61" s="785"/>
      <c r="H61" s="786"/>
      <c r="I61" s="787"/>
      <c r="J61" s="787"/>
      <c r="K61" s="1339">
        <v>572</v>
      </c>
      <c r="L61" s="1339"/>
      <c r="M61" s="1339">
        <v>7940</v>
      </c>
      <c r="N61" s="787"/>
      <c r="O61" s="787"/>
      <c r="P61" s="1329">
        <f>SUM(J61:O61)</f>
        <v>8512</v>
      </c>
      <c r="Q61" s="821"/>
    </row>
    <row r="62" spans="1:17" ht="24.75" customHeight="1" thickTop="1">
      <c r="A62" s="588">
        <v>54</v>
      </c>
      <c r="B62" s="612"/>
      <c r="C62" s="809">
        <v>33</v>
      </c>
      <c r="D62" s="743" t="s">
        <v>693</v>
      </c>
      <c r="E62" s="573"/>
      <c r="F62" s="573"/>
      <c r="G62" s="822"/>
      <c r="H62" s="837" t="s">
        <v>231</v>
      </c>
      <c r="I62" s="838"/>
      <c r="J62" s="838"/>
      <c r="K62" s="838"/>
      <c r="L62" s="838"/>
      <c r="M62" s="838"/>
      <c r="N62" s="838"/>
      <c r="O62" s="838"/>
      <c r="P62" s="572"/>
      <c r="Q62" s="823"/>
    </row>
    <row r="63" spans="1:17" ht="18" customHeight="1">
      <c r="A63" s="588">
        <v>55</v>
      </c>
      <c r="B63" s="612"/>
      <c r="C63" s="809"/>
      <c r="D63" s="700" t="s">
        <v>694</v>
      </c>
      <c r="E63" s="604">
        <f>F63++G63+P65</f>
        <v>21664</v>
      </c>
      <c r="F63" s="573"/>
      <c r="G63" s="833">
        <v>13302</v>
      </c>
      <c r="H63" s="834"/>
      <c r="I63" s="838"/>
      <c r="J63" s="838"/>
      <c r="K63" s="838"/>
      <c r="L63" s="838"/>
      <c r="M63" s="838"/>
      <c r="N63" s="838"/>
      <c r="O63" s="838"/>
      <c r="P63" s="572"/>
      <c r="Q63" s="823"/>
    </row>
    <row r="64" spans="1:17" ht="18" customHeight="1">
      <c r="A64" s="588">
        <v>56</v>
      </c>
      <c r="B64" s="612"/>
      <c r="C64" s="759"/>
      <c r="D64" s="760" t="s">
        <v>198</v>
      </c>
      <c r="E64" s="761"/>
      <c r="F64" s="761"/>
      <c r="G64" s="762"/>
      <c r="H64" s="763"/>
      <c r="I64" s="739"/>
      <c r="J64" s="739"/>
      <c r="K64" s="720">
        <v>8362</v>
      </c>
      <c r="L64" s="739"/>
      <c r="M64" s="739"/>
      <c r="N64" s="739"/>
      <c r="O64" s="739"/>
      <c r="P64" s="643">
        <f>SUM(I64:O64)</f>
        <v>8362</v>
      </c>
      <c r="Q64" s="764"/>
    </row>
    <row r="65" spans="1:17" ht="18" customHeight="1">
      <c r="A65" s="588">
        <v>57</v>
      </c>
      <c r="B65" s="612"/>
      <c r="C65" s="759"/>
      <c r="D65" s="570" t="s">
        <v>765</v>
      </c>
      <c r="E65" s="761"/>
      <c r="F65" s="761"/>
      <c r="G65" s="762"/>
      <c r="H65" s="763"/>
      <c r="I65" s="739"/>
      <c r="J65" s="739"/>
      <c r="K65" s="765">
        <v>8362</v>
      </c>
      <c r="L65" s="739"/>
      <c r="M65" s="739"/>
      <c r="N65" s="739"/>
      <c r="O65" s="739"/>
      <c r="P65" s="569">
        <f>SUM(I65:O65)</f>
        <v>8362</v>
      </c>
      <c r="Q65" s="764"/>
    </row>
    <row r="66" spans="1:17" ht="18" customHeight="1" thickBot="1">
      <c r="A66" s="588">
        <v>58</v>
      </c>
      <c r="B66" s="612"/>
      <c r="C66" s="800"/>
      <c r="D66" s="1344" t="s">
        <v>1022</v>
      </c>
      <c r="E66" s="784"/>
      <c r="F66" s="784"/>
      <c r="G66" s="785"/>
      <c r="H66" s="786"/>
      <c r="I66" s="787"/>
      <c r="J66" s="787"/>
      <c r="K66" s="1339">
        <v>8362</v>
      </c>
      <c r="L66" s="787"/>
      <c r="M66" s="787"/>
      <c r="N66" s="787"/>
      <c r="O66" s="787"/>
      <c r="P66" s="1329">
        <f>SUM(J66:O66)</f>
        <v>8362</v>
      </c>
      <c r="Q66" s="821"/>
    </row>
    <row r="67" spans="1:17" ht="24.75" customHeight="1" thickTop="1">
      <c r="A67" s="588">
        <v>59</v>
      </c>
      <c r="B67" s="612"/>
      <c r="C67" s="809">
        <v>40</v>
      </c>
      <c r="D67" s="743" t="s">
        <v>237</v>
      </c>
      <c r="E67" s="573"/>
      <c r="F67" s="573"/>
      <c r="G67" s="822"/>
      <c r="H67" s="837" t="s">
        <v>231</v>
      </c>
      <c r="I67" s="838"/>
      <c r="J67" s="838"/>
      <c r="K67" s="838"/>
      <c r="L67" s="838"/>
      <c r="M67" s="838"/>
      <c r="N67" s="838"/>
      <c r="O67" s="838"/>
      <c r="P67" s="572"/>
      <c r="Q67" s="823"/>
    </row>
    <row r="68" spans="1:17" ht="18" customHeight="1">
      <c r="A68" s="588">
        <v>60</v>
      </c>
      <c r="B68" s="612"/>
      <c r="C68" s="809"/>
      <c r="D68" s="700" t="s">
        <v>695</v>
      </c>
      <c r="E68" s="604">
        <f>F68+G68+P70+4973-720-95</f>
        <v>267194</v>
      </c>
      <c r="F68" s="573"/>
      <c r="G68" s="833">
        <v>240048</v>
      </c>
      <c r="H68" s="834"/>
      <c r="I68" s="838"/>
      <c r="J68" s="838"/>
      <c r="K68" s="838"/>
      <c r="L68" s="838"/>
      <c r="M68" s="838"/>
      <c r="N68" s="838"/>
      <c r="O68" s="838"/>
      <c r="P68" s="572"/>
      <c r="Q68" s="823"/>
    </row>
    <row r="69" spans="1:17" ht="18" customHeight="1">
      <c r="A69" s="588">
        <v>61</v>
      </c>
      <c r="B69" s="612"/>
      <c r="C69" s="759"/>
      <c r="D69" s="760" t="s">
        <v>198</v>
      </c>
      <c r="E69" s="637"/>
      <c r="F69" s="761"/>
      <c r="G69" s="762"/>
      <c r="H69" s="763"/>
      <c r="I69" s="720">
        <v>1285</v>
      </c>
      <c r="J69" s="720">
        <v>225</v>
      </c>
      <c r="K69" s="720">
        <v>20663</v>
      </c>
      <c r="L69" s="720"/>
      <c r="M69" s="720"/>
      <c r="N69" s="739"/>
      <c r="O69" s="739"/>
      <c r="P69" s="643">
        <f>SUM(I69:O69)</f>
        <v>22173</v>
      </c>
      <c r="Q69" s="764"/>
    </row>
    <row r="70" spans="1:17" ht="18" customHeight="1">
      <c r="A70" s="588">
        <v>62</v>
      </c>
      <c r="B70" s="612"/>
      <c r="C70" s="759"/>
      <c r="D70" s="570" t="s">
        <v>765</v>
      </c>
      <c r="E70" s="637"/>
      <c r="F70" s="761"/>
      <c r="G70" s="762"/>
      <c r="H70" s="763"/>
      <c r="I70" s="765">
        <v>417</v>
      </c>
      <c r="J70" s="765">
        <v>49</v>
      </c>
      <c r="K70" s="765">
        <v>18484</v>
      </c>
      <c r="L70" s="765">
        <v>4038</v>
      </c>
      <c r="M70" s="765"/>
      <c r="N70" s="739"/>
      <c r="O70" s="739"/>
      <c r="P70" s="569">
        <f>SUM(I70:O70)</f>
        <v>22988</v>
      </c>
      <c r="Q70" s="764"/>
    </row>
    <row r="71" spans="1:17" ht="18" customHeight="1" thickBot="1">
      <c r="A71" s="588">
        <v>63</v>
      </c>
      <c r="B71" s="612"/>
      <c r="C71" s="800"/>
      <c r="D71" s="1344" t="s">
        <v>1021</v>
      </c>
      <c r="E71" s="819"/>
      <c r="F71" s="784"/>
      <c r="G71" s="785"/>
      <c r="H71" s="786"/>
      <c r="I71" s="1339">
        <v>417</v>
      </c>
      <c r="J71" s="1339">
        <v>49</v>
      </c>
      <c r="K71" s="1339">
        <v>18484</v>
      </c>
      <c r="L71" s="1339">
        <v>4038</v>
      </c>
      <c r="M71" s="840"/>
      <c r="N71" s="787"/>
      <c r="O71" s="787"/>
      <c r="P71" s="1329">
        <f>SUM(I71:O71)</f>
        <v>22988</v>
      </c>
      <c r="Q71" s="821"/>
    </row>
    <row r="72" spans="1:17" ht="24.75" customHeight="1" thickTop="1">
      <c r="A72" s="588">
        <v>64</v>
      </c>
      <c r="B72" s="612"/>
      <c r="C72" s="809">
        <v>41</v>
      </c>
      <c r="D72" s="743" t="s">
        <v>239</v>
      </c>
      <c r="E72" s="573"/>
      <c r="F72" s="573"/>
      <c r="G72" s="822"/>
      <c r="H72" s="837" t="s">
        <v>231</v>
      </c>
      <c r="I72" s="838"/>
      <c r="J72" s="838"/>
      <c r="K72" s="838"/>
      <c r="L72" s="838"/>
      <c r="M72" s="838"/>
      <c r="N72" s="838"/>
      <c r="O72" s="838"/>
      <c r="P72" s="572"/>
      <c r="Q72" s="823"/>
    </row>
    <row r="73" spans="1:17" ht="18" customHeight="1">
      <c r="A73" s="588">
        <v>65</v>
      </c>
      <c r="B73" s="612"/>
      <c r="C73" s="809"/>
      <c r="D73" s="700" t="s">
        <v>696</v>
      </c>
      <c r="E73" s="604">
        <f>F73+G73+P75+126</f>
        <v>770373</v>
      </c>
      <c r="F73" s="573"/>
      <c r="G73" s="833">
        <v>512933</v>
      </c>
      <c r="H73" s="834"/>
      <c r="I73" s="838"/>
      <c r="J73" s="838"/>
      <c r="K73" s="838"/>
      <c r="L73" s="838"/>
      <c r="M73" s="838"/>
      <c r="N73" s="838"/>
      <c r="O73" s="838"/>
      <c r="P73" s="572"/>
      <c r="Q73" s="823"/>
    </row>
    <row r="74" spans="1:17" ht="18" customHeight="1">
      <c r="A74" s="588">
        <v>66</v>
      </c>
      <c r="B74" s="612"/>
      <c r="C74" s="759"/>
      <c r="D74" s="760" t="s">
        <v>198</v>
      </c>
      <c r="E74" s="637"/>
      <c r="F74" s="761"/>
      <c r="G74" s="762"/>
      <c r="H74" s="763"/>
      <c r="I74" s="739"/>
      <c r="J74" s="739"/>
      <c r="K74" s="720">
        <v>7656</v>
      </c>
      <c r="L74" s="739"/>
      <c r="M74" s="720">
        <v>249658</v>
      </c>
      <c r="N74" s="739"/>
      <c r="O74" s="739"/>
      <c r="P74" s="643">
        <f>SUM(I74:O74)</f>
        <v>257314</v>
      </c>
      <c r="Q74" s="764"/>
    </row>
    <row r="75" spans="1:17" ht="18" customHeight="1">
      <c r="A75" s="588">
        <v>67</v>
      </c>
      <c r="B75" s="612"/>
      <c r="C75" s="759"/>
      <c r="D75" s="570" t="s">
        <v>765</v>
      </c>
      <c r="E75" s="637"/>
      <c r="F75" s="761"/>
      <c r="G75" s="762"/>
      <c r="H75" s="763"/>
      <c r="I75" s="828"/>
      <c r="J75" s="828"/>
      <c r="K75" s="795">
        <v>7656</v>
      </c>
      <c r="L75" s="828"/>
      <c r="M75" s="795">
        <v>249658</v>
      </c>
      <c r="N75" s="828"/>
      <c r="O75" s="828"/>
      <c r="P75" s="569">
        <f>SUM(I75:O75)</f>
        <v>257314</v>
      </c>
      <c r="Q75" s="764"/>
    </row>
    <row r="76" spans="1:17" ht="18" customHeight="1" thickBot="1">
      <c r="A76" s="588">
        <v>68</v>
      </c>
      <c r="B76" s="612"/>
      <c r="C76" s="800"/>
      <c r="D76" s="1344" t="s">
        <v>1022</v>
      </c>
      <c r="E76" s="819"/>
      <c r="F76" s="784"/>
      <c r="G76" s="785"/>
      <c r="H76" s="786"/>
      <c r="I76" s="841"/>
      <c r="J76" s="841"/>
      <c r="K76" s="806">
        <v>7656</v>
      </c>
      <c r="L76" s="841"/>
      <c r="M76" s="806">
        <v>249658</v>
      </c>
      <c r="N76" s="841"/>
      <c r="O76" s="841"/>
      <c r="P76" s="1329">
        <f>SUM(J76:O76)</f>
        <v>257314</v>
      </c>
      <c r="Q76" s="821"/>
    </row>
    <row r="77" spans="1:17" ht="24.75" customHeight="1" thickTop="1">
      <c r="A77" s="588">
        <v>69</v>
      </c>
      <c r="B77" s="612"/>
      <c r="C77" s="809">
        <v>42</v>
      </c>
      <c r="D77" s="743" t="s">
        <v>240</v>
      </c>
      <c r="E77" s="573"/>
      <c r="F77" s="573"/>
      <c r="G77" s="822"/>
      <c r="H77" s="837" t="s">
        <v>231</v>
      </c>
      <c r="I77" s="745"/>
      <c r="J77" s="745"/>
      <c r="K77" s="745"/>
      <c r="L77" s="745"/>
      <c r="M77" s="745"/>
      <c r="N77" s="745"/>
      <c r="O77" s="745"/>
      <c r="P77" s="572"/>
      <c r="Q77" s="823"/>
    </row>
    <row r="78" spans="1:17" ht="18" customHeight="1">
      <c r="A78" s="588">
        <v>70</v>
      </c>
      <c r="B78" s="612"/>
      <c r="C78" s="751"/>
      <c r="D78" s="700" t="s">
        <v>697</v>
      </c>
      <c r="E78" s="604">
        <f>F78+G78+P80+705+706</f>
        <v>315423</v>
      </c>
      <c r="F78" s="619"/>
      <c r="G78" s="727">
        <v>270740</v>
      </c>
      <c r="H78" s="754"/>
      <c r="I78" s="839"/>
      <c r="J78" s="839"/>
      <c r="K78" s="839"/>
      <c r="L78" s="839"/>
      <c r="M78" s="839"/>
      <c r="N78" s="630"/>
      <c r="O78" s="630"/>
      <c r="P78" s="563"/>
      <c r="Q78" s="755"/>
    </row>
    <row r="79" spans="1:17" ht="18" customHeight="1">
      <c r="A79" s="588">
        <v>71</v>
      </c>
      <c r="B79" s="612"/>
      <c r="C79" s="759"/>
      <c r="D79" s="760" t="s">
        <v>198</v>
      </c>
      <c r="E79" s="637"/>
      <c r="F79" s="761"/>
      <c r="G79" s="827"/>
      <c r="H79" s="763"/>
      <c r="I79" s="720">
        <v>519</v>
      </c>
      <c r="J79" s="720">
        <v>1868</v>
      </c>
      <c r="K79" s="720">
        <v>34837</v>
      </c>
      <c r="L79" s="720"/>
      <c r="M79" s="720"/>
      <c r="N79" s="828"/>
      <c r="O79" s="828"/>
      <c r="P79" s="643">
        <f>SUM(I79:O79)</f>
        <v>37224</v>
      </c>
      <c r="Q79" s="764"/>
    </row>
    <row r="80" spans="1:17" ht="18" customHeight="1">
      <c r="A80" s="588">
        <v>72</v>
      </c>
      <c r="B80" s="612"/>
      <c r="C80" s="759"/>
      <c r="D80" s="570" t="s">
        <v>765</v>
      </c>
      <c r="E80" s="637"/>
      <c r="F80" s="761"/>
      <c r="G80" s="827"/>
      <c r="H80" s="763"/>
      <c r="I80" s="795">
        <v>500</v>
      </c>
      <c r="J80" s="795">
        <v>1872</v>
      </c>
      <c r="K80" s="795">
        <v>31174</v>
      </c>
      <c r="L80" s="795">
        <v>9726</v>
      </c>
      <c r="M80" s="795"/>
      <c r="N80" s="828"/>
      <c r="O80" s="828"/>
      <c r="P80" s="569">
        <f>SUM(I80:O80)</f>
        <v>43272</v>
      </c>
      <c r="Q80" s="764"/>
    </row>
    <row r="81" spans="1:17" ht="18" customHeight="1" thickBot="1">
      <c r="A81" s="588">
        <v>73</v>
      </c>
      <c r="B81" s="612"/>
      <c r="C81" s="800"/>
      <c r="D81" s="1338" t="s">
        <v>1021</v>
      </c>
      <c r="E81" s="819"/>
      <c r="F81" s="784"/>
      <c r="G81" s="803"/>
      <c r="H81" s="786"/>
      <c r="I81" s="1340">
        <v>500</v>
      </c>
      <c r="J81" s="1340">
        <v>1872</v>
      </c>
      <c r="K81" s="1340">
        <v>31174</v>
      </c>
      <c r="L81" s="1340">
        <v>9716</v>
      </c>
      <c r="M81" s="842"/>
      <c r="N81" s="841"/>
      <c r="O81" s="841"/>
      <c r="P81" s="1329">
        <f>SUM(I81:O81)</f>
        <v>43262</v>
      </c>
      <c r="Q81" s="821"/>
    </row>
    <row r="82" spans="1:17" ht="24.75" customHeight="1" thickTop="1">
      <c r="A82" s="588">
        <v>74</v>
      </c>
      <c r="B82" s="612"/>
      <c r="C82" s="809">
        <v>43</v>
      </c>
      <c r="D82" s="743" t="s">
        <v>279</v>
      </c>
      <c r="E82" s="573"/>
      <c r="F82" s="573"/>
      <c r="G82" s="822"/>
      <c r="H82" s="837" t="s">
        <v>231</v>
      </c>
      <c r="I82" s="745"/>
      <c r="J82" s="745"/>
      <c r="K82" s="745"/>
      <c r="L82" s="745"/>
      <c r="M82" s="745"/>
      <c r="N82" s="745"/>
      <c r="O82" s="745"/>
      <c r="P82" s="572"/>
      <c r="Q82" s="823"/>
    </row>
    <row r="83" spans="1:17" ht="18" customHeight="1">
      <c r="A83" s="588">
        <v>75</v>
      </c>
      <c r="B83" s="612"/>
      <c r="C83" s="751"/>
      <c r="D83" s="815" t="s">
        <v>698</v>
      </c>
      <c r="E83" s="603">
        <f>F83+G83+P85</f>
        <v>83433</v>
      </c>
      <c r="F83" s="843"/>
      <c r="G83" s="825">
        <v>10554</v>
      </c>
      <c r="H83" s="754"/>
      <c r="I83" s="630"/>
      <c r="J83" s="630"/>
      <c r="K83" s="630"/>
      <c r="L83" s="630"/>
      <c r="M83" s="630"/>
      <c r="N83" s="630"/>
      <c r="O83" s="630"/>
      <c r="P83" s="563"/>
      <c r="Q83" s="755"/>
    </row>
    <row r="84" spans="1:17" ht="18" customHeight="1">
      <c r="A84" s="588">
        <v>76</v>
      </c>
      <c r="B84" s="612"/>
      <c r="C84" s="759"/>
      <c r="D84" s="760" t="s">
        <v>198</v>
      </c>
      <c r="E84" s="761"/>
      <c r="F84" s="761"/>
      <c r="G84" s="762"/>
      <c r="H84" s="763"/>
      <c r="I84" s="828"/>
      <c r="J84" s="720"/>
      <c r="K84" s="720">
        <v>15062</v>
      </c>
      <c r="L84" s="720"/>
      <c r="M84" s="720">
        <v>57817</v>
      </c>
      <c r="N84" s="720"/>
      <c r="O84" s="720"/>
      <c r="P84" s="643">
        <f>SUM(I84:O84)</f>
        <v>72879</v>
      </c>
      <c r="Q84" s="764"/>
    </row>
    <row r="85" spans="1:17" ht="18" customHeight="1">
      <c r="A85" s="588">
        <v>77</v>
      </c>
      <c r="B85" s="612"/>
      <c r="C85" s="759"/>
      <c r="D85" s="570" t="s">
        <v>765</v>
      </c>
      <c r="E85" s="761"/>
      <c r="F85" s="844"/>
      <c r="G85" s="762"/>
      <c r="H85" s="763"/>
      <c r="I85" s="828"/>
      <c r="J85" s="795"/>
      <c r="K85" s="795">
        <v>6020</v>
      </c>
      <c r="L85" s="795">
        <v>486</v>
      </c>
      <c r="M85" s="795">
        <v>66373</v>
      </c>
      <c r="N85" s="795"/>
      <c r="O85" s="719"/>
      <c r="P85" s="569">
        <f>SUM(I85:O85)</f>
        <v>72879</v>
      </c>
      <c r="Q85" s="764"/>
    </row>
    <row r="86" spans="1:17" ht="18" customHeight="1" thickBot="1">
      <c r="A86" s="588">
        <v>78</v>
      </c>
      <c r="B86" s="612"/>
      <c r="C86" s="800"/>
      <c r="D86" s="1344" t="s">
        <v>1021</v>
      </c>
      <c r="E86" s="784"/>
      <c r="F86" s="1346"/>
      <c r="G86" s="785"/>
      <c r="H86" s="786"/>
      <c r="I86" s="1347"/>
      <c r="J86" s="1340"/>
      <c r="K86" s="1340">
        <v>6020</v>
      </c>
      <c r="L86" s="1340">
        <v>486</v>
      </c>
      <c r="M86" s="1340">
        <v>66373</v>
      </c>
      <c r="N86" s="842"/>
      <c r="O86" s="842"/>
      <c r="P86" s="1329">
        <f>SUM(J86:O86)</f>
        <v>72879</v>
      </c>
      <c r="Q86" s="821"/>
    </row>
    <row r="87" spans="1:17" ht="24.75" customHeight="1" thickTop="1">
      <c r="A87" s="588">
        <v>79</v>
      </c>
      <c r="B87" s="612"/>
      <c r="C87" s="809">
        <v>44</v>
      </c>
      <c r="D87" s="743" t="s">
        <v>241</v>
      </c>
      <c r="E87" s="573"/>
      <c r="F87" s="1337"/>
      <c r="H87" s="595" t="s">
        <v>231</v>
      </c>
      <c r="I87" s="791"/>
      <c r="J87" s="791"/>
      <c r="K87" s="791"/>
      <c r="L87" s="792"/>
      <c r="M87" s="724"/>
      <c r="N87" s="792"/>
      <c r="O87" s="792"/>
      <c r="P87" s="1352"/>
      <c r="Q87" s="726"/>
    </row>
    <row r="88" spans="1:17" ht="34.5" customHeight="1">
      <c r="A88" s="588">
        <v>80</v>
      </c>
      <c r="B88" s="612"/>
      <c r="C88" s="759"/>
      <c r="D88" s="845" t="s">
        <v>699</v>
      </c>
      <c r="E88" s="662">
        <f>F88+G88+P90+206+360</f>
        <v>2925340</v>
      </c>
      <c r="F88" s="626"/>
      <c r="G88" s="846">
        <v>905049</v>
      </c>
      <c r="H88" s="615"/>
      <c r="I88" s="799"/>
      <c r="J88" s="799"/>
      <c r="K88" s="799"/>
      <c r="L88" s="714"/>
      <c r="M88" s="701"/>
      <c r="N88" s="714"/>
      <c r="O88" s="714"/>
      <c r="P88" s="847"/>
      <c r="Q88" s="611"/>
    </row>
    <row r="89" spans="1:17" ht="18" customHeight="1">
      <c r="A89" s="588">
        <v>81</v>
      </c>
      <c r="B89" s="612"/>
      <c r="C89" s="566"/>
      <c r="D89" s="760" t="s">
        <v>198</v>
      </c>
      <c r="E89" s="637"/>
      <c r="F89" s="718"/>
      <c r="G89" s="646"/>
      <c r="H89" s="639"/>
      <c r="I89" s="794"/>
      <c r="J89" s="794"/>
      <c r="K89" s="794">
        <v>33464</v>
      </c>
      <c r="L89" s="795"/>
      <c r="M89" s="719">
        <v>1799084</v>
      </c>
      <c r="N89" s="795"/>
      <c r="O89" s="795"/>
      <c r="P89" s="796">
        <f>SUM(I89:O89)</f>
        <v>1832548</v>
      </c>
      <c r="Q89" s="644"/>
    </row>
    <row r="90" spans="1:17" ht="18" customHeight="1">
      <c r="A90" s="588">
        <v>82</v>
      </c>
      <c r="B90" s="612"/>
      <c r="C90" s="759"/>
      <c r="D90" s="570" t="s">
        <v>765</v>
      </c>
      <c r="E90" s="637"/>
      <c r="F90" s="718"/>
      <c r="G90" s="727"/>
      <c r="H90" s="848"/>
      <c r="I90" s="794"/>
      <c r="J90" s="794"/>
      <c r="K90" s="795">
        <v>60989</v>
      </c>
      <c r="L90" s="795"/>
      <c r="M90" s="795">
        <v>1958736</v>
      </c>
      <c r="N90" s="795"/>
      <c r="O90" s="795"/>
      <c r="P90" s="569">
        <f>SUM(I90:O90)</f>
        <v>2019725</v>
      </c>
      <c r="Q90" s="798"/>
    </row>
    <row r="91" spans="1:17" ht="18" customHeight="1" thickBot="1">
      <c r="A91" s="588">
        <v>83</v>
      </c>
      <c r="B91" s="612"/>
      <c r="C91" s="800"/>
      <c r="D91" s="1344" t="s">
        <v>1021</v>
      </c>
      <c r="E91" s="819"/>
      <c r="F91" s="802"/>
      <c r="G91" s="849"/>
      <c r="H91" s="804"/>
      <c r="I91" s="805"/>
      <c r="J91" s="805"/>
      <c r="K91" s="1340">
        <v>60989</v>
      </c>
      <c r="L91" s="806"/>
      <c r="M91" s="806">
        <v>1958735</v>
      </c>
      <c r="N91" s="806"/>
      <c r="O91" s="806"/>
      <c r="P91" s="1329">
        <f>SUM(J91:O91)</f>
        <v>2019724</v>
      </c>
      <c r="Q91" s="807"/>
    </row>
    <row r="92" spans="1:17" ht="24.75" customHeight="1" thickTop="1">
      <c r="A92" s="588">
        <v>84</v>
      </c>
      <c r="B92" s="612"/>
      <c r="C92" s="809">
        <v>46</v>
      </c>
      <c r="D92" s="743" t="s">
        <v>242</v>
      </c>
      <c r="E92" s="573"/>
      <c r="F92" s="573"/>
      <c r="G92" s="822"/>
      <c r="H92" s="837" t="s">
        <v>231</v>
      </c>
      <c r="I92" s="745"/>
      <c r="J92" s="745"/>
      <c r="K92" s="745"/>
      <c r="L92" s="745"/>
      <c r="M92" s="745"/>
      <c r="N92" s="745"/>
      <c r="O92" s="745"/>
      <c r="P92" s="572"/>
      <c r="Q92" s="823"/>
    </row>
    <row r="93" spans="1:17" ht="18" customHeight="1">
      <c r="A93" s="588">
        <v>85</v>
      </c>
      <c r="B93" s="612"/>
      <c r="C93" s="751"/>
      <c r="D93" s="815" t="s">
        <v>700</v>
      </c>
      <c r="E93" s="603">
        <f>F93+G93+P95</f>
        <v>396511</v>
      </c>
      <c r="F93" s="619"/>
      <c r="G93" s="727">
        <v>300022</v>
      </c>
      <c r="H93" s="754"/>
      <c r="I93" s="630"/>
      <c r="J93" s="630"/>
      <c r="K93" s="630"/>
      <c r="L93" s="630"/>
      <c r="M93" s="630"/>
      <c r="N93" s="630"/>
      <c r="O93" s="630"/>
      <c r="P93" s="563"/>
      <c r="Q93" s="755"/>
    </row>
    <row r="94" spans="1:17" ht="18" customHeight="1">
      <c r="A94" s="588">
        <v>86</v>
      </c>
      <c r="B94" s="612"/>
      <c r="C94" s="759"/>
      <c r="D94" s="760" t="s">
        <v>198</v>
      </c>
      <c r="E94" s="761"/>
      <c r="F94" s="761"/>
      <c r="G94" s="762"/>
      <c r="H94" s="763"/>
      <c r="I94" s="828"/>
      <c r="J94" s="828"/>
      <c r="K94" s="720">
        <v>1145</v>
      </c>
      <c r="L94" s="720"/>
      <c r="M94" s="720">
        <v>95294</v>
      </c>
      <c r="N94" s="828"/>
      <c r="O94" s="828"/>
      <c r="P94" s="643">
        <f>SUM(I94:O94)</f>
        <v>96439</v>
      </c>
      <c r="Q94" s="764"/>
    </row>
    <row r="95" spans="1:17" ht="18" customHeight="1">
      <c r="A95" s="588">
        <v>87</v>
      </c>
      <c r="B95" s="612"/>
      <c r="C95" s="759"/>
      <c r="D95" s="570" t="s">
        <v>765</v>
      </c>
      <c r="E95" s="761"/>
      <c r="F95" s="761"/>
      <c r="G95" s="762"/>
      <c r="H95" s="763"/>
      <c r="I95" s="828"/>
      <c r="J95" s="828"/>
      <c r="K95" s="795">
        <v>1145</v>
      </c>
      <c r="L95" s="795">
        <v>50</v>
      </c>
      <c r="M95" s="795">
        <v>95294</v>
      </c>
      <c r="N95" s="828"/>
      <c r="O95" s="828"/>
      <c r="P95" s="569">
        <f>SUM(I95:O95)</f>
        <v>96489</v>
      </c>
      <c r="Q95" s="764"/>
    </row>
    <row r="96" spans="1:17" ht="18" customHeight="1" thickBot="1">
      <c r="A96" s="588">
        <v>88</v>
      </c>
      <c r="B96" s="612"/>
      <c r="C96" s="800"/>
      <c r="D96" s="1338" t="s">
        <v>1021</v>
      </c>
      <c r="E96" s="784"/>
      <c r="F96" s="784"/>
      <c r="G96" s="785"/>
      <c r="H96" s="786"/>
      <c r="I96" s="841"/>
      <c r="J96" s="841"/>
      <c r="K96" s="1340">
        <v>1145</v>
      </c>
      <c r="L96" s="1340">
        <v>49</v>
      </c>
      <c r="M96" s="1340">
        <v>95295</v>
      </c>
      <c r="N96" s="841"/>
      <c r="O96" s="841"/>
      <c r="P96" s="1329">
        <f>SUM(J96:O96)</f>
        <v>96489</v>
      </c>
      <c r="Q96" s="821"/>
    </row>
    <row r="97" spans="1:17" ht="24.75" customHeight="1" thickTop="1">
      <c r="A97" s="588">
        <v>89</v>
      </c>
      <c r="B97" s="612"/>
      <c r="C97" s="809">
        <v>47</v>
      </c>
      <c r="D97" s="743" t="s">
        <v>245</v>
      </c>
      <c r="E97" s="573"/>
      <c r="F97" s="573"/>
      <c r="G97" s="822"/>
      <c r="H97" s="595" t="s">
        <v>231</v>
      </c>
      <c r="I97" s="745"/>
      <c r="J97" s="745"/>
      <c r="K97" s="745"/>
      <c r="L97" s="745"/>
      <c r="M97" s="745"/>
      <c r="N97" s="745"/>
      <c r="O97" s="745"/>
      <c r="P97" s="572"/>
      <c r="Q97" s="823"/>
    </row>
    <row r="98" spans="1:17" ht="18" customHeight="1">
      <c r="A98" s="588">
        <v>90</v>
      </c>
      <c r="B98" s="612"/>
      <c r="C98" s="751"/>
      <c r="D98" s="815" t="s">
        <v>701</v>
      </c>
      <c r="E98" s="603">
        <f>F98+G98+P100</f>
        <v>45370</v>
      </c>
      <c r="F98" s="619"/>
      <c r="G98" s="727">
        <v>44254</v>
      </c>
      <c r="H98" s="754"/>
      <c r="I98" s="630"/>
      <c r="J98" s="630"/>
      <c r="K98" s="630"/>
      <c r="L98" s="630"/>
      <c r="M98" s="630"/>
      <c r="N98" s="630"/>
      <c r="O98" s="630"/>
      <c r="P98" s="563"/>
      <c r="Q98" s="755"/>
    </row>
    <row r="99" spans="1:17" ht="18" customHeight="1">
      <c r="A99" s="588">
        <v>91</v>
      </c>
      <c r="B99" s="612"/>
      <c r="C99" s="759"/>
      <c r="D99" s="760" t="s">
        <v>198</v>
      </c>
      <c r="E99" s="761"/>
      <c r="F99" s="761"/>
      <c r="G99" s="762"/>
      <c r="H99" s="763"/>
      <c r="I99" s="828"/>
      <c r="J99" s="828"/>
      <c r="K99" s="720">
        <v>1089</v>
      </c>
      <c r="L99" s="720"/>
      <c r="M99" s="720"/>
      <c r="N99" s="828"/>
      <c r="O99" s="828"/>
      <c r="P99" s="643">
        <f>SUM(I99:O99)</f>
        <v>1089</v>
      </c>
      <c r="Q99" s="764"/>
    </row>
    <row r="100" spans="1:17" ht="18" customHeight="1">
      <c r="A100" s="588">
        <v>92</v>
      </c>
      <c r="B100" s="612"/>
      <c r="C100" s="759"/>
      <c r="D100" s="570" t="s">
        <v>765</v>
      </c>
      <c r="E100" s="761"/>
      <c r="F100" s="761"/>
      <c r="G100" s="762"/>
      <c r="H100" s="763"/>
      <c r="I100" s="828"/>
      <c r="J100" s="828"/>
      <c r="K100" s="795">
        <v>826</v>
      </c>
      <c r="L100" s="795">
        <v>290</v>
      </c>
      <c r="M100" s="795"/>
      <c r="N100" s="828"/>
      <c r="O100" s="828"/>
      <c r="P100" s="569">
        <f>SUM(I100:O100)</f>
        <v>1116</v>
      </c>
      <c r="Q100" s="764"/>
    </row>
    <row r="101" spans="1:17" ht="18" customHeight="1" thickBot="1">
      <c r="A101" s="588">
        <v>93</v>
      </c>
      <c r="B101" s="612"/>
      <c r="C101" s="800"/>
      <c r="D101" s="1344" t="s">
        <v>1021</v>
      </c>
      <c r="E101" s="784"/>
      <c r="F101" s="784"/>
      <c r="G101" s="785"/>
      <c r="H101" s="786"/>
      <c r="I101" s="841"/>
      <c r="J101" s="841"/>
      <c r="K101" s="1340">
        <v>826</v>
      </c>
      <c r="L101" s="1340">
        <v>290</v>
      </c>
      <c r="M101" s="842"/>
      <c r="N101" s="841"/>
      <c r="O101" s="841"/>
      <c r="P101" s="1329">
        <f>SUM(J101:O101)</f>
        <v>1116</v>
      </c>
      <c r="Q101" s="821"/>
    </row>
    <row r="102" spans="1:17" ht="24.75" customHeight="1" thickTop="1">
      <c r="A102" s="588">
        <v>94</v>
      </c>
      <c r="B102" s="612"/>
      <c r="C102" s="809">
        <v>48</v>
      </c>
      <c r="D102" s="743" t="s">
        <v>282</v>
      </c>
      <c r="E102" s="573"/>
      <c r="F102" s="573"/>
      <c r="G102" s="822"/>
      <c r="H102" s="595" t="s">
        <v>231</v>
      </c>
      <c r="I102" s="745"/>
      <c r="J102" s="745"/>
      <c r="K102" s="745"/>
      <c r="L102" s="745"/>
      <c r="M102" s="745"/>
      <c r="N102" s="745"/>
      <c r="O102" s="745"/>
      <c r="P102" s="572"/>
      <c r="Q102" s="823"/>
    </row>
    <row r="103" spans="1:17" ht="37.5" customHeight="1">
      <c r="A103" s="588">
        <v>95</v>
      </c>
      <c r="B103" s="612"/>
      <c r="C103" s="751"/>
      <c r="D103" s="850" t="s">
        <v>702</v>
      </c>
      <c r="E103" s="603">
        <f>F103+G103+P105</f>
        <v>39832</v>
      </c>
      <c r="F103" s="619"/>
      <c r="G103" s="825">
        <v>28731</v>
      </c>
      <c r="H103" s="754"/>
      <c r="I103" s="630"/>
      <c r="J103" s="630"/>
      <c r="K103" s="630"/>
      <c r="L103" s="630"/>
      <c r="M103" s="630"/>
      <c r="N103" s="630"/>
      <c r="O103" s="630"/>
      <c r="P103" s="563"/>
      <c r="Q103" s="755"/>
    </row>
    <row r="104" spans="1:17" ht="18" customHeight="1">
      <c r="A104" s="588">
        <v>96</v>
      </c>
      <c r="B104" s="612"/>
      <c r="C104" s="759"/>
      <c r="D104" s="760" t="s">
        <v>198</v>
      </c>
      <c r="E104" s="761"/>
      <c r="F104" s="761"/>
      <c r="G104" s="762"/>
      <c r="H104" s="763"/>
      <c r="I104" s="828"/>
      <c r="J104" s="828"/>
      <c r="K104" s="720">
        <v>11101</v>
      </c>
      <c r="L104" s="720"/>
      <c r="M104" s="720"/>
      <c r="N104" s="828"/>
      <c r="O104" s="828"/>
      <c r="P104" s="643">
        <f>SUM(I104:O104)</f>
        <v>11101</v>
      </c>
      <c r="Q104" s="764"/>
    </row>
    <row r="105" spans="1:17" ht="18" customHeight="1">
      <c r="A105" s="588">
        <v>97</v>
      </c>
      <c r="B105" s="612"/>
      <c r="C105" s="759"/>
      <c r="D105" s="570" t="s">
        <v>765</v>
      </c>
      <c r="E105" s="761"/>
      <c r="F105" s="761"/>
      <c r="G105" s="762"/>
      <c r="H105" s="763"/>
      <c r="I105" s="828"/>
      <c r="J105" s="828"/>
      <c r="K105" s="795">
        <v>10490</v>
      </c>
      <c r="L105" s="795">
        <v>611</v>
      </c>
      <c r="M105" s="795"/>
      <c r="N105" s="828"/>
      <c r="O105" s="828"/>
      <c r="P105" s="569">
        <f>SUM(I105:O105)</f>
        <v>11101</v>
      </c>
      <c r="Q105" s="764"/>
    </row>
    <row r="106" spans="1:17" ht="18" customHeight="1" thickBot="1">
      <c r="A106" s="588">
        <v>98</v>
      </c>
      <c r="B106" s="612"/>
      <c r="C106" s="800"/>
      <c r="D106" s="1344" t="s">
        <v>1022</v>
      </c>
      <c r="E106" s="784"/>
      <c r="F106" s="784"/>
      <c r="G106" s="785"/>
      <c r="H106" s="786"/>
      <c r="I106" s="841"/>
      <c r="J106" s="841"/>
      <c r="K106" s="1340">
        <v>10490</v>
      </c>
      <c r="L106" s="1340">
        <v>611</v>
      </c>
      <c r="M106" s="842"/>
      <c r="N106" s="841"/>
      <c r="O106" s="841"/>
      <c r="P106" s="1329">
        <f>SUM(J106:O106)</f>
        <v>11101</v>
      </c>
      <c r="Q106" s="821"/>
    </row>
    <row r="107" spans="1:17" ht="24.75" customHeight="1" thickTop="1">
      <c r="A107" s="588">
        <v>99</v>
      </c>
      <c r="B107" s="612"/>
      <c r="C107" s="809">
        <v>49</v>
      </c>
      <c r="D107" s="743" t="s">
        <v>703</v>
      </c>
      <c r="E107" s="573"/>
      <c r="F107" s="573"/>
      <c r="G107" s="822"/>
      <c r="H107" s="595" t="s">
        <v>231</v>
      </c>
      <c r="I107" s="745"/>
      <c r="J107" s="745"/>
      <c r="K107" s="745"/>
      <c r="L107" s="745"/>
      <c r="M107" s="745"/>
      <c r="N107" s="745"/>
      <c r="O107" s="745"/>
      <c r="P107" s="572"/>
      <c r="Q107" s="823"/>
    </row>
    <row r="108" spans="1:17" ht="18" customHeight="1">
      <c r="A108" s="588">
        <v>100</v>
      </c>
      <c r="B108" s="612"/>
      <c r="C108" s="751"/>
      <c r="D108" s="851" t="s">
        <v>704</v>
      </c>
      <c r="E108" s="603">
        <f>F108+G108+P110</f>
        <v>438798</v>
      </c>
      <c r="F108" s="619"/>
      <c r="G108" s="727">
        <v>240205</v>
      </c>
      <c r="H108" s="754"/>
      <c r="I108" s="630"/>
      <c r="J108" s="630"/>
      <c r="K108" s="630"/>
      <c r="L108" s="630"/>
      <c r="M108" s="630"/>
      <c r="N108" s="630"/>
      <c r="O108" s="630"/>
      <c r="P108" s="563"/>
      <c r="Q108" s="755"/>
    </row>
    <row r="109" spans="1:17" ht="18" customHeight="1">
      <c r="A109" s="588">
        <v>101</v>
      </c>
      <c r="B109" s="612"/>
      <c r="C109" s="759"/>
      <c r="D109" s="760" t="s">
        <v>198</v>
      </c>
      <c r="E109" s="761"/>
      <c r="F109" s="761"/>
      <c r="G109" s="762"/>
      <c r="H109" s="763"/>
      <c r="I109" s="828"/>
      <c r="J109" s="828"/>
      <c r="K109" s="720">
        <v>5893</v>
      </c>
      <c r="L109" s="720"/>
      <c r="M109" s="720">
        <v>192700</v>
      </c>
      <c r="N109" s="828"/>
      <c r="O109" s="828"/>
      <c r="P109" s="643">
        <f>SUM(I109:O109)</f>
        <v>198593</v>
      </c>
      <c r="Q109" s="764"/>
    </row>
    <row r="110" spans="1:17" ht="18" customHeight="1">
      <c r="A110" s="588">
        <v>102</v>
      </c>
      <c r="B110" s="612"/>
      <c r="C110" s="759"/>
      <c r="D110" s="570" t="s">
        <v>765</v>
      </c>
      <c r="E110" s="761"/>
      <c r="F110" s="761"/>
      <c r="G110" s="762"/>
      <c r="H110" s="763"/>
      <c r="I110" s="828"/>
      <c r="J110" s="828"/>
      <c r="K110" s="795">
        <v>5893</v>
      </c>
      <c r="L110" s="795"/>
      <c r="M110" s="795">
        <v>192700</v>
      </c>
      <c r="N110" s="828"/>
      <c r="O110" s="828"/>
      <c r="P110" s="569">
        <f>SUM(I110:O110)</f>
        <v>198593</v>
      </c>
      <c r="Q110" s="764"/>
    </row>
    <row r="111" spans="1:17" ht="18" customHeight="1" thickBot="1">
      <c r="A111" s="588">
        <v>103</v>
      </c>
      <c r="B111" s="612"/>
      <c r="C111" s="800"/>
      <c r="D111" s="1344" t="s">
        <v>1022</v>
      </c>
      <c r="E111" s="784"/>
      <c r="F111" s="784"/>
      <c r="G111" s="785"/>
      <c r="H111" s="786"/>
      <c r="I111" s="841"/>
      <c r="J111" s="841"/>
      <c r="K111" s="1340">
        <v>5893</v>
      </c>
      <c r="L111" s="1340"/>
      <c r="M111" s="1340">
        <v>192701</v>
      </c>
      <c r="N111" s="841"/>
      <c r="O111" s="841"/>
      <c r="P111" s="1329">
        <f>SUM(J111:O111)</f>
        <v>198594</v>
      </c>
      <c r="Q111" s="821"/>
    </row>
    <row r="112" spans="1:17" ht="24.75" customHeight="1" thickTop="1">
      <c r="A112" s="588">
        <v>104</v>
      </c>
      <c r="B112" s="612"/>
      <c r="C112" s="809">
        <v>50</v>
      </c>
      <c r="D112" s="743" t="s">
        <v>244</v>
      </c>
      <c r="E112" s="573"/>
      <c r="F112" s="573"/>
      <c r="G112" s="822"/>
      <c r="H112" s="595" t="s">
        <v>231</v>
      </c>
      <c r="I112" s="745"/>
      <c r="J112" s="745"/>
      <c r="K112" s="745"/>
      <c r="L112" s="745"/>
      <c r="M112" s="745"/>
      <c r="N112" s="745"/>
      <c r="O112" s="745"/>
      <c r="P112" s="572"/>
      <c r="Q112" s="823"/>
    </row>
    <row r="113" spans="1:17" ht="18" customHeight="1">
      <c r="A113" s="588">
        <v>105</v>
      </c>
      <c r="B113" s="612"/>
      <c r="C113" s="751"/>
      <c r="D113" s="851" t="s">
        <v>705</v>
      </c>
      <c r="E113" s="603">
        <f>F113+G113+P115+30</f>
        <v>117267</v>
      </c>
      <c r="F113" s="619"/>
      <c r="G113" s="727">
        <v>100759</v>
      </c>
      <c r="H113" s="754"/>
      <c r="I113" s="630"/>
      <c r="J113" s="630"/>
      <c r="K113" s="630"/>
      <c r="L113" s="630"/>
      <c r="M113" s="630"/>
      <c r="N113" s="630"/>
      <c r="O113" s="630"/>
      <c r="P113" s="563"/>
      <c r="Q113" s="755"/>
    </row>
    <row r="114" spans="1:17" ht="18" customHeight="1">
      <c r="A114" s="588">
        <v>106</v>
      </c>
      <c r="B114" s="612"/>
      <c r="C114" s="759"/>
      <c r="D114" s="760" t="s">
        <v>198</v>
      </c>
      <c r="E114" s="761"/>
      <c r="F114" s="761"/>
      <c r="G114" s="762"/>
      <c r="H114" s="763"/>
      <c r="I114" s="794">
        <v>1331</v>
      </c>
      <c r="J114" s="795"/>
      <c r="K114" s="794">
        <v>15117</v>
      </c>
      <c r="L114" s="836"/>
      <c r="M114" s="794"/>
      <c r="N114" s="828"/>
      <c r="O114" s="828"/>
      <c r="P114" s="796">
        <f>SUM(I114:O114)</f>
        <v>16448</v>
      </c>
      <c r="Q114" s="764"/>
    </row>
    <row r="115" spans="1:17" ht="18" customHeight="1">
      <c r="A115" s="588">
        <v>107</v>
      </c>
      <c r="B115" s="808"/>
      <c r="C115" s="759"/>
      <c r="D115" s="570" t="s">
        <v>765</v>
      </c>
      <c r="E115" s="761"/>
      <c r="F115" s="761"/>
      <c r="G115" s="762"/>
      <c r="H115" s="763"/>
      <c r="I115" s="795"/>
      <c r="J115" s="795"/>
      <c r="K115" s="795">
        <v>15646</v>
      </c>
      <c r="L115" s="795">
        <v>832</v>
      </c>
      <c r="M115" s="795"/>
      <c r="N115" s="828"/>
      <c r="O115" s="828"/>
      <c r="P115" s="569">
        <f>SUM(I115:O115)</f>
        <v>16478</v>
      </c>
      <c r="Q115" s="764"/>
    </row>
    <row r="116" spans="1:17" ht="18" customHeight="1" thickBot="1">
      <c r="A116" s="588">
        <v>108</v>
      </c>
      <c r="B116" s="808"/>
      <c r="C116" s="783"/>
      <c r="D116" s="1344" t="s">
        <v>1021</v>
      </c>
      <c r="E116" s="784"/>
      <c r="F116" s="784"/>
      <c r="G116" s="785"/>
      <c r="H116" s="786"/>
      <c r="I116" s="1339"/>
      <c r="J116" s="1339"/>
      <c r="K116" s="1339">
        <v>15646</v>
      </c>
      <c r="L116" s="1339">
        <v>831</v>
      </c>
      <c r="M116" s="1348"/>
      <c r="N116" s="787"/>
      <c r="O116" s="787"/>
      <c r="P116" s="1329">
        <f>SUM(I116:O116)</f>
        <v>16477</v>
      </c>
      <c r="Q116" s="821"/>
    </row>
    <row r="117" spans="1:17" ht="24.75" customHeight="1" thickTop="1">
      <c r="A117" s="588">
        <v>109</v>
      </c>
      <c r="B117" s="808"/>
      <c r="C117" s="809">
        <v>52</v>
      </c>
      <c r="D117" s="743" t="s">
        <v>706</v>
      </c>
      <c r="E117" s="573"/>
      <c r="F117" s="573"/>
      <c r="G117" s="822"/>
      <c r="H117" s="595" t="s">
        <v>231</v>
      </c>
      <c r="I117" s="852"/>
      <c r="J117" s="852"/>
      <c r="K117" s="852"/>
      <c r="L117" s="745"/>
      <c r="M117" s="852"/>
      <c r="N117" s="745"/>
      <c r="O117" s="745"/>
      <c r="P117" s="572"/>
      <c r="Q117" s="823"/>
    </row>
    <row r="118" spans="1:17" ht="35.25" customHeight="1">
      <c r="A118" s="588">
        <v>110</v>
      </c>
      <c r="B118" s="808"/>
      <c r="C118" s="809"/>
      <c r="D118" s="824" t="s">
        <v>707</v>
      </c>
      <c r="E118" s="603">
        <f>F118+G118+P120</f>
        <v>57768</v>
      </c>
      <c r="F118" s="573"/>
      <c r="G118" s="853">
        <v>57539</v>
      </c>
      <c r="H118" s="834"/>
      <c r="I118" s="852"/>
      <c r="J118" s="852"/>
      <c r="K118" s="852"/>
      <c r="L118" s="745"/>
      <c r="M118" s="852"/>
      <c r="N118" s="745"/>
      <c r="O118" s="745"/>
      <c r="P118" s="572"/>
      <c r="Q118" s="823"/>
    </row>
    <row r="119" spans="1:17" ht="18" customHeight="1">
      <c r="A119" s="588">
        <v>111</v>
      </c>
      <c r="B119" s="808"/>
      <c r="C119" s="759"/>
      <c r="D119" s="760" t="s">
        <v>198</v>
      </c>
      <c r="E119" s="761"/>
      <c r="F119" s="761"/>
      <c r="G119" s="762"/>
      <c r="H119" s="763"/>
      <c r="I119" s="795"/>
      <c r="J119" s="795"/>
      <c r="K119" s="794">
        <v>229</v>
      </c>
      <c r="L119" s="836"/>
      <c r="M119" s="794"/>
      <c r="N119" s="828"/>
      <c r="O119" s="828"/>
      <c r="P119" s="796">
        <f>SUM(I119:O119)</f>
        <v>229</v>
      </c>
      <c r="Q119" s="764"/>
    </row>
    <row r="120" spans="1:17" ht="18" customHeight="1">
      <c r="A120" s="588">
        <v>112</v>
      </c>
      <c r="B120" s="808"/>
      <c r="C120" s="759"/>
      <c r="D120" s="570" t="s">
        <v>765</v>
      </c>
      <c r="E120" s="761"/>
      <c r="F120" s="761"/>
      <c r="G120" s="762"/>
      <c r="H120" s="763"/>
      <c r="I120" s="795"/>
      <c r="J120" s="795"/>
      <c r="K120" s="795">
        <v>229</v>
      </c>
      <c r="L120" s="828"/>
      <c r="M120" s="795"/>
      <c r="N120" s="828"/>
      <c r="O120" s="828"/>
      <c r="P120" s="569">
        <f>SUM(I120:O120)</f>
        <v>229</v>
      </c>
      <c r="Q120" s="764"/>
    </row>
    <row r="121" spans="1:17" ht="18" customHeight="1" thickBot="1">
      <c r="A121" s="588">
        <v>113</v>
      </c>
      <c r="B121" s="808"/>
      <c r="C121" s="800"/>
      <c r="D121" s="1338" t="s">
        <v>1022</v>
      </c>
      <c r="E121" s="784"/>
      <c r="F121" s="784"/>
      <c r="G121" s="785"/>
      <c r="H121" s="786"/>
      <c r="I121" s="806"/>
      <c r="J121" s="806"/>
      <c r="K121" s="1340">
        <v>229</v>
      </c>
      <c r="L121" s="820"/>
      <c r="M121" s="805"/>
      <c r="N121" s="841"/>
      <c r="O121" s="841"/>
      <c r="P121" s="1329">
        <f>SUM(J121:O121)</f>
        <v>229</v>
      </c>
      <c r="Q121" s="821"/>
    </row>
    <row r="122" spans="1:17" ht="24.75" customHeight="1" thickTop="1">
      <c r="A122" s="588">
        <v>114</v>
      </c>
      <c r="B122" s="808"/>
      <c r="C122" s="809">
        <v>53</v>
      </c>
      <c r="D122" s="743" t="s">
        <v>281</v>
      </c>
      <c r="E122" s="573"/>
      <c r="F122" s="573"/>
      <c r="G122" s="822"/>
      <c r="H122" s="595" t="s">
        <v>231</v>
      </c>
      <c r="I122" s="852"/>
      <c r="J122" s="852"/>
      <c r="K122" s="852"/>
      <c r="L122" s="745"/>
      <c r="M122" s="852"/>
      <c r="N122" s="745"/>
      <c r="O122" s="745"/>
      <c r="P122" s="572"/>
      <c r="Q122" s="823"/>
    </row>
    <row r="123" spans="1:17" ht="18" customHeight="1">
      <c r="A123" s="588">
        <v>115</v>
      </c>
      <c r="B123" s="808"/>
      <c r="C123" s="809"/>
      <c r="D123" s="824" t="s">
        <v>708</v>
      </c>
      <c r="E123" s="603">
        <f>F123+G123+P125</f>
        <v>43438</v>
      </c>
      <c r="F123" s="573"/>
      <c r="G123" s="833">
        <v>42357</v>
      </c>
      <c r="H123" s="834"/>
      <c r="I123" s="852"/>
      <c r="J123" s="852"/>
      <c r="K123" s="852"/>
      <c r="L123" s="745"/>
      <c r="M123" s="852"/>
      <c r="N123" s="745"/>
      <c r="O123" s="745"/>
      <c r="P123" s="572"/>
      <c r="Q123" s="823"/>
    </row>
    <row r="124" spans="1:17" ht="18" customHeight="1">
      <c r="A124" s="588">
        <v>116</v>
      </c>
      <c r="B124" s="808"/>
      <c r="C124" s="751"/>
      <c r="D124" s="752" t="s">
        <v>198</v>
      </c>
      <c r="E124" s="619"/>
      <c r="F124" s="619"/>
      <c r="G124" s="758"/>
      <c r="H124" s="754"/>
      <c r="I124" s="714"/>
      <c r="J124" s="714"/>
      <c r="K124" s="799">
        <v>229</v>
      </c>
      <c r="L124" s="818"/>
      <c r="M124" s="799">
        <v>838</v>
      </c>
      <c r="N124" s="630"/>
      <c r="O124" s="799">
        <v>14</v>
      </c>
      <c r="P124" s="781">
        <f>SUM(I124:O124)</f>
        <v>1081</v>
      </c>
      <c r="Q124" s="755"/>
    </row>
    <row r="125" spans="1:17" ht="18" customHeight="1">
      <c r="A125" s="588">
        <v>117</v>
      </c>
      <c r="B125" s="808"/>
      <c r="C125" s="751"/>
      <c r="D125" s="570" t="s">
        <v>765</v>
      </c>
      <c r="E125" s="619"/>
      <c r="F125" s="619"/>
      <c r="G125" s="758"/>
      <c r="H125" s="754"/>
      <c r="I125" s="714"/>
      <c r="J125" s="714"/>
      <c r="K125" s="714">
        <v>229</v>
      </c>
      <c r="L125" s="630"/>
      <c r="M125" s="714">
        <v>838</v>
      </c>
      <c r="N125" s="630"/>
      <c r="O125" s="714">
        <v>14</v>
      </c>
      <c r="P125" s="563">
        <f>SUM(I125:O125)</f>
        <v>1081</v>
      </c>
      <c r="Q125" s="755"/>
    </row>
    <row r="126" spans="1:17" ht="18" customHeight="1" thickBot="1">
      <c r="A126" s="588">
        <v>118</v>
      </c>
      <c r="B126" s="808"/>
      <c r="C126" s="800"/>
      <c r="D126" s="1338" t="s">
        <v>1022</v>
      </c>
      <c r="E126" s="784"/>
      <c r="F126" s="784"/>
      <c r="G126" s="785"/>
      <c r="H126" s="786"/>
      <c r="I126" s="806"/>
      <c r="J126" s="806"/>
      <c r="K126" s="1340">
        <v>229</v>
      </c>
      <c r="L126" s="1347"/>
      <c r="M126" s="1340">
        <v>838</v>
      </c>
      <c r="N126" s="1347"/>
      <c r="O126" s="1340">
        <v>14</v>
      </c>
      <c r="P126" s="1329">
        <f>SUM(J126:O126)</f>
        <v>1081</v>
      </c>
      <c r="Q126" s="821"/>
    </row>
    <row r="127" spans="1:17" ht="24.75" customHeight="1" thickTop="1">
      <c r="A127" s="588">
        <v>119</v>
      </c>
      <c r="B127" s="612"/>
      <c r="C127" s="809">
        <v>54</v>
      </c>
      <c r="D127" s="743" t="s">
        <v>243</v>
      </c>
      <c r="E127" s="573"/>
      <c r="F127" s="573"/>
      <c r="G127" s="822"/>
      <c r="H127" s="595" t="s">
        <v>231</v>
      </c>
      <c r="I127" s="852"/>
      <c r="J127" s="852"/>
      <c r="K127" s="852"/>
      <c r="L127" s="745"/>
      <c r="M127" s="852"/>
      <c r="N127" s="745"/>
      <c r="O127" s="745"/>
      <c r="P127" s="572"/>
      <c r="Q127" s="823"/>
    </row>
    <row r="128" spans="1:17" ht="18" customHeight="1">
      <c r="A128" s="588">
        <v>120</v>
      </c>
      <c r="B128" s="612"/>
      <c r="C128" s="809"/>
      <c r="D128" s="824" t="s">
        <v>709</v>
      </c>
      <c r="E128" s="603">
        <f>F128+G128+P130</f>
        <v>39841</v>
      </c>
      <c r="F128" s="573"/>
      <c r="G128" s="833">
        <v>37548</v>
      </c>
      <c r="H128" s="834"/>
      <c r="I128" s="852"/>
      <c r="J128" s="852"/>
      <c r="K128" s="852"/>
      <c r="L128" s="745"/>
      <c r="M128" s="852"/>
      <c r="N128" s="745"/>
      <c r="O128" s="745"/>
      <c r="P128" s="572"/>
      <c r="Q128" s="823"/>
    </row>
    <row r="129" spans="1:17" ht="18" customHeight="1">
      <c r="A129" s="588">
        <v>121</v>
      </c>
      <c r="B129" s="612"/>
      <c r="C129" s="759"/>
      <c r="D129" s="760" t="s">
        <v>198</v>
      </c>
      <c r="E129" s="761"/>
      <c r="F129" s="761"/>
      <c r="G129" s="762"/>
      <c r="H129" s="763"/>
      <c r="I129" s="795"/>
      <c r="J129" s="795"/>
      <c r="K129" s="794">
        <v>356</v>
      </c>
      <c r="L129" s="836"/>
      <c r="M129" s="794">
        <v>1916</v>
      </c>
      <c r="N129" s="828"/>
      <c r="O129" s="828"/>
      <c r="P129" s="796">
        <f>SUM(I129:O129)</f>
        <v>2272</v>
      </c>
      <c r="Q129" s="764"/>
    </row>
    <row r="130" spans="1:17" ht="18" customHeight="1">
      <c r="A130" s="588">
        <v>122</v>
      </c>
      <c r="B130" s="612"/>
      <c r="C130" s="759"/>
      <c r="D130" s="570" t="s">
        <v>765</v>
      </c>
      <c r="E130" s="761"/>
      <c r="F130" s="761"/>
      <c r="G130" s="762"/>
      <c r="H130" s="763"/>
      <c r="I130" s="795"/>
      <c r="J130" s="795"/>
      <c r="K130" s="795">
        <v>356</v>
      </c>
      <c r="L130" s="795">
        <v>21</v>
      </c>
      <c r="M130" s="795">
        <v>1904</v>
      </c>
      <c r="N130" s="795"/>
      <c r="O130" s="795">
        <v>12</v>
      </c>
      <c r="P130" s="569">
        <f>SUM(I130:O130)</f>
        <v>2293</v>
      </c>
      <c r="Q130" s="764"/>
    </row>
    <row r="131" spans="1:17" ht="18" customHeight="1" thickBot="1">
      <c r="A131" s="588">
        <v>123</v>
      </c>
      <c r="B131" s="612"/>
      <c r="C131" s="800"/>
      <c r="D131" s="1338" t="s">
        <v>1022</v>
      </c>
      <c r="E131" s="784"/>
      <c r="F131" s="784"/>
      <c r="G131" s="785"/>
      <c r="H131" s="786"/>
      <c r="I131" s="1340"/>
      <c r="J131" s="1340"/>
      <c r="K131" s="1340">
        <v>356</v>
      </c>
      <c r="L131" s="1340">
        <v>22</v>
      </c>
      <c r="M131" s="1340">
        <v>1904</v>
      </c>
      <c r="N131" s="1340"/>
      <c r="O131" s="1340">
        <v>12</v>
      </c>
      <c r="P131" s="1329">
        <f>SUM(J131:O131)</f>
        <v>2294</v>
      </c>
      <c r="Q131" s="821"/>
    </row>
    <row r="132" spans="1:17" ht="24.75" customHeight="1" thickTop="1">
      <c r="A132" s="588">
        <v>124</v>
      </c>
      <c r="B132" s="612"/>
      <c r="C132" s="809">
        <v>55</v>
      </c>
      <c r="D132" s="743" t="s">
        <v>710</v>
      </c>
      <c r="E132" s="573"/>
      <c r="F132" s="573"/>
      <c r="G132" s="822"/>
      <c r="H132" s="595" t="s">
        <v>231</v>
      </c>
      <c r="I132" s="852"/>
      <c r="J132" s="852"/>
      <c r="K132" s="852"/>
      <c r="L132" s="745"/>
      <c r="M132" s="852"/>
      <c r="N132" s="745"/>
      <c r="O132" s="745"/>
      <c r="P132" s="572"/>
      <c r="Q132" s="823"/>
    </row>
    <row r="133" spans="1:17" ht="18" customHeight="1">
      <c r="A133" s="588">
        <v>125</v>
      </c>
      <c r="B133" s="612"/>
      <c r="C133" s="751"/>
      <c r="D133" s="824" t="s">
        <v>711</v>
      </c>
      <c r="E133" s="603">
        <f>F133+G133+P135</f>
        <v>29947</v>
      </c>
      <c r="F133" s="619"/>
      <c r="G133" s="758"/>
      <c r="H133" s="754"/>
      <c r="I133" s="714"/>
      <c r="J133" s="714"/>
      <c r="K133" s="714"/>
      <c r="L133" s="630"/>
      <c r="M133" s="714"/>
      <c r="N133" s="630"/>
      <c r="O133" s="630"/>
      <c r="P133" s="563"/>
      <c r="Q133" s="755"/>
    </row>
    <row r="134" spans="1:17" ht="18" customHeight="1">
      <c r="A134" s="588">
        <v>126</v>
      </c>
      <c r="B134" s="612"/>
      <c r="C134" s="759"/>
      <c r="D134" s="760" t="s">
        <v>198</v>
      </c>
      <c r="E134" s="761"/>
      <c r="F134" s="761"/>
      <c r="G134" s="762"/>
      <c r="H134" s="763"/>
      <c r="I134" s="794"/>
      <c r="J134" s="794"/>
      <c r="K134" s="794">
        <v>1753</v>
      </c>
      <c r="L134" s="836"/>
      <c r="M134" s="794">
        <v>28194</v>
      </c>
      <c r="N134" s="836"/>
      <c r="O134" s="836"/>
      <c r="P134" s="796">
        <f>SUM(I134:O134)</f>
        <v>29947</v>
      </c>
      <c r="Q134" s="764"/>
    </row>
    <row r="135" spans="1:17" ht="18" customHeight="1">
      <c r="A135" s="588">
        <v>127</v>
      </c>
      <c r="B135" s="612"/>
      <c r="C135" s="759"/>
      <c r="D135" s="570" t="s">
        <v>765</v>
      </c>
      <c r="E135" s="761"/>
      <c r="F135" s="761"/>
      <c r="G135" s="762"/>
      <c r="H135" s="763"/>
      <c r="I135" s="795"/>
      <c r="J135" s="795"/>
      <c r="K135" s="795">
        <v>0</v>
      </c>
      <c r="L135" s="795">
        <v>5182</v>
      </c>
      <c r="M135" s="795">
        <v>0</v>
      </c>
      <c r="N135" s="828"/>
      <c r="O135" s="795">
        <v>24765</v>
      </c>
      <c r="P135" s="569">
        <f>SUM(I135:O135)</f>
        <v>29947</v>
      </c>
      <c r="Q135" s="764"/>
    </row>
    <row r="136" spans="1:17" ht="18" customHeight="1" thickBot="1">
      <c r="A136" s="588">
        <v>128</v>
      </c>
      <c r="B136" s="612"/>
      <c r="C136" s="800"/>
      <c r="D136" s="1338" t="s">
        <v>1022</v>
      </c>
      <c r="E136" s="784"/>
      <c r="F136" s="784"/>
      <c r="G136" s="785"/>
      <c r="H136" s="786"/>
      <c r="I136" s="1340"/>
      <c r="J136" s="1340"/>
      <c r="K136" s="1340"/>
      <c r="L136" s="1340">
        <v>5182</v>
      </c>
      <c r="M136" s="1340"/>
      <c r="N136" s="1340"/>
      <c r="O136" s="1340">
        <v>24765</v>
      </c>
      <c r="P136" s="1329">
        <f>SUM(J136:O136)</f>
        <v>29947</v>
      </c>
      <c r="Q136" s="821"/>
    </row>
    <row r="137" spans="1:17" ht="24.75" customHeight="1" thickTop="1">
      <c r="A137" s="588">
        <v>129</v>
      </c>
      <c r="B137" s="612"/>
      <c r="C137" s="809">
        <v>57</v>
      </c>
      <c r="D137" s="743" t="s">
        <v>712</v>
      </c>
      <c r="E137" s="573"/>
      <c r="F137" s="573"/>
      <c r="G137" s="822"/>
      <c r="H137" s="595" t="s">
        <v>231</v>
      </c>
      <c r="I137" s="852"/>
      <c r="J137" s="852"/>
      <c r="K137" s="852"/>
      <c r="L137" s="745"/>
      <c r="M137" s="852"/>
      <c r="N137" s="745"/>
      <c r="O137" s="745"/>
      <c r="P137" s="572"/>
      <c r="Q137" s="823"/>
    </row>
    <row r="138" spans="1:17" ht="18" customHeight="1">
      <c r="A138" s="588">
        <v>130</v>
      </c>
      <c r="B138" s="612"/>
      <c r="C138" s="751"/>
      <c r="D138" s="851" t="s">
        <v>713</v>
      </c>
      <c r="E138" s="603">
        <f>F138+G138+P140</f>
        <v>4501</v>
      </c>
      <c r="F138" s="619"/>
      <c r="G138" s="727">
        <v>4259</v>
      </c>
      <c r="H138" s="754"/>
      <c r="I138" s="714"/>
      <c r="J138" s="714"/>
      <c r="K138" s="714"/>
      <c r="L138" s="630"/>
      <c r="M138" s="714"/>
      <c r="N138" s="630"/>
      <c r="O138" s="630"/>
      <c r="P138" s="563"/>
      <c r="Q138" s="755"/>
    </row>
    <row r="139" spans="1:17" ht="18" customHeight="1">
      <c r="A139" s="588">
        <v>131</v>
      </c>
      <c r="B139" s="612"/>
      <c r="C139" s="751"/>
      <c r="D139" s="752" t="s">
        <v>198</v>
      </c>
      <c r="E139" s="619"/>
      <c r="F139" s="619"/>
      <c r="G139" s="758"/>
      <c r="H139" s="754"/>
      <c r="I139" s="714"/>
      <c r="J139" s="714"/>
      <c r="K139" s="799">
        <v>229</v>
      </c>
      <c r="L139" s="799">
        <v>13</v>
      </c>
      <c r="M139" s="799"/>
      <c r="N139" s="630"/>
      <c r="O139" s="630"/>
      <c r="P139" s="781">
        <f>SUM(I139:O139)</f>
        <v>242</v>
      </c>
      <c r="Q139" s="755"/>
    </row>
    <row r="140" spans="1:17" ht="18" customHeight="1">
      <c r="A140" s="588">
        <v>132</v>
      </c>
      <c r="B140" s="612"/>
      <c r="C140" s="751"/>
      <c r="D140" s="570" t="s">
        <v>765</v>
      </c>
      <c r="E140" s="619"/>
      <c r="F140" s="619"/>
      <c r="G140" s="758"/>
      <c r="H140" s="754"/>
      <c r="I140" s="714"/>
      <c r="J140" s="714"/>
      <c r="K140" s="714">
        <v>229</v>
      </c>
      <c r="L140" s="714">
        <v>13</v>
      </c>
      <c r="M140" s="714"/>
      <c r="N140" s="630"/>
      <c r="O140" s="630"/>
      <c r="P140" s="563">
        <f>SUM(I140:O140)</f>
        <v>242</v>
      </c>
      <c r="Q140" s="755"/>
    </row>
    <row r="141" spans="1:17" ht="18" customHeight="1" thickBot="1">
      <c r="A141" s="588">
        <v>133</v>
      </c>
      <c r="B141" s="612"/>
      <c r="C141" s="800"/>
      <c r="D141" s="1338" t="s">
        <v>1022</v>
      </c>
      <c r="E141" s="784"/>
      <c r="F141" s="784"/>
      <c r="G141" s="785"/>
      <c r="H141" s="786"/>
      <c r="I141" s="806"/>
      <c r="J141" s="806"/>
      <c r="K141" s="1340">
        <v>229</v>
      </c>
      <c r="L141" s="1340">
        <v>13</v>
      </c>
      <c r="M141" s="805"/>
      <c r="N141" s="841"/>
      <c r="O141" s="841"/>
      <c r="P141" s="1329">
        <f>SUM(J141:O141)</f>
        <v>242</v>
      </c>
      <c r="Q141" s="821"/>
    </row>
    <row r="142" spans="1:17" ht="24.75" customHeight="1" thickTop="1">
      <c r="A142" s="588">
        <v>134</v>
      </c>
      <c r="B142" s="612"/>
      <c r="C142" s="809">
        <v>58</v>
      </c>
      <c r="D142" s="743" t="s">
        <v>684</v>
      </c>
      <c r="E142" s="573"/>
      <c r="F142" s="573"/>
      <c r="G142" s="822"/>
      <c r="H142" s="595" t="s">
        <v>231</v>
      </c>
      <c r="I142" s="852"/>
      <c r="J142" s="852"/>
      <c r="K142" s="852"/>
      <c r="L142" s="745"/>
      <c r="M142" s="852"/>
      <c r="N142" s="745"/>
      <c r="O142" s="745"/>
      <c r="P142" s="572"/>
      <c r="Q142" s="823"/>
    </row>
    <row r="143" spans="1:17" ht="18" customHeight="1">
      <c r="A143" s="588">
        <v>135</v>
      </c>
      <c r="B143" s="612"/>
      <c r="C143" s="751"/>
      <c r="D143" s="824" t="s">
        <v>714</v>
      </c>
      <c r="E143" s="603">
        <f>F143+G143+P145</f>
        <v>233547</v>
      </c>
      <c r="F143" s="619"/>
      <c r="G143" s="727">
        <v>160770</v>
      </c>
      <c r="H143" s="754"/>
      <c r="I143" s="714"/>
      <c r="J143" s="714"/>
      <c r="K143" s="714"/>
      <c r="L143" s="630"/>
      <c r="M143" s="714"/>
      <c r="N143" s="630"/>
      <c r="O143" s="630"/>
      <c r="P143" s="563"/>
      <c r="Q143" s="755"/>
    </row>
    <row r="144" spans="1:17" ht="18" customHeight="1">
      <c r="A144" s="588">
        <v>136</v>
      </c>
      <c r="B144" s="612"/>
      <c r="C144" s="759"/>
      <c r="D144" s="760" t="s">
        <v>198</v>
      </c>
      <c r="E144" s="761"/>
      <c r="F144" s="761"/>
      <c r="G144" s="762"/>
      <c r="H144" s="763"/>
      <c r="I144" s="794"/>
      <c r="J144" s="794"/>
      <c r="K144" s="794">
        <v>5601</v>
      </c>
      <c r="L144" s="836"/>
      <c r="M144" s="794">
        <v>67176</v>
      </c>
      <c r="N144" s="836"/>
      <c r="O144" s="836"/>
      <c r="P144" s="796">
        <f>SUM(I144:O144)</f>
        <v>72777</v>
      </c>
      <c r="Q144" s="764"/>
    </row>
    <row r="145" spans="1:17" ht="18" customHeight="1">
      <c r="A145" s="588">
        <v>137</v>
      </c>
      <c r="B145" s="612"/>
      <c r="C145" s="759"/>
      <c r="D145" s="570" t="s">
        <v>765</v>
      </c>
      <c r="E145" s="761"/>
      <c r="F145" s="761"/>
      <c r="G145" s="762"/>
      <c r="H145" s="763"/>
      <c r="I145" s="795"/>
      <c r="J145" s="795"/>
      <c r="K145" s="795">
        <v>5601</v>
      </c>
      <c r="L145" s="828"/>
      <c r="M145" s="795">
        <v>67141</v>
      </c>
      <c r="N145" s="828"/>
      <c r="O145" s="795">
        <v>35</v>
      </c>
      <c r="P145" s="569">
        <f>SUM(I145:O145)</f>
        <v>72777</v>
      </c>
      <c r="Q145" s="764"/>
    </row>
    <row r="146" spans="1:17" ht="18" customHeight="1" thickBot="1">
      <c r="A146" s="588">
        <v>138</v>
      </c>
      <c r="B146" s="612"/>
      <c r="C146" s="800"/>
      <c r="D146" s="1338" t="s">
        <v>1021</v>
      </c>
      <c r="E146" s="784"/>
      <c r="F146" s="784"/>
      <c r="G146" s="785"/>
      <c r="H146" s="786"/>
      <c r="I146" s="1340"/>
      <c r="J146" s="1340"/>
      <c r="K146" s="1340">
        <v>5601</v>
      </c>
      <c r="L146" s="1340"/>
      <c r="M146" s="1340">
        <v>67141</v>
      </c>
      <c r="N146" s="1340"/>
      <c r="O146" s="1340">
        <v>34</v>
      </c>
      <c r="P146" s="1329">
        <f>SUM(J146:O146)</f>
        <v>72776</v>
      </c>
      <c r="Q146" s="821"/>
    </row>
    <row r="147" spans="1:17" ht="24.75" customHeight="1" thickTop="1">
      <c r="A147" s="588">
        <v>139</v>
      </c>
      <c r="B147" s="612"/>
      <c r="C147" s="809">
        <v>59</v>
      </c>
      <c r="D147" s="743" t="s">
        <v>246</v>
      </c>
      <c r="E147" s="573"/>
      <c r="F147" s="573"/>
      <c r="G147" s="822"/>
      <c r="H147" s="595" t="s">
        <v>231</v>
      </c>
      <c r="I147" s="852"/>
      <c r="J147" s="852"/>
      <c r="K147" s="852"/>
      <c r="L147" s="745"/>
      <c r="M147" s="852"/>
      <c r="N147" s="745"/>
      <c r="O147" s="745"/>
      <c r="P147" s="572"/>
      <c r="Q147" s="823"/>
    </row>
    <row r="148" spans="1:17" ht="18" customHeight="1">
      <c r="A148" s="588">
        <v>140</v>
      </c>
      <c r="B148" s="612"/>
      <c r="C148" s="751"/>
      <c r="D148" s="854" t="s">
        <v>715</v>
      </c>
      <c r="E148" s="603">
        <f>F148+G148+P150+658+300</f>
        <v>740440</v>
      </c>
      <c r="F148" s="619"/>
      <c r="G148" s="727">
        <v>317290</v>
      </c>
      <c r="H148" s="754"/>
      <c r="I148" s="714"/>
      <c r="J148" s="714"/>
      <c r="K148" s="714"/>
      <c r="L148" s="630"/>
      <c r="M148" s="714"/>
      <c r="N148" s="630"/>
      <c r="O148" s="630"/>
      <c r="P148" s="563"/>
      <c r="Q148" s="755"/>
    </row>
    <row r="149" spans="1:17" ht="18" customHeight="1">
      <c r="A149" s="588">
        <v>141</v>
      </c>
      <c r="B149" s="612"/>
      <c r="C149" s="751"/>
      <c r="D149" s="752" t="s">
        <v>198</v>
      </c>
      <c r="E149" s="619"/>
      <c r="F149" s="619"/>
      <c r="G149" s="758"/>
      <c r="H149" s="754"/>
      <c r="I149" s="714"/>
      <c r="J149" s="714"/>
      <c r="K149" s="799">
        <v>29185</v>
      </c>
      <c r="L149" s="818"/>
      <c r="M149" s="799">
        <v>393007</v>
      </c>
      <c r="N149" s="630"/>
      <c r="O149" s="630"/>
      <c r="P149" s="781">
        <f>SUM(I149:O149)</f>
        <v>422192</v>
      </c>
      <c r="Q149" s="755"/>
    </row>
    <row r="150" spans="1:17" ht="18" customHeight="1">
      <c r="A150" s="588">
        <v>142</v>
      </c>
      <c r="B150" s="782"/>
      <c r="C150" s="751"/>
      <c r="D150" s="570" t="s">
        <v>765</v>
      </c>
      <c r="E150" s="619"/>
      <c r="F150" s="619"/>
      <c r="G150" s="758"/>
      <c r="H150" s="754"/>
      <c r="I150" s="714"/>
      <c r="J150" s="714"/>
      <c r="K150" s="714">
        <v>29185</v>
      </c>
      <c r="L150" s="630"/>
      <c r="M150" s="714">
        <v>393007</v>
      </c>
      <c r="N150" s="630"/>
      <c r="O150" s="630"/>
      <c r="P150" s="563">
        <f>SUM(I150:O150)</f>
        <v>422192</v>
      </c>
      <c r="Q150" s="755"/>
    </row>
    <row r="151" spans="1:17" ht="18" customHeight="1" thickBot="1">
      <c r="A151" s="588">
        <v>143</v>
      </c>
      <c r="B151" s="782"/>
      <c r="C151" s="751"/>
      <c r="D151" s="1338" t="s">
        <v>1022</v>
      </c>
      <c r="E151" s="619"/>
      <c r="F151" s="619"/>
      <c r="G151" s="758"/>
      <c r="H151" s="855"/>
      <c r="I151" s="714"/>
      <c r="J151" s="714"/>
      <c r="K151" s="722">
        <v>29185</v>
      </c>
      <c r="L151" s="710"/>
      <c r="M151" s="722">
        <v>393007</v>
      </c>
      <c r="N151" s="630"/>
      <c r="O151" s="630"/>
      <c r="P151" s="562">
        <f>SUM(J151:O151)</f>
        <v>422192</v>
      </c>
      <c r="Q151" s="755"/>
    </row>
    <row r="152" spans="1:17" ht="24.75" customHeight="1" thickTop="1">
      <c r="A152" s="588">
        <v>144</v>
      </c>
      <c r="B152" s="856"/>
      <c r="C152" s="857">
        <v>60</v>
      </c>
      <c r="D152" s="858" t="s">
        <v>716</v>
      </c>
      <c r="E152" s="859"/>
      <c r="F152" s="859"/>
      <c r="G152" s="860"/>
      <c r="H152" s="595" t="s">
        <v>231</v>
      </c>
      <c r="I152" s="859"/>
      <c r="J152" s="859"/>
      <c r="K152" s="859"/>
      <c r="L152" s="859"/>
      <c r="M152" s="859"/>
      <c r="N152" s="859"/>
      <c r="O152" s="859"/>
      <c r="P152" s="861"/>
      <c r="Q152" s="862"/>
    </row>
    <row r="153" spans="1:17" ht="18" customHeight="1">
      <c r="A153" s="588">
        <v>145</v>
      </c>
      <c r="B153" s="612"/>
      <c r="C153" s="559"/>
      <c r="D153" s="854" t="s">
        <v>717</v>
      </c>
      <c r="E153" s="603">
        <f>F153+G153+P155</f>
        <v>10805</v>
      </c>
      <c r="F153" s="619"/>
      <c r="G153" s="727">
        <v>10678</v>
      </c>
      <c r="H153" s="754"/>
      <c r="I153" s="714"/>
      <c r="J153" s="714"/>
      <c r="K153" s="799"/>
      <c r="L153" s="818"/>
      <c r="M153" s="799"/>
      <c r="N153" s="630"/>
      <c r="O153" s="630"/>
      <c r="P153" s="781"/>
      <c r="Q153" s="755"/>
    </row>
    <row r="154" spans="1:17" ht="18" customHeight="1">
      <c r="A154" s="588">
        <v>146</v>
      </c>
      <c r="B154" s="612"/>
      <c r="C154" s="751"/>
      <c r="D154" s="752" t="s">
        <v>198</v>
      </c>
      <c r="E154" s="619"/>
      <c r="F154" s="619"/>
      <c r="G154" s="758"/>
      <c r="H154" s="754"/>
      <c r="I154" s="714"/>
      <c r="J154" s="714"/>
      <c r="K154" s="799">
        <v>127</v>
      </c>
      <c r="L154" s="818"/>
      <c r="M154" s="799"/>
      <c r="N154" s="630"/>
      <c r="O154" s="630"/>
      <c r="P154" s="781">
        <f>SUM(I154:O154)</f>
        <v>127</v>
      </c>
      <c r="Q154" s="755"/>
    </row>
    <row r="155" spans="1:17" ht="18" customHeight="1">
      <c r="A155" s="588">
        <v>147</v>
      </c>
      <c r="B155" s="612"/>
      <c r="C155" s="751"/>
      <c r="D155" s="570" t="s">
        <v>765</v>
      </c>
      <c r="E155" s="619"/>
      <c r="F155" s="619"/>
      <c r="G155" s="758"/>
      <c r="H155" s="754"/>
      <c r="I155" s="714"/>
      <c r="J155" s="714"/>
      <c r="K155" s="714">
        <v>127</v>
      </c>
      <c r="L155" s="630"/>
      <c r="M155" s="714"/>
      <c r="N155" s="630"/>
      <c r="O155" s="630"/>
      <c r="P155" s="563">
        <f>SUM(I155:O155)</f>
        <v>127</v>
      </c>
      <c r="Q155" s="755"/>
    </row>
    <row r="156" spans="1:17" ht="18" customHeight="1" thickBot="1">
      <c r="A156" s="588">
        <v>148</v>
      </c>
      <c r="B156" s="612"/>
      <c r="C156" s="800"/>
      <c r="D156" s="1338" t="s">
        <v>1022</v>
      </c>
      <c r="E156" s="784"/>
      <c r="F156" s="784"/>
      <c r="G156" s="785"/>
      <c r="H156" s="786"/>
      <c r="I156" s="806"/>
      <c r="J156" s="806"/>
      <c r="K156" s="1340">
        <v>127</v>
      </c>
      <c r="L156" s="820"/>
      <c r="M156" s="805"/>
      <c r="N156" s="841"/>
      <c r="O156" s="841"/>
      <c r="P156" s="1329">
        <f>SUM(J156:O156)</f>
        <v>127</v>
      </c>
      <c r="Q156" s="821"/>
    </row>
    <row r="157" spans="1:17" ht="24.75" customHeight="1" thickTop="1">
      <c r="A157" s="588">
        <v>149</v>
      </c>
      <c r="B157" s="612"/>
      <c r="C157" s="809">
        <v>61</v>
      </c>
      <c r="D157" s="743" t="s">
        <v>284</v>
      </c>
      <c r="E157" s="573"/>
      <c r="F157" s="573"/>
      <c r="G157" s="822"/>
      <c r="H157" s="595" t="s">
        <v>231</v>
      </c>
      <c r="I157" s="852"/>
      <c r="J157" s="852"/>
      <c r="K157" s="852"/>
      <c r="L157" s="745"/>
      <c r="M157" s="852"/>
      <c r="N157" s="745"/>
      <c r="O157" s="745"/>
      <c r="P157" s="572"/>
      <c r="Q157" s="823"/>
    </row>
    <row r="158" spans="1:17" ht="18" customHeight="1">
      <c r="A158" s="588">
        <v>150</v>
      </c>
      <c r="B158" s="612"/>
      <c r="C158" s="751"/>
      <c r="D158" s="824" t="s">
        <v>718</v>
      </c>
      <c r="E158" s="603">
        <f>F158+G158+P160</f>
        <v>186204</v>
      </c>
      <c r="F158" s="619"/>
      <c r="G158" s="727">
        <v>3644</v>
      </c>
      <c r="H158" s="754"/>
      <c r="I158" s="714"/>
      <c r="J158" s="714"/>
      <c r="K158" s="714"/>
      <c r="L158" s="630"/>
      <c r="M158" s="714"/>
      <c r="N158" s="630"/>
      <c r="O158" s="630"/>
      <c r="P158" s="563"/>
      <c r="Q158" s="755"/>
    </row>
    <row r="159" spans="1:17" ht="18" customHeight="1">
      <c r="A159" s="588">
        <v>151</v>
      </c>
      <c r="B159" s="612"/>
      <c r="C159" s="759"/>
      <c r="D159" s="760" t="s">
        <v>198</v>
      </c>
      <c r="E159" s="761"/>
      <c r="F159" s="761"/>
      <c r="G159" s="762"/>
      <c r="H159" s="763"/>
      <c r="I159" s="794"/>
      <c r="J159" s="794"/>
      <c r="K159" s="794">
        <v>751</v>
      </c>
      <c r="L159" s="836"/>
      <c r="M159" s="794">
        <v>181730</v>
      </c>
      <c r="N159" s="828"/>
      <c r="O159" s="828"/>
      <c r="P159" s="796">
        <f>SUM(I159:O159)</f>
        <v>182481</v>
      </c>
      <c r="Q159" s="764"/>
    </row>
    <row r="160" spans="1:17" ht="18" customHeight="1">
      <c r="A160" s="588">
        <v>152</v>
      </c>
      <c r="B160" s="612"/>
      <c r="C160" s="759"/>
      <c r="D160" s="570" t="s">
        <v>765</v>
      </c>
      <c r="E160" s="761"/>
      <c r="F160" s="761"/>
      <c r="G160" s="762"/>
      <c r="H160" s="763"/>
      <c r="I160" s="795"/>
      <c r="J160" s="795"/>
      <c r="K160" s="795">
        <v>830</v>
      </c>
      <c r="L160" s="828"/>
      <c r="M160" s="795">
        <v>181730</v>
      </c>
      <c r="N160" s="828"/>
      <c r="O160" s="828"/>
      <c r="P160" s="569">
        <f>SUM(I160:O160)</f>
        <v>182560</v>
      </c>
      <c r="Q160" s="764"/>
    </row>
    <row r="161" spans="1:17" ht="18" customHeight="1" thickBot="1">
      <c r="A161" s="588">
        <v>153</v>
      </c>
      <c r="B161" s="612"/>
      <c r="C161" s="800"/>
      <c r="D161" s="1338" t="s">
        <v>1021</v>
      </c>
      <c r="E161" s="784"/>
      <c r="F161" s="784"/>
      <c r="G161" s="785"/>
      <c r="H161" s="786"/>
      <c r="I161" s="805"/>
      <c r="J161" s="805"/>
      <c r="K161" s="1340">
        <v>826</v>
      </c>
      <c r="L161" s="820"/>
      <c r="M161" s="1340">
        <v>181730</v>
      </c>
      <c r="N161" s="841"/>
      <c r="O161" s="841"/>
      <c r="P161" s="1329">
        <f>SUM(J161:O161)</f>
        <v>182556</v>
      </c>
      <c r="Q161" s="821"/>
    </row>
    <row r="162" spans="1:17" ht="24.75" customHeight="1" thickTop="1">
      <c r="A162" s="588">
        <v>154</v>
      </c>
      <c r="B162" s="612"/>
      <c r="C162" s="809">
        <v>62</v>
      </c>
      <c r="D162" s="743" t="s">
        <v>249</v>
      </c>
      <c r="E162" s="573"/>
      <c r="F162" s="573"/>
      <c r="G162" s="822"/>
      <c r="H162" s="595" t="s">
        <v>231</v>
      </c>
      <c r="I162" s="852"/>
      <c r="J162" s="852"/>
      <c r="K162" s="852"/>
      <c r="L162" s="745"/>
      <c r="M162" s="852"/>
      <c r="N162" s="745"/>
      <c r="O162" s="745"/>
      <c r="P162" s="572"/>
      <c r="Q162" s="823"/>
    </row>
    <row r="163" spans="1:17" ht="33.75" customHeight="1">
      <c r="A163" s="588">
        <v>155</v>
      </c>
      <c r="B163" s="612"/>
      <c r="C163" s="751"/>
      <c r="D163" s="854" t="s">
        <v>719</v>
      </c>
      <c r="E163" s="603">
        <f>F163+G163+P165+1082</f>
        <v>202709</v>
      </c>
      <c r="F163" s="619"/>
      <c r="G163" s="825">
        <v>36884</v>
      </c>
      <c r="H163" s="754"/>
      <c r="I163" s="714"/>
      <c r="J163" s="714"/>
      <c r="K163" s="714"/>
      <c r="L163" s="630"/>
      <c r="M163" s="714"/>
      <c r="N163" s="630"/>
      <c r="O163" s="630"/>
      <c r="P163" s="563"/>
      <c r="Q163" s="755"/>
    </row>
    <row r="164" spans="1:17" ht="18" customHeight="1">
      <c r="A164" s="588">
        <v>156</v>
      </c>
      <c r="B164" s="782"/>
      <c r="C164" s="566"/>
      <c r="D164" s="760" t="s">
        <v>198</v>
      </c>
      <c r="E164" s="637"/>
      <c r="F164" s="718"/>
      <c r="G164" s="638"/>
      <c r="H164" s="639"/>
      <c r="I164" s="794"/>
      <c r="J164" s="794"/>
      <c r="K164" s="794">
        <v>550</v>
      </c>
      <c r="L164" s="765"/>
      <c r="M164" s="720">
        <v>164193</v>
      </c>
      <c r="N164" s="765"/>
      <c r="O164" s="765"/>
      <c r="P164" s="796">
        <f>SUM(I164:O164)</f>
        <v>164743</v>
      </c>
      <c r="Q164" s="644"/>
    </row>
    <row r="165" spans="1:17" ht="18" customHeight="1">
      <c r="A165" s="588">
        <v>157</v>
      </c>
      <c r="B165" s="863"/>
      <c r="C165" s="566"/>
      <c r="D165" s="570" t="s">
        <v>765</v>
      </c>
      <c r="E165" s="637"/>
      <c r="F165" s="718"/>
      <c r="G165" s="646"/>
      <c r="H165" s="639"/>
      <c r="I165" s="795"/>
      <c r="J165" s="795"/>
      <c r="K165" s="795">
        <v>356</v>
      </c>
      <c r="L165" s="795">
        <v>193</v>
      </c>
      <c r="M165" s="795">
        <v>162931</v>
      </c>
      <c r="N165" s="795"/>
      <c r="O165" s="795">
        <v>1263</v>
      </c>
      <c r="P165" s="569">
        <f>SUM(I165:O165)</f>
        <v>164743</v>
      </c>
      <c r="Q165" s="644"/>
    </row>
    <row r="166" spans="1:17" ht="18" customHeight="1" thickBot="1">
      <c r="A166" s="588">
        <v>158</v>
      </c>
      <c r="B166" s="793"/>
      <c r="C166" s="783"/>
      <c r="D166" s="1344" t="s">
        <v>1021</v>
      </c>
      <c r="E166" s="819"/>
      <c r="F166" s="802"/>
      <c r="G166" s="801"/>
      <c r="H166" s="864"/>
      <c r="I166" s="1340"/>
      <c r="J166" s="1340"/>
      <c r="K166" s="1340">
        <v>356</v>
      </c>
      <c r="L166" s="1340">
        <v>193</v>
      </c>
      <c r="M166" s="1340">
        <v>162930</v>
      </c>
      <c r="N166" s="1340"/>
      <c r="O166" s="1340">
        <v>1263</v>
      </c>
      <c r="P166" s="1329">
        <f>SUM(J166:O166)</f>
        <v>164742</v>
      </c>
      <c r="Q166" s="865"/>
    </row>
    <row r="167" spans="1:17" ht="24.75" customHeight="1" thickTop="1">
      <c r="A167" s="588">
        <v>159</v>
      </c>
      <c r="B167" s="793"/>
      <c r="C167" s="567">
        <v>63</v>
      </c>
      <c r="D167" s="743" t="s">
        <v>720</v>
      </c>
      <c r="E167" s="866"/>
      <c r="F167" s="593"/>
      <c r="G167" s="866"/>
      <c r="H167" s="595" t="s">
        <v>231</v>
      </c>
      <c r="I167" s="867"/>
      <c r="J167" s="867"/>
      <c r="K167" s="852"/>
      <c r="L167" s="852"/>
      <c r="M167" s="852"/>
      <c r="N167" s="852"/>
      <c r="O167" s="852"/>
      <c r="P167" s="746"/>
      <c r="Q167" s="599"/>
    </row>
    <row r="168" spans="1:17" ht="18" customHeight="1">
      <c r="A168" s="588">
        <v>160</v>
      </c>
      <c r="B168" s="793"/>
      <c r="C168" s="559"/>
      <c r="D168" s="854" t="s">
        <v>20</v>
      </c>
      <c r="E168" s="604">
        <f>F168+G168+P169+42500+5525+2260</f>
        <v>293661</v>
      </c>
      <c r="F168" s="626"/>
      <c r="G168" s="656"/>
      <c r="H168" s="615"/>
      <c r="I168" s="799"/>
      <c r="J168" s="799"/>
      <c r="K168" s="714"/>
      <c r="L168" s="714"/>
      <c r="M168" s="714"/>
      <c r="N168" s="714"/>
      <c r="O168" s="714"/>
      <c r="P168" s="868"/>
      <c r="Q168" s="611"/>
    </row>
    <row r="169" spans="1:17" ht="18" customHeight="1">
      <c r="A169" s="588">
        <v>161</v>
      </c>
      <c r="B169" s="793"/>
      <c r="C169" s="559"/>
      <c r="D169" s="570" t="s">
        <v>765</v>
      </c>
      <c r="E169" s="604"/>
      <c r="F169" s="626"/>
      <c r="G169" s="656"/>
      <c r="H169" s="615"/>
      <c r="I169" s="714">
        <v>7053</v>
      </c>
      <c r="J169" s="714">
        <v>1039</v>
      </c>
      <c r="K169" s="714">
        <v>204529</v>
      </c>
      <c r="L169" s="714">
        <v>62</v>
      </c>
      <c r="M169" s="714">
        <v>30693</v>
      </c>
      <c r="N169" s="714"/>
      <c r="O169" s="714"/>
      <c r="P169" s="569">
        <f>SUM(I169:O169)</f>
        <v>243376</v>
      </c>
      <c r="Q169" s="611"/>
    </row>
    <row r="170" spans="1:17" ht="18" customHeight="1" thickBot="1">
      <c r="A170" s="588">
        <v>162</v>
      </c>
      <c r="B170" s="869"/>
      <c r="C170" s="870"/>
      <c r="D170" s="1349" t="s">
        <v>1021</v>
      </c>
      <c r="E170" s="871"/>
      <c r="F170" s="730"/>
      <c r="G170" s="872"/>
      <c r="H170" s="873"/>
      <c r="I170" s="1350">
        <v>7052</v>
      </c>
      <c r="J170" s="1350">
        <v>1039</v>
      </c>
      <c r="K170" s="1350">
        <v>204530</v>
      </c>
      <c r="L170" s="1350">
        <v>62</v>
      </c>
      <c r="M170" s="1350">
        <v>30693</v>
      </c>
      <c r="N170" s="874"/>
      <c r="O170" s="874"/>
      <c r="P170" s="1334">
        <f>SUM(I170:O170)</f>
        <v>243376</v>
      </c>
      <c r="Q170" s="875"/>
    </row>
    <row r="171" spans="1:17" ht="27" customHeight="1">
      <c r="A171" s="588">
        <v>163</v>
      </c>
      <c r="B171" s="1987" t="s">
        <v>221</v>
      </c>
      <c r="C171" s="1987"/>
      <c r="D171" s="1987"/>
      <c r="E171" s="1987"/>
      <c r="F171" s="1987"/>
      <c r="G171" s="1987"/>
      <c r="H171" s="595"/>
      <c r="I171" s="867"/>
      <c r="J171" s="867"/>
      <c r="K171" s="867"/>
      <c r="L171" s="852"/>
      <c r="M171" s="876"/>
      <c r="N171" s="852"/>
      <c r="O171" s="852"/>
      <c r="P171" s="877"/>
      <c r="Q171" s="599"/>
    </row>
    <row r="172" spans="1:17" s="676" customFormat="1" ht="19.5" customHeight="1">
      <c r="A172" s="588">
        <v>164</v>
      </c>
      <c r="B172" s="668"/>
      <c r="C172" s="669"/>
      <c r="D172" s="878" t="s">
        <v>198</v>
      </c>
      <c r="E172" s="670"/>
      <c r="F172" s="670"/>
      <c r="G172" s="671"/>
      <c r="H172" s="672"/>
      <c r="I172" s="673">
        <f t="shared" ref="I172:O172" si="2">I27+I89+I164+I159+I154+I149+I144+I139+I134+I129+I124+I119+I114+I54+I109+I104+I99+I94+I84+I79+I74+I69+I64+I59+I32+I23</f>
        <v>3135</v>
      </c>
      <c r="J172" s="673">
        <f t="shared" si="2"/>
        <v>2093</v>
      </c>
      <c r="K172" s="673">
        <f t="shared" si="2"/>
        <v>338774</v>
      </c>
      <c r="L172" s="673">
        <f t="shared" si="2"/>
        <v>84840</v>
      </c>
      <c r="M172" s="673">
        <f t="shared" si="2"/>
        <v>3436196</v>
      </c>
      <c r="N172" s="673">
        <f t="shared" si="2"/>
        <v>0</v>
      </c>
      <c r="O172" s="673">
        <f t="shared" si="2"/>
        <v>14</v>
      </c>
      <c r="P172" s="673">
        <f>SUM(I172:O172)</f>
        <v>3865052</v>
      </c>
      <c r="Q172" s="879"/>
    </row>
    <row r="173" spans="1:17" s="676" customFormat="1" ht="19.5" customHeight="1">
      <c r="A173" s="588">
        <v>165</v>
      </c>
      <c r="B173" s="668"/>
      <c r="C173" s="669"/>
      <c r="D173" s="570" t="s">
        <v>765</v>
      </c>
      <c r="E173" s="670"/>
      <c r="F173" s="670"/>
      <c r="G173" s="671"/>
      <c r="H173" s="677"/>
      <c r="I173" s="678">
        <f t="shared" ref="I173:O173" si="3">I28+I90+I165+I160+I155+I150+I145+I140+I135+I130+I125+I120+I115+I55+I110+I105+I100+I95+I85+I80+I75+I70+I65+I60+I33+I24+I169</f>
        <v>7970</v>
      </c>
      <c r="J173" s="678">
        <f t="shared" si="3"/>
        <v>2960</v>
      </c>
      <c r="K173" s="678">
        <f t="shared" si="3"/>
        <v>555136</v>
      </c>
      <c r="L173" s="678">
        <f t="shared" si="3"/>
        <v>99602</v>
      </c>
      <c r="M173" s="678">
        <f t="shared" si="3"/>
        <v>3617259</v>
      </c>
      <c r="N173" s="678">
        <f t="shared" si="3"/>
        <v>0</v>
      </c>
      <c r="O173" s="678">
        <f t="shared" si="3"/>
        <v>28248</v>
      </c>
      <c r="P173" s="560">
        <f>SUM(I173:O173)</f>
        <v>4311175</v>
      </c>
      <c r="Q173" s="880"/>
    </row>
    <row r="174" spans="1:17" s="676" customFormat="1" ht="19.5" customHeight="1" thickBot="1">
      <c r="A174" s="588">
        <v>166</v>
      </c>
      <c r="B174" s="683"/>
      <c r="C174" s="684"/>
      <c r="D174" s="1330" t="s">
        <v>1022</v>
      </c>
      <c r="E174" s="684"/>
      <c r="F174" s="684"/>
      <c r="G174" s="685"/>
      <c r="H174" s="686"/>
      <c r="I174" s="1331">
        <f t="shared" ref="I174:O174" si="4">I166+I161+I156+I151+I146+I141+I136+I131+I126+I121+I116+I111+I106+I101+I96+I86+I81+I76+I71+I66+I61+I56+I34+I25+I29+I91+I170</f>
        <v>7969</v>
      </c>
      <c r="J174" s="1331">
        <f t="shared" si="4"/>
        <v>2960</v>
      </c>
      <c r="K174" s="1331">
        <f t="shared" si="4"/>
        <v>533746</v>
      </c>
      <c r="L174" s="1331">
        <f t="shared" si="4"/>
        <v>82204</v>
      </c>
      <c r="M174" s="1331">
        <f t="shared" si="4"/>
        <v>3614204</v>
      </c>
      <c r="N174" s="1331">
        <f t="shared" si="4"/>
        <v>0</v>
      </c>
      <c r="O174" s="1331">
        <f t="shared" si="4"/>
        <v>28247</v>
      </c>
      <c r="P174" s="1334">
        <f>SUM(I174:O174)</f>
        <v>4269330</v>
      </c>
      <c r="Q174" s="1353"/>
    </row>
    <row r="175" spans="1:17" ht="16.5" customHeight="1">
      <c r="B175" s="688" t="s">
        <v>288</v>
      </c>
      <c r="C175" s="689"/>
      <c r="D175" s="688"/>
      <c r="E175" s="690"/>
      <c r="F175" s="691"/>
      <c r="G175" s="690"/>
      <c r="H175" s="580"/>
      <c r="I175" s="690"/>
      <c r="J175" s="690"/>
      <c r="K175" s="690"/>
      <c r="L175" s="690"/>
      <c r="M175" s="690"/>
      <c r="N175" s="690"/>
      <c r="O175" s="690"/>
      <c r="P175" s="692"/>
    </row>
    <row r="176" spans="1:17" ht="16.5" customHeight="1">
      <c r="B176" s="688" t="s">
        <v>289</v>
      </c>
      <c r="C176" s="689"/>
      <c r="D176" s="688"/>
      <c r="E176" s="549"/>
      <c r="F176" s="691"/>
      <c r="G176" s="690"/>
      <c r="H176" s="580"/>
      <c r="I176" s="690"/>
      <c r="J176" s="690"/>
      <c r="K176" s="690"/>
      <c r="L176" s="690"/>
      <c r="M176" s="690"/>
      <c r="N176" s="690"/>
      <c r="O176" s="690"/>
      <c r="P176" s="692"/>
    </row>
    <row r="177" spans="2:16" ht="16.5" customHeight="1">
      <c r="B177" s="688" t="s">
        <v>290</v>
      </c>
      <c r="C177" s="689"/>
      <c r="D177" s="688"/>
      <c r="E177" s="549"/>
      <c r="F177" s="691"/>
      <c r="G177" s="690"/>
      <c r="H177" s="580"/>
      <c r="I177" s="690"/>
      <c r="J177" s="690"/>
      <c r="K177" s="690"/>
      <c r="L177" s="690"/>
      <c r="M177" s="690"/>
      <c r="N177" s="690"/>
      <c r="O177" s="690"/>
      <c r="P177" s="692"/>
    </row>
    <row r="178" spans="2:16" ht="16.5" customHeight="1">
      <c r="B178" s="693" t="s">
        <v>666</v>
      </c>
      <c r="C178" s="693"/>
    </row>
  </sheetData>
  <mergeCells count="18">
    <mergeCell ref="R6:S6"/>
    <mergeCell ref="I7:L7"/>
    <mergeCell ref="M7:O7"/>
    <mergeCell ref="P7:P8"/>
    <mergeCell ref="B171:G171"/>
    <mergeCell ref="I1:Q1"/>
    <mergeCell ref="A2:Q2"/>
    <mergeCell ref="A3:Q3"/>
    <mergeCell ref="B6:B8"/>
    <mergeCell ref="C6:C8"/>
    <mergeCell ref="D6:D8"/>
    <mergeCell ref="E6:E8"/>
    <mergeCell ref="F6:F8"/>
    <mergeCell ref="G6:G8"/>
    <mergeCell ref="H6:H8"/>
    <mergeCell ref="I6:P6"/>
    <mergeCell ref="Q6:Q8"/>
    <mergeCell ref="B1:F1"/>
  </mergeCells>
  <printOptions horizontalCentered="1"/>
  <pageMargins left="0.196527777777778" right="0.196527777777778" top="0.59027777777777801" bottom="0.59027777777777801" header="0.511811023622047" footer="0.51180555555555596"/>
  <pageSetup paperSize="9" scale="58" fitToHeight="0" orientation="landscape" horizontalDpi="300" verticalDpi="300" r:id="rId1"/>
  <headerFooter>
    <oddFooter>&amp;C- &amp;P -</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39"/>
  <sheetViews>
    <sheetView view="pageBreakPreview" topLeftCell="H28" zoomScale="75" zoomScaleNormal="75" zoomScalePageLayoutView="75" workbookViewId="0">
      <selection activeCell="S19" sqref="S18:S19"/>
    </sheetView>
  </sheetViews>
  <sheetFormatPr defaultColWidth="9.26953125" defaultRowHeight="15.5"/>
  <cols>
    <col min="1" max="1" width="4.7265625" style="12" customWidth="1"/>
    <col min="2" max="3" width="5.7265625" style="20" customWidth="1"/>
    <col min="4" max="4" width="55.7265625" style="6" customWidth="1"/>
    <col min="5" max="6" width="15.7265625" style="9" customWidth="1"/>
    <col min="7" max="7" width="15.81640625" style="9" customWidth="1"/>
    <col min="8" max="9" width="17.7265625" style="9" customWidth="1"/>
    <col min="10" max="11" width="5.7265625" style="20" customWidth="1"/>
    <col min="12" max="12" width="60.7265625" style="6" customWidth="1"/>
    <col min="13" max="14" width="15.7265625" style="9" customWidth="1"/>
    <col min="15" max="15" width="17.7265625" style="9" customWidth="1"/>
    <col min="16" max="17" width="17.7265625" style="6" customWidth="1"/>
    <col min="18" max="19" width="9.26953125" style="6"/>
    <col min="20" max="20" width="11.54296875" style="6" bestFit="1" customWidth="1"/>
    <col min="21" max="16384" width="9.26953125" style="6"/>
  </cols>
  <sheetData>
    <row r="1" spans="1:20" s="10" customFormat="1" ht="18" customHeight="1">
      <c r="A1" s="4"/>
      <c r="B1" s="1893" t="s">
        <v>1197</v>
      </c>
      <c r="C1" s="1893"/>
      <c r="D1" s="1893"/>
      <c r="E1" s="1893"/>
      <c r="F1" s="1893"/>
      <c r="G1" s="55"/>
      <c r="H1" s="55"/>
      <c r="I1" s="55"/>
      <c r="J1" s="881"/>
      <c r="K1" s="881"/>
      <c r="M1" s="55"/>
      <c r="N1" s="55"/>
      <c r="O1" s="55"/>
    </row>
    <row r="2" spans="1:20" s="10" customFormat="1" ht="24.75" customHeight="1">
      <c r="A2" s="4"/>
      <c r="B2" s="1894" t="s">
        <v>721</v>
      </c>
      <c r="C2" s="1894"/>
      <c r="D2" s="1894"/>
      <c r="E2" s="1894"/>
      <c r="F2" s="1894"/>
      <c r="G2" s="1894"/>
      <c r="H2" s="1894"/>
      <c r="I2" s="1894"/>
      <c r="J2" s="1894"/>
      <c r="K2" s="1894"/>
      <c r="L2" s="1894"/>
      <c r="M2" s="1894"/>
      <c r="N2" s="1894"/>
      <c r="O2" s="1894"/>
      <c r="P2" s="1894"/>
      <c r="Q2" s="1894"/>
    </row>
    <row r="3" spans="1:20" s="10" customFormat="1" ht="24.75" customHeight="1">
      <c r="A3" s="4"/>
      <c r="B3" s="1894" t="s">
        <v>722</v>
      </c>
      <c r="C3" s="1894"/>
      <c r="D3" s="1894"/>
      <c r="E3" s="1894"/>
      <c r="F3" s="1894"/>
      <c r="G3" s="1894"/>
      <c r="H3" s="1894"/>
      <c r="I3" s="1894"/>
      <c r="J3" s="1894"/>
      <c r="K3" s="1894"/>
      <c r="L3" s="1894"/>
      <c r="M3" s="1894"/>
      <c r="N3" s="1894"/>
      <c r="O3" s="1894"/>
      <c r="P3" s="1894"/>
      <c r="Q3" s="1894"/>
    </row>
    <row r="4" spans="1:20" s="884" customFormat="1" ht="12.75" customHeight="1">
      <c r="A4" s="882"/>
      <c r="B4" s="883"/>
      <c r="C4" s="883"/>
      <c r="D4" s="883"/>
      <c r="E4" s="883"/>
      <c r="F4" s="883"/>
      <c r="G4" s="883"/>
      <c r="H4" s="883"/>
      <c r="I4" s="883"/>
      <c r="J4" s="883"/>
      <c r="K4" s="883"/>
      <c r="L4" s="883"/>
      <c r="M4" s="172"/>
      <c r="N4" s="172"/>
      <c r="O4" s="172"/>
      <c r="P4" s="172"/>
      <c r="Q4" s="172" t="s">
        <v>0</v>
      </c>
    </row>
    <row r="5" spans="1:20" s="30" customFormat="1" ht="18" customHeight="1" thickBot="1">
      <c r="B5" s="19" t="s">
        <v>1</v>
      </c>
      <c r="C5" s="19" t="s">
        <v>2</v>
      </c>
      <c r="D5" s="19" t="s">
        <v>72</v>
      </c>
      <c r="E5" s="19" t="s">
        <v>73</v>
      </c>
      <c r="F5" s="19" t="s">
        <v>74</v>
      </c>
      <c r="G5" s="19" t="s">
        <v>75</v>
      </c>
      <c r="H5" s="19" t="s">
        <v>76</v>
      </c>
      <c r="I5" s="19" t="s">
        <v>77</v>
      </c>
      <c r="J5" s="19" t="s">
        <v>78</v>
      </c>
      <c r="K5" s="19" t="s">
        <v>79</v>
      </c>
      <c r="L5" s="28" t="s">
        <v>80</v>
      </c>
      <c r="M5" s="28" t="s">
        <v>81</v>
      </c>
      <c r="N5" s="28" t="s">
        <v>184</v>
      </c>
      <c r="O5" s="28" t="s">
        <v>185</v>
      </c>
      <c r="P5" s="30" t="s">
        <v>186</v>
      </c>
      <c r="Q5" s="30" t="s">
        <v>187</v>
      </c>
    </row>
    <row r="6" spans="1:20" ht="46.5">
      <c r="A6" s="12">
        <v>1</v>
      </c>
      <c r="B6" s="885" t="s">
        <v>84</v>
      </c>
      <c r="C6" s="886" t="s">
        <v>85</v>
      </c>
      <c r="D6" s="887" t="s">
        <v>723</v>
      </c>
      <c r="E6" s="888" t="s">
        <v>87</v>
      </c>
      <c r="F6" s="889" t="s">
        <v>724</v>
      </c>
      <c r="G6" s="888" t="s">
        <v>89</v>
      </c>
      <c r="H6" s="888" t="s">
        <v>764</v>
      </c>
      <c r="I6" s="1375" t="s">
        <v>1024</v>
      </c>
      <c r="J6" s="886" t="s">
        <v>84</v>
      </c>
      <c r="K6" s="886" t="s">
        <v>85</v>
      </c>
      <c r="L6" s="887" t="s">
        <v>723</v>
      </c>
      <c r="M6" s="888" t="s">
        <v>87</v>
      </c>
      <c r="N6" s="889" t="s">
        <v>724</v>
      </c>
      <c r="O6" s="888" t="s">
        <v>725</v>
      </c>
      <c r="P6" s="1369" t="s">
        <v>764</v>
      </c>
      <c r="Q6" s="1376" t="s">
        <v>1024</v>
      </c>
    </row>
    <row r="7" spans="1:20" ht="24.75" customHeight="1">
      <c r="A7" s="12">
        <v>2</v>
      </c>
      <c r="B7" s="51">
        <v>1</v>
      </c>
      <c r="C7" s="12"/>
      <c r="D7" s="5" t="s">
        <v>726</v>
      </c>
      <c r="E7" s="890"/>
      <c r="F7" s="890"/>
      <c r="G7" s="890"/>
      <c r="H7" s="890"/>
      <c r="I7" s="1377"/>
      <c r="J7" s="12">
        <v>1</v>
      </c>
      <c r="K7" s="12"/>
      <c r="L7" s="5" t="s">
        <v>727</v>
      </c>
      <c r="M7" s="891"/>
      <c r="N7" s="892"/>
      <c r="O7" s="891"/>
      <c r="P7" s="1370"/>
      <c r="Q7" s="1390"/>
    </row>
    <row r="8" spans="1:20" ht="15" customHeight="1">
      <c r="A8" s="12">
        <v>3</v>
      </c>
      <c r="B8" s="51"/>
      <c r="C8" s="12">
        <v>1</v>
      </c>
      <c r="D8" s="6" t="s">
        <v>728</v>
      </c>
      <c r="E8" s="893">
        <v>6989779</v>
      </c>
      <c r="F8" s="893">
        <v>8286893</v>
      </c>
      <c r="G8" s="893">
        <f>'1.Onbe'!J8+'1.Onbe'!J20</f>
        <v>8440358</v>
      </c>
      <c r="H8" s="893">
        <f>'1.Onbe'!K8+'1.Onbe'!K20</f>
        <v>9018671</v>
      </c>
      <c r="I8" s="1378">
        <f>'1.Onbe'!L8+'1.Onbe'!L20</f>
        <v>9010635</v>
      </c>
      <c r="J8" s="12"/>
      <c r="K8" s="12">
        <v>1</v>
      </c>
      <c r="L8" s="6" t="s">
        <v>224</v>
      </c>
      <c r="M8" s="894">
        <v>6443145</v>
      </c>
      <c r="N8" s="895">
        <v>6738882</v>
      </c>
      <c r="O8" s="894">
        <f>'4.Inki'!K231+'6.Önk.műk.'!J856+'9.Projekt'!I81+'11.EKF'!I172</f>
        <v>7695400</v>
      </c>
      <c r="P8" s="893">
        <f>'4.Inki'!K232+'6.Önk.műk.'!J857+'9.Projekt'!I82+'10.MVP és hazai'!I38+'11.EKF'!I173</f>
        <v>8661099</v>
      </c>
      <c r="Q8" s="1391">
        <f>'4.Inki'!K233+'6.Önk.műk.'!J858+'9.Projekt'!I83+'10.MVP és hazai'!I39+'11.EKF'!I174</f>
        <v>7958623</v>
      </c>
    </row>
    <row r="9" spans="1:20" ht="16.5" customHeight="1">
      <c r="A9" s="12">
        <v>4</v>
      </c>
      <c r="B9" s="51"/>
      <c r="C9" s="12">
        <v>2</v>
      </c>
      <c r="D9" s="6" t="s">
        <v>6</v>
      </c>
      <c r="E9" s="893">
        <v>10042100</v>
      </c>
      <c r="F9" s="893">
        <v>15107943</v>
      </c>
      <c r="G9" s="893">
        <f>'1.Onbe'!J21</f>
        <v>13625150</v>
      </c>
      <c r="H9" s="893">
        <f>'1.Onbe'!K21</f>
        <v>14132419</v>
      </c>
      <c r="I9" s="1378">
        <f>'1.Onbe'!L21</f>
        <v>14500214</v>
      </c>
      <c r="J9" s="12"/>
      <c r="K9" s="12">
        <v>2</v>
      </c>
      <c r="L9" s="6" t="s">
        <v>729</v>
      </c>
      <c r="M9" s="894">
        <v>957005</v>
      </c>
      <c r="N9" s="895">
        <v>977106</v>
      </c>
      <c r="O9" s="894">
        <f>'4.Inki'!L231+'6.Önk.műk.'!K856+'9.Projekt'!J81+'11.EKF'!J172</f>
        <v>1147909</v>
      </c>
      <c r="P9" s="893">
        <f>'4.Inki'!L232+'6.Önk.műk.'!K857+'9.Projekt'!J82+'10.MVP és hazai'!J38+'11.EKF'!J173</f>
        <v>1290767</v>
      </c>
      <c r="Q9" s="1391">
        <f>'4.Inki'!L233+'6.Önk.műk.'!K858+'9.Projekt'!J83+'10.MVP és hazai'!J39+'11.EKF'!J174</f>
        <v>1142881</v>
      </c>
    </row>
    <row r="10" spans="1:20">
      <c r="A10" s="12">
        <v>5</v>
      </c>
      <c r="B10" s="51"/>
      <c r="C10" s="12">
        <v>3</v>
      </c>
      <c r="D10" s="8" t="s">
        <v>115</v>
      </c>
      <c r="E10" s="893">
        <v>5101299</v>
      </c>
      <c r="F10" s="893">
        <v>8978299</v>
      </c>
      <c r="G10" s="893">
        <f>'1.Onbe'!J33+'1.Onbe'!J38</f>
        <v>4590770</v>
      </c>
      <c r="H10" s="893">
        <f>'1.Onbe'!K33+'1.Onbe'!K38</f>
        <v>4031823</v>
      </c>
      <c r="I10" s="1378">
        <f>'1.Onbe'!L33+'1.Onbe'!L38</f>
        <v>4221600</v>
      </c>
      <c r="J10" s="12"/>
      <c r="K10" s="12">
        <v>3</v>
      </c>
      <c r="L10" s="6" t="s">
        <v>226</v>
      </c>
      <c r="M10" s="894">
        <v>9348866</v>
      </c>
      <c r="N10" s="895">
        <v>8854467</v>
      </c>
      <c r="O10" s="894">
        <f>'4.Inki'!M231+'6.Önk.műk.'!L856+'9.Projekt'!K81+'11.EKF'!K172+103489+25587</f>
        <v>9216212</v>
      </c>
      <c r="P10" s="893">
        <f>'4.Inki'!M232+'6.Önk.műk.'!L857+'7.Beruh.'!I551+'8.Felúj.'!I220+'9.Projekt'!K82+'10.MVP és hazai'!K38+'11.EKF'!K173</f>
        <v>11215595</v>
      </c>
      <c r="Q10" s="1391">
        <f>'4.Inki'!M233+'6.Önk.műk.'!L858+'7.Beruh.'!I552+'8.Felúj.'!I221+'9.Projekt'!K83+'10.MVP és hazai'!K39+'11.EKF'!K174</f>
        <v>7871732</v>
      </c>
    </row>
    <row r="11" spans="1:20">
      <c r="A11" s="12">
        <v>6</v>
      </c>
      <c r="B11" s="51"/>
      <c r="C11" s="12">
        <v>4</v>
      </c>
      <c r="D11" s="6" t="s">
        <v>121</v>
      </c>
      <c r="E11" s="893">
        <v>506232</v>
      </c>
      <c r="F11" s="893">
        <v>1339641</v>
      </c>
      <c r="G11" s="893">
        <f>'1.Onbe'!J39+'1.Onbe'!J42</f>
        <v>170538</v>
      </c>
      <c r="H11" s="893">
        <f>'1.Onbe'!K39+'1.Onbe'!K42</f>
        <v>634151</v>
      </c>
      <c r="I11" s="1378">
        <f>'1.Onbe'!L39+'1.Onbe'!L42</f>
        <v>636807</v>
      </c>
      <c r="J11" s="12"/>
      <c r="K11" s="12">
        <v>4</v>
      </c>
      <c r="L11" s="6" t="s">
        <v>227</v>
      </c>
      <c r="M11" s="894">
        <v>37995</v>
      </c>
      <c r="N11" s="895">
        <v>14059</v>
      </c>
      <c r="O11" s="894">
        <f>'4.Inki'!N231+'6.Önk.műk.'!M856</f>
        <v>56795</v>
      </c>
      <c r="P11" s="893">
        <f>'6.Önk.műk.'!M857</f>
        <v>57126</v>
      </c>
      <c r="Q11" s="1391">
        <f>'6.Önk.műk.'!M858</f>
        <v>19974</v>
      </c>
    </row>
    <row r="12" spans="1:20">
      <c r="A12" s="12">
        <v>7</v>
      </c>
      <c r="B12" s="51"/>
      <c r="C12" s="12"/>
      <c r="D12" s="8"/>
      <c r="E12" s="893"/>
      <c r="F12" s="893"/>
      <c r="G12" s="893"/>
      <c r="H12" s="893"/>
      <c r="I12" s="1378"/>
      <c r="J12" s="12"/>
      <c r="K12" s="12">
        <v>5</v>
      </c>
      <c r="L12" s="7" t="s">
        <v>730</v>
      </c>
      <c r="M12" s="894">
        <v>7005039</v>
      </c>
      <c r="N12" s="895">
        <v>8747969</v>
      </c>
      <c r="O12" s="894">
        <f>'4.Inki'!O231+'6.Önk.műk.'!N856+'9.Projekt'!L81+'11.EKF'!L172</f>
        <v>9224909</v>
      </c>
      <c r="P12" s="893">
        <f>'4.Inki'!O232+'6.Önk.műk.'!N857+'9.Projekt'!L82+'10.MVP és hazai'!L38+'11.EKF'!L173</f>
        <v>10437758</v>
      </c>
      <c r="Q12" s="1391">
        <f>'4.Inki'!O233+'6.Önk.műk.'!N858+'9.Projekt'!L83+'10.MVP és hazai'!L39+'11.EKF'!L174</f>
        <v>9475727</v>
      </c>
    </row>
    <row r="13" spans="1:20">
      <c r="A13" s="12">
        <v>8</v>
      </c>
      <c r="B13" s="51"/>
      <c r="C13" s="12"/>
      <c r="D13" s="8"/>
      <c r="E13" s="893"/>
      <c r="F13" s="893"/>
      <c r="G13" s="893"/>
      <c r="H13" s="893"/>
      <c r="I13" s="1378"/>
      <c r="J13" s="12"/>
      <c r="K13" s="12">
        <v>6</v>
      </c>
      <c r="L13" s="7" t="s">
        <v>731</v>
      </c>
      <c r="M13" s="894">
        <v>653367</v>
      </c>
      <c r="N13" s="895"/>
      <c r="O13" s="894">
        <f>'2.Onki'!J16+'2.Onki'!J30</f>
        <v>1021488</v>
      </c>
      <c r="P13" s="893">
        <f>'2.Onki'!K16</f>
        <v>81519</v>
      </c>
      <c r="Q13" s="1391">
        <f>'2.Onki'!L16</f>
        <v>0</v>
      </c>
    </row>
    <row r="14" spans="1:20" s="10" customFormat="1" ht="24.75" customHeight="1">
      <c r="A14" s="12">
        <v>9</v>
      </c>
      <c r="B14" s="896"/>
      <c r="C14" s="897"/>
      <c r="D14" s="898" t="s">
        <v>732</v>
      </c>
      <c r="E14" s="899">
        <f>SUM(E8:E13)</f>
        <v>22639410</v>
      </c>
      <c r="F14" s="899">
        <f>SUM(F8:F13)</f>
        <v>33712776</v>
      </c>
      <c r="G14" s="899">
        <f>SUM(G8:G13)</f>
        <v>26826816</v>
      </c>
      <c r="H14" s="899">
        <f>SUM(H8:H13)</f>
        <v>27817064</v>
      </c>
      <c r="I14" s="1379">
        <f>SUM(I8:I13)</f>
        <v>28369256</v>
      </c>
      <c r="J14" s="900"/>
      <c r="K14" s="900"/>
      <c r="L14" s="898" t="s">
        <v>733</v>
      </c>
      <c r="M14" s="901">
        <f>SUM(M8:M13)</f>
        <v>24445417</v>
      </c>
      <c r="N14" s="902">
        <f>SUM(N8:N13)</f>
        <v>25332483</v>
      </c>
      <c r="O14" s="901">
        <f>SUM(O8:O13)</f>
        <v>28362713</v>
      </c>
      <c r="P14" s="901">
        <f>SUM(P8:P13)</f>
        <v>31743864</v>
      </c>
      <c r="Q14" s="1392">
        <f>SUM(Q8:Q13)</f>
        <v>26468937</v>
      </c>
      <c r="R14" s="6"/>
      <c r="T14" s="55"/>
    </row>
    <row r="15" spans="1:20" ht="24.75" customHeight="1">
      <c r="A15" s="12">
        <v>10</v>
      </c>
      <c r="B15" s="51">
        <v>2</v>
      </c>
      <c r="C15" s="12"/>
      <c r="D15" s="5" t="s">
        <v>734</v>
      </c>
      <c r="E15" s="890"/>
      <c r="F15" s="890"/>
      <c r="G15" s="890"/>
      <c r="H15" s="890"/>
      <c r="I15" s="1377"/>
      <c r="J15" s="12">
        <v>2</v>
      </c>
      <c r="K15" s="12"/>
      <c r="L15" s="5" t="s">
        <v>735</v>
      </c>
      <c r="M15" s="891"/>
      <c r="N15" s="903"/>
      <c r="O15" s="891"/>
      <c r="P15" s="1371"/>
      <c r="Q15" s="1390"/>
    </row>
    <row r="16" spans="1:20">
      <c r="A16" s="12">
        <v>11</v>
      </c>
      <c r="B16" s="51"/>
      <c r="C16" s="12">
        <v>5</v>
      </c>
      <c r="D16" s="3" t="s">
        <v>736</v>
      </c>
      <c r="E16" s="894">
        <v>1315951</v>
      </c>
      <c r="F16" s="894">
        <v>2758980</v>
      </c>
      <c r="G16" s="894">
        <f>'1.Onbe'!J44+'1.Onbe'!J47</f>
        <v>2594724</v>
      </c>
      <c r="H16" s="894">
        <f>'1.Onbe'!K44+'1.Onbe'!K47</f>
        <v>2797265</v>
      </c>
      <c r="I16" s="1380">
        <f>'1.Onbe'!L44+'1.Onbe'!L47</f>
        <v>2599060</v>
      </c>
      <c r="J16" s="904"/>
      <c r="K16" s="904">
        <v>7</v>
      </c>
      <c r="L16" s="3" t="s">
        <v>36</v>
      </c>
      <c r="M16" s="894">
        <v>24204926</v>
      </c>
      <c r="N16" s="895">
        <v>23912437</v>
      </c>
      <c r="O16" s="894">
        <f>'2.Onki'!J10+'2.Onki'!J32</f>
        <v>11430415</v>
      </c>
      <c r="P16" s="893">
        <f>'2.Onki'!K10+'2.Onki'!K32</f>
        <v>13360288</v>
      </c>
      <c r="Q16" s="1391">
        <f>'2.Onki'!L10+'2.Onki'!L32</f>
        <v>6132758</v>
      </c>
      <c r="T16" s="9"/>
    </row>
    <row r="17" spans="1:44">
      <c r="A17" s="12">
        <v>12</v>
      </c>
      <c r="B17" s="51"/>
      <c r="C17" s="12">
        <v>6</v>
      </c>
      <c r="D17" s="3" t="s">
        <v>129</v>
      </c>
      <c r="E17" s="894">
        <v>750000</v>
      </c>
      <c r="F17" s="894">
        <v>579959</v>
      </c>
      <c r="G17" s="894">
        <f>'1.Onbe'!J48+'1.Onbe'!J50</f>
        <v>388700</v>
      </c>
      <c r="H17" s="894">
        <f>'1.Onbe'!K48+'1.Onbe'!K50</f>
        <v>411527</v>
      </c>
      <c r="I17" s="1380">
        <f>'1.Onbe'!L48+'1.Onbe'!L50</f>
        <v>77922</v>
      </c>
      <c r="J17" s="904"/>
      <c r="K17" s="904">
        <v>8</v>
      </c>
      <c r="L17" s="3" t="s">
        <v>158</v>
      </c>
      <c r="M17" s="894">
        <v>403061</v>
      </c>
      <c r="N17" s="895">
        <v>2531872</v>
      </c>
      <c r="O17" s="894">
        <f>'2.Onki'!J33</f>
        <v>1837575</v>
      </c>
      <c r="P17" s="893">
        <f>'2.Onki'!K11+'2.Onki'!K33</f>
        <v>634554</v>
      </c>
      <c r="Q17" s="1391">
        <f>'2.Onki'!L11+'2.Onki'!L33</f>
        <v>634190</v>
      </c>
    </row>
    <row r="18" spans="1:44">
      <c r="A18" s="12">
        <v>13</v>
      </c>
      <c r="B18" s="51"/>
      <c r="C18" s="12">
        <v>7</v>
      </c>
      <c r="D18" s="6" t="s">
        <v>132</v>
      </c>
      <c r="E18" s="894">
        <v>4245961</v>
      </c>
      <c r="F18" s="894">
        <v>8447965</v>
      </c>
      <c r="G18" s="894">
        <f>'1.Onbe'!J51+'1.Onbe'!J52</f>
        <v>1048134</v>
      </c>
      <c r="H18" s="894">
        <f>'1.Onbe'!K51+'1.Onbe'!K52</f>
        <v>1231238</v>
      </c>
      <c r="I18" s="1380">
        <f>'1.Onbe'!L51+'1.Onbe'!L52+'1.Onbe'!L53</f>
        <v>1242558</v>
      </c>
      <c r="J18" s="904"/>
      <c r="K18" s="904">
        <v>9</v>
      </c>
      <c r="L18" s="3" t="s">
        <v>159</v>
      </c>
      <c r="M18" s="894">
        <v>103204</v>
      </c>
      <c r="N18" s="895">
        <v>277356</v>
      </c>
      <c r="O18" s="894">
        <f>'2.Onki'!J34</f>
        <v>884831</v>
      </c>
      <c r="P18" s="893">
        <f>'2.Onki'!K34</f>
        <v>1165545</v>
      </c>
      <c r="Q18" s="1391">
        <f>'2.Onki'!L34</f>
        <v>510639</v>
      </c>
    </row>
    <row r="19" spans="1:44">
      <c r="A19" s="12">
        <v>14</v>
      </c>
      <c r="B19" s="51"/>
      <c r="C19" s="12"/>
      <c r="E19" s="894"/>
      <c r="F19" s="894"/>
      <c r="G19" s="894"/>
      <c r="H19" s="894"/>
      <c r="I19" s="1380"/>
      <c r="J19" s="904"/>
      <c r="K19" s="904">
        <v>10</v>
      </c>
      <c r="L19" s="3" t="s">
        <v>737</v>
      </c>
      <c r="M19" s="894">
        <v>12996</v>
      </c>
      <c r="N19" s="895"/>
      <c r="O19" s="894">
        <f>'2.Onki'!J25</f>
        <v>574500</v>
      </c>
      <c r="P19" s="893">
        <f>'2.Onki'!K25</f>
        <v>1000</v>
      </c>
      <c r="Q19" s="1391">
        <f>'2.Onki'!L25</f>
        <v>0</v>
      </c>
    </row>
    <row r="20" spans="1:44" s="10" customFormat="1" ht="24.75" customHeight="1" thickBot="1">
      <c r="A20" s="12">
        <v>15</v>
      </c>
      <c r="B20" s="905"/>
      <c r="C20" s="906"/>
      <c r="D20" s="907" t="s">
        <v>738</v>
      </c>
      <c r="E20" s="908">
        <f>SUM(E16:E19)</f>
        <v>6311912</v>
      </c>
      <c r="F20" s="908">
        <f>SUM(F16:F19)</f>
        <v>11786904</v>
      </c>
      <c r="G20" s="908">
        <f>SUM(G16:G19)</f>
        <v>4031558</v>
      </c>
      <c r="H20" s="908">
        <f>SUM(H16:H19)</f>
        <v>4440030</v>
      </c>
      <c r="I20" s="1381">
        <f>SUM(I16:I19)</f>
        <v>3919540</v>
      </c>
      <c r="J20" s="909"/>
      <c r="K20" s="909"/>
      <c r="L20" s="907" t="s">
        <v>739</v>
      </c>
      <c r="M20" s="908">
        <f>SUM(M16:M19)</f>
        <v>24724187</v>
      </c>
      <c r="N20" s="910">
        <f>SUM(N16:N19)</f>
        <v>26721665</v>
      </c>
      <c r="O20" s="908">
        <f>SUM(O16:O19)</f>
        <v>14727321</v>
      </c>
      <c r="P20" s="908">
        <f>SUM(P16:P19)</f>
        <v>15161387</v>
      </c>
      <c r="Q20" s="1393">
        <f>SUM(Q16:Q19)</f>
        <v>7277587</v>
      </c>
    </row>
    <row r="21" spans="1:44" s="10" customFormat="1" ht="24.75" customHeight="1" thickTop="1" thickBot="1">
      <c r="A21" s="12">
        <v>16</v>
      </c>
      <c r="B21" s="911"/>
      <c r="C21" s="912"/>
      <c r="D21" s="913" t="s">
        <v>136</v>
      </c>
      <c r="E21" s="914">
        <f>SUM(E14,E20)</f>
        <v>28951322</v>
      </c>
      <c r="F21" s="914">
        <f>SUM(F14,F20)</f>
        <v>45499680</v>
      </c>
      <c r="G21" s="915">
        <f>SUM(G14,G20)</f>
        <v>30858374</v>
      </c>
      <c r="H21" s="915">
        <f>SUM(H14,H20)</f>
        <v>32257094</v>
      </c>
      <c r="I21" s="1382">
        <f>SUM(I14,I20)</f>
        <v>32288796</v>
      </c>
      <c r="J21" s="912"/>
      <c r="K21" s="912"/>
      <c r="L21" s="913" t="s">
        <v>176</v>
      </c>
      <c r="M21" s="916">
        <f>SUM(M14,M20)</f>
        <v>49169604</v>
      </c>
      <c r="N21" s="917">
        <f>SUM(N14,N20)</f>
        <v>52054148</v>
      </c>
      <c r="O21" s="916">
        <f>SUM(O14,O20)</f>
        <v>43090034</v>
      </c>
      <c r="P21" s="916">
        <f>SUM(P14,P20)</f>
        <v>46905251</v>
      </c>
      <c r="Q21" s="1394">
        <f>SUM(Q14,Q20)</f>
        <v>33746524</v>
      </c>
    </row>
    <row r="22" spans="1:44" s="10" customFormat="1" ht="24.75" customHeight="1" thickTop="1">
      <c r="A22" s="12">
        <v>17</v>
      </c>
      <c r="B22" s="51">
        <v>1</v>
      </c>
      <c r="C22" s="12"/>
      <c r="D22" s="5" t="s">
        <v>740</v>
      </c>
      <c r="E22" s="918"/>
      <c r="F22" s="918"/>
      <c r="G22" s="918"/>
      <c r="H22" s="918"/>
      <c r="I22" s="1383"/>
      <c r="J22" s="12">
        <v>1</v>
      </c>
      <c r="K22" s="12"/>
      <c r="L22" s="5" t="s">
        <v>741</v>
      </c>
      <c r="M22" s="918"/>
      <c r="N22" s="919"/>
      <c r="O22" s="918"/>
      <c r="P22" s="1372"/>
      <c r="Q22" s="1395"/>
    </row>
    <row r="23" spans="1:44" s="10" customFormat="1">
      <c r="A23" s="12">
        <v>18</v>
      </c>
      <c r="B23" s="51"/>
      <c r="C23" s="12">
        <v>8</v>
      </c>
      <c r="D23" s="10" t="s">
        <v>742</v>
      </c>
      <c r="E23" s="918">
        <v>5112488</v>
      </c>
      <c r="F23" s="918">
        <v>7764718</v>
      </c>
      <c r="G23" s="918">
        <f>'1.Onbe'!J61</f>
        <v>6572145</v>
      </c>
      <c r="H23" s="918">
        <f>'1.Onbe'!K61</f>
        <v>10243449</v>
      </c>
      <c r="I23" s="1383">
        <f>'1.Onbe'!L61</f>
        <v>10243449</v>
      </c>
      <c r="J23" s="12"/>
      <c r="K23" s="12">
        <v>11</v>
      </c>
      <c r="L23" s="10" t="s">
        <v>178</v>
      </c>
      <c r="M23" s="918">
        <v>196121</v>
      </c>
      <c r="N23" s="919">
        <v>354955</v>
      </c>
      <c r="O23" s="918">
        <f>'2.Onki'!J41</f>
        <v>219898</v>
      </c>
      <c r="P23" s="1373">
        <f>'2.Onki'!K41</f>
        <v>789246</v>
      </c>
      <c r="Q23" s="1396">
        <f>'2.Onki'!L41</f>
        <v>566850</v>
      </c>
    </row>
    <row r="24" spans="1:44" s="10" customFormat="1">
      <c r="A24" s="12">
        <v>19</v>
      </c>
      <c r="B24" s="51"/>
      <c r="C24" s="12">
        <v>9</v>
      </c>
      <c r="D24" s="10" t="s">
        <v>139</v>
      </c>
      <c r="E24" s="918"/>
      <c r="F24" s="918">
        <v>378732</v>
      </c>
      <c r="G24" s="918">
        <f>'1.Onbe'!J58</f>
        <v>0</v>
      </c>
      <c r="H24" s="918">
        <f>'1.Onbe'!K58</f>
        <v>569348</v>
      </c>
      <c r="I24" s="1383">
        <f>'1.Onbe'!L58</f>
        <v>569346</v>
      </c>
      <c r="J24" s="12"/>
      <c r="K24" s="12">
        <v>13</v>
      </c>
      <c r="L24" s="10" t="s">
        <v>69</v>
      </c>
      <c r="M24" s="918"/>
      <c r="N24" s="919"/>
      <c r="O24" s="918"/>
      <c r="P24" s="1373">
        <f>'2.Onki'!K42</f>
        <v>1500000</v>
      </c>
      <c r="Q24" s="1396">
        <f>'2.Onki'!L42</f>
        <v>1500000</v>
      </c>
    </row>
    <row r="25" spans="1:44" s="10" customFormat="1">
      <c r="A25" s="12"/>
      <c r="B25" s="51"/>
      <c r="C25" s="12">
        <v>12</v>
      </c>
      <c r="D25" s="10" t="s">
        <v>743</v>
      </c>
      <c r="E25" s="918"/>
      <c r="F25" s="918"/>
      <c r="G25" s="918"/>
      <c r="H25" s="918"/>
      <c r="I25" s="1383"/>
      <c r="J25" s="12"/>
      <c r="K25" s="12"/>
      <c r="M25" s="918"/>
      <c r="N25" s="919"/>
      <c r="O25" s="918"/>
      <c r="P25" s="1373"/>
      <c r="Q25" s="1395"/>
    </row>
    <row r="26" spans="1:44" s="10" customFormat="1" ht="24" customHeight="1">
      <c r="A26" s="12">
        <v>21</v>
      </c>
      <c r="B26" s="51">
        <v>2</v>
      </c>
      <c r="C26" s="12"/>
      <c r="D26" s="5" t="s">
        <v>744</v>
      </c>
      <c r="E26" s="918"/>
      <c r="F26" s="918"/>
      <c r="G26" s="918"/>
      <c r="H26" s="918"/>
      <c r="I26" s="1383"/>
      <c r="J26" s="12">
        <v>2</v>
      </c>
      <c r="K26" s="12"/>
      <c r="L26" s="5" t="s">
        <v>745</v>
      </c>
      <c r="M26" s="918"/>
      <c r="N26" s="919"/>
      <c r="O26" s="918"/>
      <c r="P26" s="1372"/>
      <c r="Q26" s="1395"/>
    </row>
    <row r="27" spans="1:44" s="10" customFormat="1">
      <c r="A27" s="12">
        <v>22</v>
      </c>
      <c r="B27" s="51"/>
      <c r="C27" s="12">
        <v>10</v>
      </c>
      <c r="D27" s="10" t="s">
        <v>746</v>
      </c>
      <c r="E27" s="918">
        <v>525022</v>
      </c>
      <c r="F27" s="918">
        <v>519707</v>
      </c>
      <c r="G27" s="918">
        <f>'1.Onbe'!J72+'1.Onbe'!J71</f>
        <v>0</v>
      </c>
      <c r="H27" s="918">
        <f>'1.Onbe'!K71</f>
        <v>0</v>
      </c>
      <c r="I27" s="1383">
        <f>'1.Onbe'!L71</f>
        <v>0</v>
      </c>
      <c r="J27" s="12"/>
      <c r="K27" s="12">
        <v>12</v>
      </c>
      <c r="L27" s="10" t="s">
        <v>747</v>
      </c>
      <c r="M27" s="918">
        <v>236874</v>
      </c>
      <c r="N27" s="919">
        <v>281874</v>
      </c>
      <c r="O27" s="918">
        <f>'2.Onki'!J44</f>
        <v>237839</v>
      </c>
      <c r="P27" s="1373">
        <f>'2.Onki'!K44</f>
        <v>237839</v>
      </c>
      <c r="Q27" s="1396">
        <f>'2.Onki'!L44</f>
        <v>237839</v>
      </c>
    </row>
    <row r="28" spans="1:44" s="10" customFormat="1">
      <c r="A28" s="12">
        <v>23</v>
      </c>
      <c r="B28" s="51"/>
      <c r="C28" s="12">
        <v>11</v>
      </c>
      <c r="D28" s="10" t="s">
        <v>742</v>
      </c>
      <c r="E28" s="918">
        <v>15013767</v>
      </c>
      <c r="F28" s="918">
        <v>15134034</v>
      </c>
      <c r="G28" s="918">
        <f>'1.Onbe'!J65</f>
        <v>6117252</v>
      </c>
      <c r="H28" s="918">
        <f>'1.Onbe'!K65</f>
        <v>6362445</v>
      </c>
      <c r="I28" s="1383">
        <f>'1.Onbe'!L65</f>
        <v>6362445</v>
      </c>
      <c r="J28" s="12"/>
      <c r="K28" s="12"/>
      <c r="M28" s="918"/>
      <c r="N28" s="919"/>
      <c r="O28" s="918"/>
      <c r="P28" s="1372"/>
      <c r="Q28" s="1395"/>
    </row>
    <row r="29" spans="1:44" s="18" customFormat="1" ht="24.75" customHeight="1" thickBot="1">
      <c r="A29" s="12">
        <v>24</v>
      </c>
      <c r="B29" s="905"/>
      <c r="C29" s="906"/>
      <c r="D29" s="85" t="s">
        <v>748</v>
      </c>
      <c r="E29" s="920">
        <f>SUM(E22:E28)</f>
        <v>20651277</v>
      </c>
      <c r="F29" s="920">
        <f>SUM(F22:F28)</f>
        <v>23797191</v>
      </c>
      <c r="G29" s="920">
        <f>SUM(G22:G28)</f>
        <v>12689397</v>
      </c>
      <c r="H29" s="920">
        <f>SUM(H22:H28)</f>
        <v>17175242</v>
      </c>
      <c r="I29" s="1384">
        <f>SUM(I22:I28)</f>
        <v>17175240</v>
      </c>
      <c r="J29" s="906"/>
      <c r="K29" s="906"/>
      <c r="L29" s="85" t="s">
        <v>749</v>
      </c>
      <c r="M29" s="920">
        <f>SUM(M22:M28)</f>
        <v>432995</v>
      </c>
      <c r="N29" s="921">
        <f>SUM(N22:N28)</f>
        <v>636829</v>
      </c>
      <c r="O29" s="920">
        <f>SUM(O22:O28)</f>
        <v>457737</v>
      </c>
      <c r="P29" s="920">
        <f>SUM(P22:P28)</f>
        <v>2527085</v>
      </c>
      <c r="Q29" s="1397">
        <f>SUM(Q22:Q28)</f>
        <v>2304689</v>
      </c>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row>
    <row r="30" spans="1:44" s="10" customFormat="1" ht="30" customHeight="1" thickTop="1" thickBot="1">
      <c r="A30" s="12">
        <v>25</v>
      </c>
      <c r="B30" s="905"/>
      <c r="C30" s="906"/>
      <c r="D30" s="85" t="s">
        <v>750</v>
      </c>
      <c r="E30" s="908">
        <f>SUM(E21,E29)</f>
        <v>49602599</v>
      </c>
      <c r="F30" s="908">
        <f>SUM(F21,F29)</f>
        <v>69296871</v>
      </c>
      <c r="G30" s="908">
        <f>SUM(G21,G29)</f>
        <v>43547771</v>
      </c>
      <c r="H30" s="908">
        <f>SUM(H21,H29)</f>
        <v>49432336</v>
      </c>
      <c r="I30" s="1381">
        <f>SUM(I21,I29)</f>
        <v>49464036</v>
      </c>
      <c r="J30" s="906"/>
      <c r="K30" s="906"/>
      <c r="L30" s="85" t="s">
        <v>751</v>
      </c>
      <c r="M30" s="908">
        <f>SUM(M21,M29)</f>
        <v>49602599</v>
      </c>
      <c r="N30" s="910">
        <f>SUM(N21,N29)</f>
        <v>52690977</v>
      </c>
      <c r="O30" s="908">
        <f>SUM(O21,O29)</f>
        <v>43547771</v>
      </c>
      <c r="P30" s="908">
        <f>SUM(P21,P29)</f>
        <v>49432336</v>
      </c>
      <c r="Q30" s="1393">
        <f>SUM(Q21,Q29)</f>
        <v>36051213</v>
      </c>
    </row>
    <row r="31" spans="1:44" s="10" customFormat="1" ht="16" thickTop="1">
      <c r="A31" s="12">
        <v>26</v>
      </c>
      <c r="B31" s="922"/>
      <c r="C31" s="923"/>
      <c r="D31" s="924" t="s">
        <v>137</v>
      </c>
      <c r="E31" s="925">
        <f>+E21-M21</f>
        <v>-20218282</v>
      </c>
      <c r="F31" s="925">
        <f>+F21-N21</f>
        <v>-6554468</v>
      </c>
      <c r="G31" s="925">
        <f>+G21-O21</f>
        <v>-12231660</v>
      </c>
      <c r="H31" s="925">
        <f>+H21-P21</f>
        <v>-14648157</v>
      </c>
      <c r="I31" s="1385">
        <f>+I21-Q21</f>
        <v>-1457728</v>
      </c>
      <c r="J31" s="13"/>
      <c r="K31" s="13"/>
      <c r="L31" s="926"/>
      <c r="M31" s="918"/>
      <c r="N31" s="919"/>
      <c r="O31" s="918"/>
      <c r="P31" s="1372"/>
      <c r="Q31" s="1395"/>
    </row>
    <row r="32" spans="1:44" s="10" customFormat="1">
      <c r="A32" s="12">
        <v>27</v>
      </c>
      <c r="B32" s="51"/>
      <c r="C32" s="12"/>
      <c r="D32" s="927" t="s">
        <v>752</v>
      </c>
      <c r="E32" s="928">
        <f>+E14-M14</f>
        <v>-1806007</v>
      </c>
      <c r="F32" s="928">
        <f>+F14-N14</f>
        <v>8380293</v>
      </c>
      <c r="G32" s="928">
        <f>+G14-O14</f>
        <v>-1535897</v>
      </c>
      <c r="H32" s="928">
        <f>+H14-P14</f>
        <v>-3926800</v>
      </c>
      <c r="I32" s="1386">
        <f>+I14-Q14</f>
        <v>1900319</v>
      </c>
      <c r="J32" s="13"/>
      <c r="K32" s="13"/>
      <c r="L32" s="926"/>
      <c r="M32" s="918"/>
      <c r="N32" s="919"/>
      <c r="O32" s="918"/>
      <c r="P32" s="1372"/>
      <c r="Q32" s="1395"/>
    </row>
    <row r="33" spans="1:17" s="10" customFormat="1">
      <c r="A33" s="12">
        <v>28</v>
      </c>
      <c r="B33" s="51"/>
      <c r="C33" s="12"/>
      <c r="D33" s="927" t="s">
        <v>753</v>
      </c>
      <c r="E33" s="928">
        <f>+E20-M20</f>
        <v>-18412275</v>
      </c>
      <c r="F33" s="928">
        <f>+F20-N20</f>
        <v>-14934761</v>
      </c>
      <c r="G33" s="928">
        <f>+G20-O20</f>
        <v>-10695763</v>
      </c>
      <c r="H33" s="928">
        <f>+H20-P20</f>
        <v>-10721357</v>
      </c>
      <c r="I33" s="1386">
        <f>+I20-Q20</f>
        <v>-3358047</v>
      </c>
      <c r="J33" s="13"/>
      <c r="K33" s="13"/>
      <c r="L33" s="926"/>
      <c r="M33" s="918"/>
      <c r="N33" s="919"/>
      <c r="O33" s="918"/>
      <c r="P33" s="1372"/>
      <c r="Q33" s="1395"/>
    </row>
    <row r="34" spans="1:17" s="10" customFormat="1">
      <c r="A34" s="12">
        <v>29</v>
      </c>
      <c r="B34" s="51"/>
      <c r="C34" s="12"/>
      <c r="D34" s="929" t="s">
        <v>754</v>
      </c>
      <c r="E34" s="928">
        <f>+E31-M29</f>
        <v>-20651277</v>
      </c>
      <c r="F34" s="928">
        <f>+F31-N29</f>
        <v>-7191297</v>
      </c>
      <c r="G34" s="928">
        <f>+G31-O29</f>
        <v>-12689397</v>
      </c>
      <c r="H34" s="928">
        <f>+H31-P29</f>
        <v>-17175242</v>
      </c>
      <c r="I34" s="1386">
        <f>+I31-Q29</f>
        <v>-3762417</v>
      </c>
      <c r="J34" s="13"/>
      <c r="K34" s="13"/>
      <c r="L34" s="926"/>
      <c r="M34" s="918"/>
      <c r="N34" s="919"/>
      <c r="O34" s="918"/>
      <c r="P34" s="1372"/>
      <c r="Q34" s="1395"/>
    </row>
    <row r="35" spans="1:17" s="10" customFormat="1" ht="32.25" customHeight="1">
      <c r="A35" s="12">
        <v>30</v>
      </c>
      <c r="B35" s="51"/>
      <c r="C35" s="12"/>
      <c r="D35" s="930" t="s">
        <v>755</v>
      </c>
      <c r="E35" s="928">
        <f>E28+E23</f>
        <v>20126255</v>
      </c>
      <c r="F35" s="928">
        <f>F28+F23+F24</f>
        <v>23277484</v>
      </c>
      <c r="G35" s="928">
        <f>G28+G23</f>
        <v>12689397</v>
      </c>
      <c r="H35" s="928">
        <f>H28+H23+H24+H25</f>
        <v>17175242</v>
      </c>
      <c r="I35" s="1386">
        <f>I28+I23+I24+I25</f>
        <v>17175240</v>
      </c>
      <c r="J35" s="13"/>
      <c r="K35" s="13"/>
      <c r="L35" s="926"/>
      <c r="M35" s="918"/>
      <c r="N35" s="919"/>
      <c r="O35" s="918"/>
      <c r="P35" s="1372"/>
      <c r="Q35" s="1395"/>
    </row>
    <row r="36" spans="1:17" s="10" customFormat="1" ht="33.75" customHeight="1">
      <c r="A36" s="12">
        <v>31</v>
      </c>
      <c r="B36" s="931"/>
      <c r="C36" s="81"/>
      <c r="D36" s="932" t="s">
        <v>756</v>
      </c>
      <c r="E36" s="933">
        <f>E27</f>
        <v>525022</v>
      </c>
      <c r="F36" s="933">
        <f>F27</f>
        <v>519707</v>
      </c>
      <c r="G36" s="933">
        <f>G27</f>
        <v>0</v>
      </c>
      <c r="H36" s="933">
        <f>H27</f>
        <v>0</v>
      </c>
      <c r="I36" s="1387">
        <f>I27</f>
        <v>0</v>
      </c>
      <c r="J36" s="934"/>
      <c r="K36" s="934"/>
      <c r="L36" s="935"/>
      <c r="M36" s="936"/>
      <c r="N36" s="937"/>
      <c r="O36" s="936"/>
      <c r="P36" s="1374"/>
      <c r="Q36" s="1395"/>
    </row>
    <row r="37" spans="1:17" ht="19.5" customHeight="1">
      <c r="A37" s="12">
        <v>32</v>
      </c>
      <c r="B37" s="51"/>
      <c r="C37" s="12"/>
      <c r="D37" s="6" t="s">
        <v>757</v>
      </c>
      <c r="E37" s="938">
        <f>(E14+E23+E24)/E30</f>
        <v>0.55948475603062653</v>
      </c>
      <c r="F37" s="938">
        <f>(F14+F23+F24)/F30</f>
        <v>0.60401321727787682</v>
      </c>
      <c r="G37" s="938">
        <f>(G14+G23+G24)/G30</f>
        <v>0.76694995479791606</v>
      </c>
      <c r="H37" s="938">
        <f>(H14+H23+H24)/H30</f>
        <v>0.78146946160909736</v>
      </c>
      <c r="I37" s="1388">
        <f>(I14+I23+I24)/I30</f>
        <v>0.79213210583948301</v>
      </c>
      <c r="J37" s="12"/>
      <c r="K37" s="12"/>
      <c r="L37" s="6" t="s">
        <v>758</v>
      </c>
      <c r="M37" s="938">
        <f>(M14+M23)/M30</f>
        <v>0.49677917078498246</v>
      </c>
      <c r="N37" s="939">
        <f>(N14+N23)/N30</f>
        <v>0.48751113497098375</v>
      </c>
      <c r="O37" s="938">
        <f>(O14+O23)/O30</f>
        <v>0.65635072343886436</v>
      </c>
      <c r="P37" s="938">
        <f>(P14+P23+P24)/P30</f>
        <v>0.68847869135700968</v>
      </c>
      <c r="Q37" s="1398">
        <f>(Q14+Q23+Q24)/Q30</f>
        <v>0.79153472589119267</v>
      </c>
    </row>
    <row r="38" spans="1:17" ht="19.5" customHeight="1" thickBot="1">
      <c r="A38" s="12">
        <v>33</v>
      </c>
      <c r="B38" s="940"/>
      <c r="C38" s="941"/>
      <c r="D38" s="942" t="s">
        <v>759</v>
      </c>
      <c r="E38" s="943">
        <f>(E20+E27+E28)/E30</f>
        <v>0.44051524396937347</v>
      </c>
      <c r="F38" s="943">
        <f>(F20+F27+F28)/F30</f>
        <v>0.39598678272212318</v>
      </c>
      <c r="G38" s="943">
        <f>(G20+G27+G28)/G30</f>
        <v>0.23305004520208394</v>
      </c>
      <c r="H38" s="943">
        <f>(H20+H27+H28)/H30</f>
        <v>0.21853053839090267</v>
      </c>
      <c r="I38" s="1389">
        <f>(I20+I27+I28)/I30</f>
        <v>0.20786789416051696</v>
      </c>
      <c r="J38" s="941"/>
      <c r="K38" s="941"/>
      <c r="L38" s="942" t="s">
        <v>760</v>
      </c>
      <c r="M38" s="943">
        <f>(M20+M27)/M30</f>
        <v>0.50322082921501754</v>
      </c>
      <c r="N38" s="944">
        <f>(N20+N27)/N30</f>
        <v>0.51248886502901625</v>
      </c>
      <c r="O38" s="943">
        <f>(O20+O27)/O30</f>
        <v>0.34364927656113559</v>
      </c>
      <c r="P38" s="943">
        <f>(P20+P27)/P30</f>
        <v>0.31152130864299027</v>
      </c>
      <c r="Q38" s="1399">
        <f>(Q20+Q27)/Q30</f>
        <v>0.20846527410880739</v>
      </c>
    </row>
    <row r="39" spans="1:17">
      <c r="L39" s="6" t="s">
        <v>761</v>
      </c>
    </row>
  </sheetData>
  <mergeCells count="3">
    <mergeCell ref="B1:F1"/>
    <mergeCell ref="B2:Q2"/>
    <mergeCell ref="B3:Q3"/>
  </mergeCells>
  <printOptions horizontalCentered="1" verticalCentered="1"/>
  <pageMargins left="0.196527777777778" right="0.196527777777778" top="0.196527777777778" bottom="0.196527777777778" header="0.511811023622047" footer="0.118055555555556"/>
  <pageSetup paperSize="9" scale="47" fitToHeight="0" orientation="landscape" verticalDpi="300" r:id="rId1"/>
  <headerFooter>
    <oddFooter>&amp;C- &amp;P -</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6"/>
  <sheetViews>
    <sheetView view="pageBreakPreview" topLeftCell="I1" zoomScaleNormal="100" zoomScaleSheetLayoutView="100" workbookViewId="0">
      <selection activeCell="A5" sqref="A5:U16"/>
    </sheetView>
  </sheetViews>
  <sheetFormatPr defaultRowHeight="15.5"/>
  <cols>
    <col min="1" max="1" width="3" style="1177" customWidth="1"/>
    <col min="2" max="2" width="3.7265625" style="1184" customWidth="1"/>
    <col min="3" max="3" width="40.26953125" style="1185" customWidth="1"/>
    <col min="4" max="4" width="15.453125" style="1184" customWidth="1"/>
    <col min="5" max="7" width="13.81640625" style="1184" customWidth="1"/>
    <col min="8" max="8" width="12" style="1184" customWidth="1"/>
    <col min="9" max="9" width="11.453125" style="1184" customWidth="1"/>
    <col min="10" max="10" width="11.54296875" style="1184" customWidth="1"/>
    <col min="11" max="11" width="12.26953125" style="1184" customWidth="1"/>
    <col min="12" max="21" width="11.54296875" style="1184" customWidth="1"/>
    <col min="22" max="189" width="8" style="1178" customWidth="1"/>
    <col min="190" max="190" width="2.453125" style="1178" bestFit="1" customWidth="1"/>
    <col min="191" max="191" width="28.26953125" style="1178" bestFit="1" customWidth="1"/>
    <col min="192" max="192" width="14.26953125" style="1178" bestFit="1" customWidth="1"/>
    <col min="193" max="193" width="13.54296875" style="1178" bestFit="1" customWidth="1"/>
    <col min="194" max="194" width="10.7265625" style="1178" bestFit="1" customWidth="1"/>
    <col min="195" max="195" width="9.453125" style="1178" bestFit="1" customWidth="1"/>
    <col min="196" max="196" width="9.81640625" style="1178" bestFit="1" customWidth="1"/>
    <col min="197" max="197" width="11.26953125" style="1178" bestFit="1" customWidth="1"/>
    <col min="198" max="198" width="9.1796875" style="1178"/>
    <col min="199" max="200" width="3.7265625" style="1178" customWidth="1"/>
    <col min="201" max="201" width="18.81640625" style="1178" customWidth="1"/>
    <col min="202" max="202" width="19.7265625" style="1178" customWidth="1"/>
    <col min="203" max="203" width="13.54296875" style="1178" customWidth="1"/>
    <col min="204" max="206" width="11.7265625" style="1178" customWidth="1"/>
    <col min="207" max="207" width="12.7265625" style="1178" customWidth="1"/>
    <col min="208" max="217" width="11.7265625" style="1178" customWidth="1"/>
    <col min="218" max="445" width="8" style="1178" customWidth="1"/>
    <col min="446" max="446" width="2.453125" style="1178" bestFit="1" customWidth="1"/>
    <col min="447" max="447" width="28.26953125" style="1178" bestFit="1" customWidth="1"/>
    <col min="448" max="448" width="14.26953125" style="1178" bestFit="1" customWidth="1"/>
    <col min="449" max="449" width="13.54296875" style="1178" bestFit="1" customWidth="1"/>
    <col min="450" max="450" width="10.7265625" style="1178" bestFit="1" customWidth="1"/>
    <col min="451" max="451" width="9.453125" style="1178" bestFit="1" customWidth="1"/>
    <col min="452" max="452" width="9.81640625" style="1178" bestFit="1" customWidth="1"/>
    <col min="453" max="453" width="11.26953125" style="1178" bestFit="1" customWidth="1"/>
    <col min="454" max="454" width="9.1796875" style="1178"/>
    <col min="455" max="456" width="3.7265625" style="1178" customWidth="1"/>
    <col min="457" max="457" width="18.81640625" style="1178" customWidth="1"/>
    <col min="458" max="458" width="19.7265625" style="1178" customWidth="1"/>
    <col min="459" max="459" width="13.54296875" style="1178" customWidth="1"/>
    <col min="460" max="462" width="11.7265625" style="1178" customWidth="1"/>
    <col min="463" max="463" width="12.7265625" style="1178" customWidth="1"/>
    <col min="464" max="473" width="11.7265625" style="1178" customWidth="1"/>
    <col min="474" max="701" width="8" style="1178" customWidth="1"/>
    <col min="702" max="702" width="2.453125" style="1178" bestFit="1" customWidth="1"/>
    <col min="703" max="703" width="28.26953125" style="1178" bestFit="1" customWidth="1"/>
    <col min="704" max="704" width="14.26953125" style="1178" bestFit="1" customWidth="1"/>
    <col min="705" max="705" width="13.54296875" style="1178" bestFit="1" customWidth="1"/>
    <col min="706" max="706" width="10.7265625" style="1178" bestFit="1" customWidth="1"/>
    <col min="707" max="707" width="9.453125" style="1178" bestFit="1" customWidth="1"/>
    <col min="708" max="708" width="9.81640625" style="1178" bestFit="1" customWidth="1"/>
    <col min="709" max="709" width="11.26953125" style="1178" bestFit="1" customWidth="1"/>
    <col min="710" max="710" width="9.1796875" style="1178"/>
    <col min="711" max="712" width="3.7265625" style="1178" customWidth="1"/>
    <col min="713" max="713" width="18.81640625" style="1178" customWidth="1"/>
    <col min="714" max="714" width="19.7265625" style="1178" customWidth="1"/>
    <col min="715" max="715" width="13.54296875" style="1178" customWidth="1"/>
    <col min="716" max="718" width="11.7265625" style="1178" customWidth="1"/>
    <col min="719" max="719" width="12.7265625" style="1178" customWidth="1"/>
    <col min="720" max="729" width="11.7265625" style="1178" customWidth="1"/>
    <col min="730" max="957" width="8" style="1178" customWidth="1"/>
    <col min="958" max="958" width="2.453125" style="1178" bestFit="1" customWidth="1"/>
    <col min="959" max="959" width="28.26953125" style="1178" bestFit="1" customWidth="1"/>
    <col min="960" max="960" width="14.26953125" style="1178" bestFit="1" customWidth="1"/>
    <col min="961" max="961" width="13.54296875" style="1178" bestFit="1" customWidth="1"/>
    <col min="962" max="962" width="10.7265625" style="1178" bestFit="1" customWidth="1"/>
    <col min="963" max="963" width="9.453125" style="1178" bestFit="1" customWidth="1"/>
    <col min="964" max="964" width="9.81640625" style="1178" bestFit="1" customWidth="1"/>
    <col min="965" max="965" width="11.26953125" style="1178" bestFit="1" customWidth="1"/>
    <col min="966" max="966" width="9.1796875" style="1178"/>
    <col min="967" max="968" width="3.7265625" style="1178" customWidth="1"/>
    <col min="969" max="969" width="18.81640625" style="1178" customWidth="1"/>
    <col min="970" max="970" width="19.7265625" style="1178" customWidth="1"/>
    <col min="971" max="971" width="13.54296875" style="1178" customWidth="1"/>
    <col min="972" max="974" width="11.7265625" style="1178" customWidth="1"/>
    <col min="975" max="975" width="12.7265625" style="1178" customWidth="1"/>
    <col min="976" max="985" width="11.7265625" style="1178" customWidth="1"/>
    <col min="986" max="1213" width="8" style="1178" customWidth="1"/>
    <col min="1214" max="1214" width="2.453125" style="1178" bestFit="1" customWidth="1"/>
    <col min="1215" max="1215" width="28.26953125" style="1178" bestFit="1" customWidth="1"/>
    <col min="1216" max="1216" width="14.26953125" style="1178" bestFit="1" customWidth="1"/>
    <col min="1217" max="1217" width="13.54296875" style="1178" bestFit="1" customWidth="1"/>
    <col min="1218" max="1218" width="10.7265625" style="1178" bestFit="1" customWidth="1"/>
    <col min="1219" max="1219" width="9.453125" style="1178" bestFit="1" customWidth="1"/>
    <col min="1220" max="1220" width="9.81640625" style="1178" bestFit="1" customWidth="1"/>
    <col min="1221" max="1221" width="11.26953125" style="1178" bestFit="1" customWidth="1"/>
    <col min="1222" max="1222" width="9.1796875" style="1178"/>
    <col min="1223" max="1224" width="3.7265625" style="1178" customWidth="1"/>
    <col min="1225" max="1225" width="18.81640625" style="1178" customWidth="1"/>
    <col min="1226" max="1226" width="19.7265625" style="1178" customWidth="1"/>
    <col min="1227" max="1227" width="13.54296875" style="1178" customWidth="1"/>
    <col min="1228" max="1230" width="11.7265625" style="1178" customWidth="1"/>
    <col min="1231" max="1231" width="12.7265625" style="1178" customWidth="1"/>
    <col min="1232" max="1241" width="11.7265625" style="1178" customWidth="1"/>
    <col min="1242" max="1469" width="8" style="1178" customWidth="1"/>
    <col min="1470" max="1470" width="2.453125" style="1178" bestFit="1" customWidth="1"/>
    <col min="1471" max="1471" width="28.26953125" style="1178" bestFit="1" customWidth="1"/>
    <col min="1472" max="1472" width="14.26953125" style="1178" bestFit="1" customWidth="1"/>
    <col min="1473" max="1473" width="13.54296875" style="1178" bestFit="1" customWidth="1"/>
    <col min="1474" max="1474" width="10.7265625" style="1178" bestFit="1" customWidth="1"/>
    <col min="1475" max="1475" width="9.453125" style="1178" bestFit="1" customWidth="1"/>
    <col min="1476" max="1476" width="9.81640625" style="1178" bestFit="1" customWidth="1"/>
    <col min="1477" max="1477" width="11.26953125" style="1178" bestFit="1" customWidth="1"/>
    <col min="1478" max="1478" width="9.1796875" style="1178"/>
    <col min="1479" max="1480" width="3.7265625" style="1178" customWidth="1"/>
    <col min="1481" max="1481" width="18.81640625" style="1178" customWidth="1"/>
    <col min="1482" max="1482" width="19.7265625" style="1178" customWidth="1"/>
    <col min="1483" max="1483" width="13.54296875" style="1178" customWidth="1"/>
    <col min="1484" max="1486" width="11.7265625" style="1178" customWidth="1"/>
    <col min="1487" max="1487" width="12.7265625" style="1178" customWidth="1"/>
    <col min="1488" max="1497" width="11.7265625" style="1178" customWidth="1"/>
    <col min="1498" max="1725" width="8" style="1178" customWidth="1"/>
    <col min="1726" max="1726" width="2.453125" style="1178" bestFit="1" customWidth="1"/>
    <col min="1727" max="1727" width="28.26953125" style="1178" bestFit="1" customWidth="1"/>
    <col min="1728" max="1728" width="14.26953125" style="1178" bestFit="1" customWidth="1"/>
    <col min="1729" max="1729" width="13.54296875" style="1178" bestFit="1" customWidth="1"/>
    <col min="1730" max="1730" width="10.7265625" style="1178" bestFit="1" customWidth="1"/>
    <col min="1731" max="1731" width="9.453125" style="1178" bestFit="1" customWidth="1"/>
    <col min="1732" max="1732" width="9.81640625" style="1178" bestFit="1" customWidth="1"/>
    <col min="1733" max="1733" width="11.26953125" style="1178" bestFit="1" customWidth="1"/>
    <col min="1734" max="1734" width="9.1796875" style="1178"/>
    <col min="1735" max="1736" width="3.7265625" style="1178" customWidth="1"/>
    <col min="1737" max="1737" width="18.81640625" style="1178" customWidth="1"/>
    <col min="1738" max="1738" width="19.7265625" style="1178" customWidth="1"/>
    <col min="1739" max="1739" width="13.54296875" style="1178" customWidth="1"/>
    <col min="1740" max="1742" width="11.7265625" style="1178" customWidth="1"/>
    <col min="1743" max="1743" width="12.7265625" style="1178" customWidth="1"/>
    <col min="1744" max="1753" width="11.7265625" style="1178" customWidth="1"/>
    <col min="1754" max="1981" width="8" style="1178" customWidth="1"/>
    <col min="1982" max="1982" width="2.453125" style="1178" bestFit="1" customWidth="1"/>
    <col min="1983" max="1983" width="28.26953125" style="1178" bestFit="1" customWidth="1"/>
    <col min="1984" max="1984" width="14.26953125" style="1178" bestFit="1" customWidth="1"/>
    <col min="1985" max="1985" width="13.54296875" style="1178" bestFit="1" customWidth="1"/>
    <col min="1986" max="1986" width="10.7265625" style="1178" bestFit="1" customWidth="1"/>
    <col min="1987" max="1987" width="9.453125" style="1178" bestFit="1" customWidth="1"/>
    <col min="1988" max="1988" width="9.81640625" style="1178" bestFit="1" customWidth="1"/>
    <col min="1989" max="1989" width="11.26953125" style="1178" bestFit="1" customWidth="1"/>
    <col min="1990" max="1990" width="9.1796875" style="1178"/>
    <col min="1991" max="1992" width="3.7265625" style="1178" customWidth="1"/>
    <col min="1993" max="1993" width="18.81640625" style="1178" customWidth="1"/>
    <col min="1994" max="1994" width="19.7265625" style="1178" customWidth="1"/>
    <col min="1995" max="1995" width="13.54296875" style="1178" customWidth="1"/>
    <col min="1996" max="1998" width="11.7265625" style="1178" customWidth="1"/>
    <col min="1999" max="1999" width="12.7265625" style="1178" customWidth="1"/>
    <col min="2000" max="2009" width="11.7265625" style="1178" customWidth="1"/>
    <col min="2010" max="2237" width="8" style="1178" customWidth="1"/>
    <col min="2238" max="2238" width="2.453125" style="1178" bestFit="1" customWidth="1"/>
    <col min="2239" max="2239" width="28.26953125" style="1178" bestFit="1" customWidth="1"/>
    <col min="2240" max="2240" width="14.26953125" style="1178" bestFit="1" customWidth="1"/>
    <col min="2241" max="2241" width="13.54296875" style="1178" bestFit="1" customWidth="1"/>
    <col min="2242" max="2242" width="10.7265625" style="1178" bestFit="1" customWidth="1"/>
    <col min="2243" max="2243" width="9.453125" style="1178" bestFit="1" customWidth="1"/>
    <col min="2244" max="2244" width="9.81640625" style="1178" bestFit="1" customWidth="1"/>
    <col min="2245" max="2245" width="11.26953125" style="1178" bestFit="1" customWidth="1"/>
    <col min="2246" max="2246" width="9.1796875" style="1178"/>
    <col min="2247" max="2248" width="3.7265625" style="1178" customWidth="1"/>
    <col min="2249" max="2249" width="18.81640625" style="1178" customWidth="1"/>
    <col min="2250" max="2250" width="19.7265625" style="1178" customWidth="1"/>
    <col min="2251" max="2251" width="13.54296875" style="1178" customWidth="1"/>
    <col min="2252" max="2254" width="11.7265625" style="1178" customWidth="1"/>
    <col min="2255" max="2255" width="12.7265625" style="1178" customWidth="1"/>
    <col min="2256" max="2265" width="11.7265625" style="1178" customWidth="1"/>
    <col min="2266" max="2493" width="8" style="1178" customWidth="1"/>
    <col min="2494" max="2494" width="2.453125" style="1178" bestFit="1" customWidth="1"/>
    <col min="2495" max="2495" width="28.26953125" style="1178" bestFit="1" customWidth="1"/>
    <col min="2496" max="2496" width="14.26953125" style="1178" bestFit="1" customWidth="1"/>
    <col min="2497" max="2497" width="13.54296875" style="1178" bestFit="1" customWidth="1"/>
    <col min="2498" max="2498" width="10.7265625" style="1178" bestFit="1" customWidth="1"/>
    <col min="2499" max="2499" width="9.453125" style="1178" bestFit="1" customWidth="1"/>
    <col min="2500" max="2500" width="9.81640625" style="1178" bestFit="1" customWidth="1"/>
    <col min="2501" max="2501" width="11.26953125" style="1178" bestFit="1" customWidth="1"/>
    <col min="2502" max="2502" width="9.1796875" style="1178"/>
    <col min="2503" max="2504" width="3.7265625" style="1178" customWidth="1"/>
    <col min="2505" max="2505" width="18.81640625" style="1178" customWidth="1"/>
    <col min="2506" max="2506" width="19.7265625" style="1178" customWidth="1"/>
    <col min="2507" max="2507" width="13.54296875" style="1178" customWidth="1"/>
    <col min="2508" max="2510" width="11.7265625" style="1178" customWidth="1"/>
    <col min="2511" max="2511" width="12.7265625" style="1178" customWidth="1"/>
    <col min="2512" max="2521" width="11.7265625" style="1178" customWidth="1"/>
    <col min="2522" max="2749" width="8" style="1178" customWidth="1"/>
    <col min="2750" max="2750" width="2.453125" style="1178" bestFit="1" customWidth="1"/>
    <col min="2751" max="2751" width="28.26953125" style="1178" bestFit="1" customWidth="1"/>
    <col min="2752" max="2752" width="14.26953125" style="1178" bestFit="1" customWidth="1"/>
    <col min="2753" max="2753" width="13.54296875" style="1178" bestFit="1" customWidth="1"/>
    <col min="2754" max="2754" width="10.7265625" style="1178" bestFit="1" customWidth="1"/>
    <col min="2755" max="2755" width="9.453125" style="1178" bestFit="1" customWidth="1"/>
    <col min="2756" max="2756" width="9.81640625" style="1178" bestFit="1" customWidth="1"/>
    <col min="2757" max="2757" width="11.26953125" style="1178" bestFit="1" customWidth="1"/>
    <col min="2758" max="2758" width="9.1796875" style="1178"/>
    <col min="2759" max="2760" width="3.7265625" style="1178" customWidth="1"/>
    <col min="2761" max="2761" width="18.81640625" style="1178" customWidth="1"/>
    <col min="2762" max="2762" width="19.7265625" style="1178" customWidth="1"/>
    <col min="2763" max="2763" width="13.54296875" style="1178" customWidth="1"/>
    <col min="2764" max="2766" width="11.7265625" style="1178" customWidth="1"/>
    <col min="2767" max="2767" width="12.7265625" style="1178" customWidth="1"/>
    <col min="2768" max="2777" width="11.7265625" style="1178" customWidth="1"/>
    <col min="2778" max="3005" width="8" style="1178" customWidth="1"/>
    <col min="3006" max="3006" width="2.453125" style="1178" bestFit="1" customWidth="1"/>
    <col min="3007" max="3007" width="28.26953125" style="1178" bestFit="1" customWidth="1"/>
    <col min="3008" max="3008" width="14.26953125" style="1178" bestFit="1" customWidth="1"/>
    <col min="3009" max="3009" width="13.54296875" style="1178" bestFit="1" customWidth="1"/>
    <col min="3010" max="3010" width="10.7265625" style="1178" bestFit="1" customWidth="1"/>
    <col min="3011" max="3011" width="9.453125" style="1178" bestFit="1" customWidth="1"/>
    <col min="3012" max="3012" width="9.81640625" style="1178" bestFit="1" customWidth="1"/>
    <col min="3013" max="3013" width="11.26953125" style="1178" bestFit="1" customWidth="1"/>
    <col min="3014" max="3014" width="9.1796875" style="1178"/>
    <col min="3015" max="3016" width="3.7265625" style="1178" customWidth="1"/>
    <col min="3017" max="3017" width="18.81640625" style="1178" customWidth="1"/>
    <col min="3018" max="3018" width="19.7265625" style="1178" customWidth="1"/>
    <col min="3019" max="3019" width="13.54296875" style="1178" customWidth="1"/>
    <col min="3020" max="3022" width="11.7265625" style="1178" customWidth="1"/>
    <col min="3023" max="3023" width="12.7265625" style="1178" customWidth="1"/>
    <col min="3024" max="3033" width="11.7265625" style="1178" customWidth="1"/>
    <col min="3034" max="3261" width="8" style="1178" customWidth="1"/>
    <col min="3262" max="3262" width="2.453125" style="1178" bestFit="1" customWidth="1"/>
    <col min="3263" max="3263" width="28.26953125" style="1178" bestFit="1" customWidth="1"/>
    <col min="3264" max="3264" width="14.26953125" style="1178" bestFit="1" customWidth="1"/>
    <col min="3265" max="3265" width="13.54296875" style="1178" bestFit="1" customWidth="1"/>
    <col min="3266" max="3266" width="10.7265625" style="1178" bestFit="1" customWidth="1"/>
    <col min="3267" max="3267" width="9.453125" style="1178" bestFit="1" customWidth="1"/>
    <col min="3268" max="3268" width="9.81640625" style="1178" bestFit="1" customWidth="1"/>
    <col min="3269" max="3269" width="11.26953125" style="1178" bestFit="1" customWidth="1"/>
    <col min="3270" max="3270" width="9.1796875" style="1178"/>
    <col min="3271" max="3272" width="3.7265625" style="1178" customWidth="1"/>
    <col min="3273" max="3273" width="18.81640625" style="1178" customWidth="1"/>
    <col min="3274" max="3274" width="19.7265625" style="1178" customWidth="1"/>
    <col min="3275" max="3275" width="13.54296875" style="1178" customWidth="1"/>
    <col min="3276" max="3278" width="11.7265625" style="1178" customWidth="1"/>
    <col min="3279" max="3279" width="12.7265625" style="1178" customWidth="1"/>
    <col min="3280" max="3289" width="11.7265625" style="1178" customWidth="1"/>
    <col min="3290" max="3517" width="8" style="1178" customWidth="1"/>
    <col min="3518" max="3518" width="2.453125" style="1178" bestFit="1" customWidth="1"/>
    <col min="3519" max="3519" width="28.26953125" style="1178" bestFit="1" customWidth="1"/>
    <col min="3520" max="3520" width="14.26953125" style="1178" bestFit="1" customWidth="1"/>
    <col min="3521" max="3521" width="13.54296875" style="1178" bestFit="1" customWidth="1"/>
    <col min="3522" max="3522" width="10.7265625" style="1178" bestFit="1" customWidth="1"/>
    <col min="3523" max="3523" width="9.453125" style="1178" bestFit="1" customWidth="1"/>
    <col min="3524" max="3524" width="9.81640625" style="1178" bestFit="1" customWidth="1"/>
    <col min="3525" max="3525" width="11.26953125" style="1178" bestFit="1" customWidth="1"/>
    <col min="3526" max="3526" width="9.1796875" style="1178"/>
    <col min="3527" max="3528" width="3.7265625" style="1178" customWidth="1"/>
    <col min="3529" max="3529" width="18.81640625" style="1178" customWidth="1"/>
    <col min="3530" max="3530" width="19.7265625" style="1178" customWidth="1"/>
    <col min="3531" max="3531" width="13.54296875" style="1178" customWidth="1"/>
    <col min="3532" max="3534" width="11.7265625" style="1178" customWidth="1"/>
    <col min="3535" max="3535" width="12.7265625" style="1178" customWidth="1"/>
    <col min="3536" max="3545" width="11.7265625" style="1178" customWidth="1"/>
    <col min="3546" max="3773" width="8" style="1178" customWidth="1"/>
    <col min="3774" max="3774" width="2.453125" style="1178" bestFit="1" customWidth="1"/>
    <col min="3775" max="3775" width="28.26953125" style="1178" bestFit="1" customWidth="1"/>
    <col min="3776" max="3776" width="14.26953125" style="1178" bestFit="1" customWidth="1"/>
    <col min="3777" max="3777" width="13.54296875" style="1178" bestFit="1" customWidth="1"/>
    <col min="3778" max="3778" width="10.7265625" style="1178" bestFit="1" customWidth="1"/>
    <col min="3779" max="3779" width="9.453125" style="1178" bestFit="1" customWidth="1"/>
    <col min="3780" max="3780" width="9.81640625" style="1178" bestFit="1" customWidth="1"/>
    <col min="3781" max="3781" width="11.26953125" style="1178" bestFit="1" customWidth="1"/>
    <col min="3782" max="3782" width="9.1796875" style="1178"/>
    <col min="3783" max="3784" width="3.7265625" style="1178" customWidth="1"/>
    <col min="3785" max="3785" width="18.81640625" style="1178" customWidth="1"/>
    <col min="3786" max="3786" width="19.7265625" style="1178" customWidth="1"/>
    <col min="3787" max="3787" width="13.54296875" style="1178" customWidth="1"/>
    <col min="3788" max="3790" width="11.7265625" style="1178" customWidth="1"/>
    <col min="3791" max="3791" width="12.7265625" style="1178" customWidth="1"/>
    <col min="3792" max="3801" width="11.7265625" style="1178" customWidth="1"/>
    <col min="3802" max="4029" width="8" style="1178" customWidth="1"/>
    <col min="4030" max="4030" width="2.453125" style="1178" bestFit="1" customWidth="1"/>
    <col min="4031" max="4031" width="28.26953125" style="1178" bestFit="1" customWidth="1"/>
    <col min="4032" max="4032" width="14.26953125" style="1178" bestFit="1" customWidth="1"/>
    <col min="4033" max="4033" width="13.54296875" style="1178" bestFit="1" customWidth="1"/>
    <col min="4034" max="4034" width="10.7265625" style="1178" bestFit="1" customWidth="1"/>
    <col min="4035" max="4035" width="9.453125" style="1178" bestFit="1" customWidth="1"/>
    <col min="4036" max="4036" width="9.81640625" style="1178" bestFit="1" customWidth="1"/>
    <col min="4037" max="4037" width="11.26953125" style="1178" bestFit="1" customWidth="1"/>
    <col min="4038" max="4038" width="9.1796875" style="1178"/>
    <col min="4039" max="4040" width="3.7265625" style="1178" customWidth="1"/>
    <col min="4041" max="4041" width="18.81640625" style="1178" customWidth="1"/>
    <col min="4042" max="4042" width="19.7265625" style="1178" customWidth="1"/>
    <col min="4043" max="4043" width="13.54296875" style="1178" customWidth="1"/>
    <col min="4044" max="4046" width="11.7265625" style="1178" customWidth="1"/>
    <col min="4047" max="4047" width="12.7265625" style="1178" customWidth="1"/>
    <col min="4048" max="4057" width="11.7265625" style="1178" customWidth="1"/>
    <col min="4058" max="4285" width="8" style="1178" customWidth="1"/>
    <col min="4286" max="4286" width="2.453125" style="1178" bestFit="1" customWidth="1"/>
    <col min="4287" max="4287" width="28.26953125" style="1178" bestFit="1" customWidth="1"/>
    <col min="4288" max="4288" width="14.26953125" style="1178" bestFit="1" customWidth="1"/>
    <col min="4289" max="4289" width="13.54296875" style="1178" bestFit="1" customWidth="1"/>
    <col min="4290" max="4290" width="10.7265625" style="1178" bestFit="1" customWidth="1"/>
    <col min="4291" max="4291" width="9.453125" style="1178" bestFit="1" customWidth="1"/>
    <col min="4292" max="4292" width="9.81640625" style="1178" bestFit="1" customWidth="1"/>
    <col min="4293" max="4293" width="11.26953125" style="1178" bestFit="1" customWidth="1"/>
    <col min="4294" max="4294" width="9.1796875" style="1178"/>
    <col min="4295" max="4296" width="3.7265625" style="1178" customWidth="1"/>
    <col min="4297" max="4297" width="18.81640625" style="1178" customWidth="1"/>
    <col min="4298" max="4298" width="19.7265625" style="1178" customWidth="1"/>
    <col min="4299" max="4299" width="13.54296875" style="1178" customWidth="1"/>
    <col min="4300" max="4302" width="11.7265625" style="1178" customWidth="1"/>
    <col min="4303" max="4303" width="12.7265625" style="1178" customWidth="1"/>
    <col min="4304" max="4313" width="11.7265625" style="1178" customWidth="1"/>
    <col min="4314" max="4541" width="8" style="1178" customWidth="1"/>
    <col min="4542" max="4542" width="2.453125" style="1178" bestFit="1" customWidth="1"/>
    <col min="4543" max="4543" width="28.26953125" style="1178" bestFit="1" customWidth="1"/>
    <col min="4544" max="4544" width="14.26953125" style="1178" bestFit="1" customWidth="1"/>
    <col min="4545" max="4545" width="13.54296875" style="1178" bestFit="1" customWidth="1"/>
    <col min="4546" max="4546" width="10.7265625" style="1178" bestFit="1" customWidth="1"/>
    <col min="4547" max="4547" width="9.453125" style="1178" bestFit="1" customWidth="1"/>
    <col min="4548" max="4548" width="9.81640625" style="1178" bestFit="1" customWidth="1"/>
    <col min="4549" max="4549" width="11.26953125" style="1178" bestFit="1" customWidth="1"/>
    <col min="4550" max="4550" width="9.1796875" style="1178"/>
    <col min="4551" max="4552" width="3.7265625" style="1178" customWidth="1"/>
    <col min="4553" max="4553" width="18.81640625" style="1178" customWidth="1"/>
    <col min="4554" max="4554" width="19.7265625" style="1178" customWidth="1"/>
    <col min="4555" max="4555" width="13.54296875" style="1178" customWidth="1"/>
    <col min="4556" max="4558" width="11.7265625" style="1178" customWidth="1"/>
    <col min="4559" max="4559" width="12.7265625" style="1178" customWidth="1"/>
    <col min="4560" max="4569" width="11.7265625" style="1178" customWidth="1"/>
    <col min="4570" max="4797" width="8" style="1178" customWidth="1"/>
    <col min="4798" max="4798" width="2.453125" style="1178" bestFit="1" customWidth="1"/>
    <col min="4799" max="4799" width="28.26953125" style="1178" bestFit="1" customWidth="1"/>
    <col min="4800" max="4800" width="14.26953125" style="1178" bestFit="1" customWidth="1"/>
    <col min="4801" max="4801" width="13.54296875" style="1178" bestFit="1" customWidth="1"/>
    <col min="4802" max="4802" width="10.7265625" style="1178" bestFit="1" customWidth="1"/>
    <col min="4803" max="4803" width="9.453125" style="1178" bestFit="1" customWidth="1"/>
    <col min="4804" max="4804" width="9.81640625" style="1178" bestFit="1" customWidth="1"/>
    <col min="4805" max="4805" width="11.26953125" style="1178" bestFit="1" customWidth="1"/>
    <col min="4806" max="4806" width="9.1796875" style="1178"/>
    <col min="4807" max="4808" width="3.7265625" style="1178" customWidth="1"/>
    <col min="4809" max="4809" width="18.81640625" style="1178" customWidth="1"/>
    <col min="4810" max="4810" width="19.7265625" style="1178" customWidth="1"/>
    <col min="4811" max="4811" width="13.54296875" style="1178" customWidth="1"/>
    <col min="4812" max="4814" width="11.7265625" style="1178" customWidth="1"/>
    <col min="4815" max="4815" width="12.7265625" style="1178" customWidth="1"/>
    <col min="4816" max="4825" width="11.7265625" style="1178" customWidth="1"/>
    <col min="4826" max="5053" width="8" style="1178" customWidth="1"/>
    <col min="5054" max="5054" width="2.453125" style="1178" bestFit="1" customWidth="1"/>
    <col min="5055" max="5055" width="28.26953125" style="1178" bestFit="1" customWidth="1"/>
    <col min="5056" max="5056" width="14.26953125" style="1178" bestFit="1" customWidth="1"/>
    <col min="5057" max="5057" width="13.54296875" style="1178" bestFit="1" customWidth="1"/>
    <col min="5058" max="5058" width="10.7265625" style="1178" bestFit="1" customWidth="1"/>
    <col min="5059" max="5059" width="9.453125" style="1178" bestFit="1" customWidth="1"/>
    <col min="5060" max="5060" width="9.81640625" style="1178" bestFit="1" customWidth="1"/>
    <col min="5061" max="5061" width="11.26953125" style="1178" bestFit="1" customWidth="1"/>
    <col min="5062" max="5062" width="9.1796875" style="1178"/>
    <col min="5063" max="5064" width="3.7265625" style="1178" customWidth="1"/>
    <col min="5065" max="5065" width="18.81640625" style="1178" customWidth="1"/>
    <col min="5066" max="5066" width="19.7265625" style="1178" customWidth="1"/>
    <col min="5067" max="5067" width="13.54296875" style="1178" customWidth="1"/>
    <col min="5068" max="5070" width="11.7265625" style="1178" customWidth="1"/>
    <col min="5071" max="5071" width="12.7265625" style="1178" customWidth="1"/>
    <col min="5072" max="5081" width="11.7265625" style="1178" customWidth="1"/>
    <col min="5082" max="5309" width="8" style="1178" customWidth="1"/>
    <col min="5310" max="5310" width="2.453125" style="1178" bestFit="1" customWidth="1"/>
    <col min="5311" max="5311" width="28.26953125" style="1178" bestFit="1" customWidth="1"/>
    <col min="5312" max="5312" width="14.26953125" style="1178" bestFit="1" customWidth="1"/>
    <col min="5313" max="5313" width="13.54296875" style="1178" bestFit="1" customWidth="1"/>
    <col min="5314" max="5314" width="10.7265625" style="1178" bestFit="1" customWidth="1"/>
    <col min="5315" max="5315" width="9.453125" style="1178" bestFit="1" customWidth="1"/>
    <col min="5316" max="5316" width="9.81640625" style="1178" bestFit="1" customWidth="1"/>
    <col min="5317" max="5317" width="11.26953125" style="1178" bestFit="1" customWidth="1"/>
    <col min="5318" max="5318" width="9.1796875" style="1178"/>
    <col min="5319" max="5320" width="3.7265625" style="1178" customWidth="1"/>
    <col min="5321" max="5321" width="18.81640625" style="1178" customWidth="1"/>
    <col min="5322" max="5322" width="19.7265625" style="1178" customWidth="1"/>
    <col min="5323" max="5323" width="13.54296875" style="1178" customWidth="1"/>
    <col min="5324" max="5326" width="11.7265625" style="1178" customWidth="1"/>
    <col min="5327" max="5327" width="12.7265625" style="1178" customWidth="1"/>
    <col min="5328" max="5337" width="11.7265625" style="1178" customWidth="1"/>
    <col min="5338" max="5565" width="8" style="1178" customWidth="1"/>
    <col min="5566" max="5566" width="2.453125" style="1178" bestFit="1" customWidth="1"/>
    <col min="5567" max="5567" width="28.26953125" style="1178" bestFit="1" customWidth="1"/>
    <col min="5568" max="5568" width="14.26953125" style="1178" bestFit="1" customWidth="1"/>
    <col min="5569" max="5569" width="13.54296875" style="1178" bestFit="1" customWidth="1"/>
    <col min="5570" max="5570" width="10.7265625" style="1178" bestFit="1" customWidth="1"/>
    <col min="5571" max="5571" width="9.453125" style="1178" bestFit="1" customWidth="1"/>
    <col min="5572" max="5572" width="9.81640625" style="1178" bestFit="1" customWidth="1"/>
    <col min="5573" max="5573" width="11.26953125" style="1178" bestFit="1" customWidth="1"/>
    <col min="5574" max="5574" width="9.1796875" style="1178"/>
    <col min="5575" max="5576" width="3.7265625" style="1178" customWidth="1"/>
    <col min="5577" max="5577" width="18.81640625" style="1178" customWidth="1"/>
    <col min="5578" max="5578" width="19.7265625" style="1178" customWidth="1"/>
    <col min="5579" max="5579" width="13.54296875" style="1178" customWidth="1"/>
    <col min="5580" max="5582" width="11.7265625" style="1178" customWidth="1"/>
    <col min="5583" max="5583" width="12.7265625" style="1178" customWidth="1"/>
    <col min="5584" max="5593" width="11.7265625" style="1178" customWidth="1"/>
    <col min="5594" max="5821" width="8" style="1178" customWidth="1"/>
    <col min="5822" max="5822" width="2.453125" style="1178" bestFit="1" customWidth="1"/>
    <col min="5823" max="5823" width="28.26953125" style="1178" bestFit="1" customWidth="1"/>
    <col min="5824" max="5824" width="14.26953125" style="1178" bestFit="1" customWidth="1"/>
    <col min="5825" max="5825" width="13.54296875" style="1178" bestFit="1" customWidth="1"/>
    <col min="5826" max="5826" width="10.7265625" style="1178" bestFit="1" customWidth="1"/>
    <col min="5827" max="5827" width="9.453125" style="1178" bestFit="1" customWidth="1"/>
    <col min="5828" max="5828" width="9.81640625" style="1178" bestFit="1" customWidth="1"/>
    <col min="5829" max="5829" width="11.26953125" style="1178" bestFit="1" customWidth="1"/>
    <col min="5830" max="5830" width="9.1796875" style="1178"/>
    <col min="5831" max="5832" width="3.7265625" style="1178" customWidth="1"/>
    <col min="5833" max="5833" width="18.81640625" style="1178" customWidth="1"/>
    <col min="5834" max="5834" width="19.7265625" style="1178" customWidth="1"/>
    <col min="5835" max="5835" width="13.54296875" style="1178" customWidth="1"/>
    <col min="5836" max="5838" width="11.7265625" style="1178" customWidth="1"/>
    <col min="5839" max="5839" width="12.7265625" style="1178" customWidth="1"/>
    <col min="5840" max="5849" width="11.7265625" style="1178" customWidth="1"/>
    <col min="5850" max="6077" width="8" style="1178" customWidth="1"/>
    <col min="6078" max="6078" width="2.453125" style="1178" bestFit="1" customWidth="1"/>
    <col min="6079" max="6079" width="28.26953125" style="1178" bestFit="1" customWidth="1"/>
    <col min="6080" max="6080" width="14.26953125" style="1178" bestFit="1" customWidth="1"/>
    <col min="6081" max="6081" width="13.54296875" style="1178" bestFit="1" customWidth="1"/>
    <col min="6082" max="6082" width="10.7265625" style="1178" bestFit="1" customWidth="1"/>
    <col min="6083" max="6083" width="9.453125" style="1178" bestFit="1" customWidth="1"/>
    <col min="6084" max="6084" width="9.81640625" style="1178" bestFit="1" customWidth="1"/>
    <col min="6085" max="6085" width="11.26953125" style="1178" bestFit="1" customWidth="1"/>
    <col min="6086" max="6086" width="9.1796875" style="1178"/>
    <col min="6087" max="6088" width="3.7265625" style="1178" customWidth="1"/>
    <col min="6089" max="6089" width="18.81640625" style="1178" customWidth="1"/>
    <col min="6090" max="6090" width="19.7265625" style="1178" customWidth="1"/>
    <col min="6091" max="6091" width="13.54296875" style="1178" customWidth="1"/>
    <col min="6092" max="6094" width="11.7265625" style="1178" customWidth="1"/>
    <col min="6095" max="6095" width="12.7265625" style="1178" customWidth="1"/>
    <col min="6096" max="6105" width="11.7265625" style="1178" customWidth="1"/>
    <col min="6106" max="6333" width="8" style="1178" customWidth="1"/>
    <col min="6334" max="6334" width="2.453125" style="1178" bestFit="1" customWidth="1"/>
    <col min="6335" max="6335" width="28.26953125" style="1178" bestFit="1" customWidth="1"/>
    <col min="6336" max="6336" width="14.26953125" style="1178" bestFit="1" customWidth="1"/>
    <col min="6337" max="6337" width="13.54296875" style="1178" bestFit="1" customWidth="1"/>
    <col min="6338" max="6338" width="10.7265625" style="1178" bestFit="1" customWidth="1"/>
    <col min="6339" max="6339" width="9.453125" style="1178" bestFit="1" customWidth="1"/>
    <col min="6340" max="6340" width="9.81640625" style="1178" bestFit="1" customWidth="1"/>
    <col min="6341" max="6341" width="11.26953125" style="1178" bestFit="1" customWidth="1"/>
    <col min="6342" max="6342" width="9.1796875" style="1178"/>
    <col min="6343" max="6344" width="3.7265625" style="1178" customWidth="1"/>
    <col min="6345" max="6345" width="18.81640625" style="1178" customWidth="1"/>
    <col min="6346" max="6346" width="19.7265625" style="1178" customWidth="1"/>
    <col min="6347" max="6347" width="13.54296875" style="1178" customWidth="1"/>
    <col min="6348" max="6350" width="11.7265625" style="1178" customWidth="1"/>
    <col min="6351" max="6351" width="12.7265625" style="1178" customWidth="1"/>
    <col min="6352" max="6361" width="11.7265625" style="1178" customWidth="1"/>
    <col min="6362" max="6589" width="8" style="1178" customWidth="1"/>
    <col min="6590" max="6590" width="2.453125" style="1178" bestFit="1" customWidth="1"/>
    <col min="6591" max="6591" width="28.26953125" style="1178" bestFit="1" customWidth="1"/>
    <col min="6592" max="6592" width="14.26953125" style="1178" bestFit="1" customWidth="1"/>
    <col min="6593" max="6593" width="13.54296875" style="1178" bestFit="1" customWidth="1"/>
    <col min="6594" max="6594" width="10.7265625" style="1178" bestFit="1" customWidth="1"/>
    <col min="6595" max="6595" width="9.453125" style="1178" bestFit="1" customWidth="1"/>
    <col min="6596" max="6596" width="9.81640625" style="1178" bestFit="1" customWidth="1"/>
    <col min="6597" max="6597" width="11.26953125" style="1178" bestFit="1" customWidth="1"/>
    <col min="6598" max="6598" width="9.1796875" style="1178"/>
    <col min="6599" max="6600" width="3.7265625" style="1178" customWidth="1"/>
    <col min="6601" max="6601" width="18.81640625" style="1178" customWidth="1"/>
    <col min="6602" max="6602" width="19.7265625" style="1178" customWidth="1"/>
    <col min="6603" max="6603" width="13.54296875" style="1178" customWidth="1"/>
    <col min="6604" max="6606" width="11.7265625" style="1178" customWidth="1"/>
    <col min="6607" max="6607" width="12.7265625" style="1178" customWidth="1"/>
    <col min="6608" max="6617" width="11.7265625" style="1178" customWidth="1"/>
    <col min="6618" max="6845" width="8" style="1178" customWidth="1"/>
    <col min="6846" max="6846" width="2.453125" style="1178" bestFit="1" customWidth="1"/>
    <col min="6847" max="6847" width="28.26953125" style="1178" bestFit="1" customWidth="1"/>
    <col min="6848" max="6848" width="14.26953125" style="1178" bestFit="1" customWidth="1"/>
    <col min="6849" max="6849" width="13.54296875" style="1178" bestFit="1" customWidth="1"/>
    <col min="6850" max="6850" width="10.7265625" style="1178" bestFit="1" customWidth="1"/>
    <col min="6851" max="6851" width="9.453125" style="1178" bestFit="1" customWidth="1"/>
    <col min="6852" max="6852" width="9.81640625" style="1178" bestFit="1" customWidth="1"/>
    <col min="6853" max="6853" width="11.26953125" style="1178" bestFit="1" customWidth="1"/>
    <col min="6854" max="6854" width="9.1796875" style="1178"/>
    <col min="6855" max="6856" width="3.7265625" style="1178" customWidth="1"/>
    <col min="6857" max="6857" width="18.81640625" style="1178" customWidth="1"/>
    <col min="6858" max="6858" width="19.7265625" style="1178" customWidth="1"/>
    <col min="6859" max="6859" width="13.54296875" style="1178" customWidth="1"/>
    <col min="6860" max="6862" width="11.7265625" style="1178" customWidth="1"/>
    <col min="6863" max="6863" width="12.7265625" style="1178" customWidth="1"/>
    <col min="6864" max="6873" width="11.7265625" style="1178" customWidth="1"/>
    <col min="6874" max="7101" width="8" style="1178" customWidth="1"/>
    <col min="7102" max="7102" width="2.453125" style="1178" bestFit="1" customWidth="1"/>
    <col min="7103" max="7103" width="28.26953125" style="1178" bestFit="1" customWidth="1"/>
    <col min="7104" max="7104" width="14.26953125" style="1178" bestFit="1" customWidth="1"/>
    <col min="7105" max="7105" width="13.54296875" style="1178" bestFit="1" customWidth="1"/>
    <col min="7106" max="7106" width="10.7265625" style="1178" bestFit="1" customWidth="1"/>
    <col min="7107" max="7107" width="9.453125" style="1178" bestFit="1" customWidth="1"/>
    <col min="7108" max="7108" width="9.81640625" style="1178" bestFit="1" customWidth="1"/>
    <col min="7109" max="7109" width="11.26953125" style="1178" bestFit="1" customWidth="1"/>
    <col min="7110" max="7110" width="9.1796875" style="1178"/>
    <col min="7111" max="7112" width="3.7265625" style="1178" customWidth="1"/>
    <col min="7113" max="7113" width="18.81640625" style="1178" customWidth="1"/>
    <col min="7114" max="7114" width="19.7265625" style="1178" customWidth="1"/>
    <col min="7115" max="7115" width="13.54296875" style="1178" customWidth="1"/>
    <col min="7116" max="7118" width="11.7265625" style="1178" customWidth="1"/>
    <col min="7119" max="7119" width="12.7265625" style="1178" customWidth="1"/>
    <col min="7120" max="7129" width="11.7265625" style="1178" customWidth="1"/>
    <col min="7130" max="7357" width="8" style="1178" customWidth="1"/>
    <col min="7358" max="7358" width="2.453125" style="1178" bestFit="1" customWidth="1"/>
    <col min="7359" max="7359" width="28.26953125" style="1178" bestFit="1" customWidth="1"/>
    <col min="7360" max="7360" width="14.26953125" style="1178" bestFit="1" customWidth="1"/>
    <col min="7361" max="7361" width="13.54296875" style="1178" bestFit="1" customWidth="1"/>
    <col min="7362" max="7362" width="10.7265625" style="1178" bestFit="1" customWidth="1"/>
    <col min="7363" max="7363" width="9.453125" style="1178" bestFit="1" customWidth="1"/>
    <col min="7364" max="7364" width="9.81640625" style="1178" bestFit="1" customWidth="1"/>
    <col min="7365" max="7365" width="11.26953125" style="1178" bestFit="1" customWidth="1"/>
    <col min="7366" max="7366" width="9.1796875" style="1178"/>
    <col min="7367" max="7368" width="3.7265625" style="1178" customWidth="1"/>
    <col min="7369" max="7369" width="18.81640625" style="1178" customWidth="1"/>
    <col min="7370" max="7370" width="19.7265625" style="1178" customWidth="1"/>
    <col min="7371" max="7371" width="13.54296875" style="1178" customWidth="1"/>
    <col min="7372" max="7374" width="11.7265625" style="1178" customWidth="1"/>
    <col min="7375" max="7375" width="12.7265625" style="1178" customWidth="1"/>
    <col min="7376" max="7385" width="11.7265625" style="1178" customWidth="1"/>
    <col min="7386" max="7613" width="8" style="1178" customWidth="1"/>
    <col min="7614" max="7614" width="2.453125" style="1178" bestFit="1" customWidth="1"/>
    <col min="7615" max="7615" width="28.26953125" style="1178" bestFit="1" customWidth="1"/>
    <col min="7616" max="7616" width="14.26953125" style="1178" bestFit="1" customWidth="1"/>
    <col min="7617" max="7617" width="13.54296875" style="1178" bestFit="1" customWidth="1"/>
    <col min="7618" max="7618" width="10.7265625" style="1178" bestFit="1" customWidth="1"/>
    <col min="7619" max="7619" width="9.453125" style="1178" bestFit="1" customWidth="1"/>
    <col min="7620" max="7620" width="9.81640625" style="1178" bestFit="1" customWidth="1"/>
    <col min="7621" max="7621" width="11.26953125" style="1178" bestFit="1" customWidth="1"/>
    <col min="7622" max="7622" width="9.1796875" style="1178"/>
    <col min="7623" max="7624" width="3.7265625" style="1178" customWidth="1"/>
    <col min="7625" max="7625" width="18.81640625" style="1178" customWidth="1"/>
    <col min="7626" max="7626" width="19.7265625" style="1178" customWidth="1"/>
    <col min="7627" max="7627" width="13.54296875" style="1178" customWidth="1"/>
    <col min="7628" max="7630" width="11.7265625" style="1178" customWidth="1"/>
    <col min="7631" max="7631" width="12.7265625" style="1178" customWidth="1"/>
    <col min="7632" max="7641" width="11.7265625" style="1178" customWidth="1"/>
    <col min="7642" max="7869" width="8" style="1178" customWidth="1"/>
    <col min="7870" max="7870" width="2.453125" style="1178" bestFit="1" customWidth="1"/>
    <col min="7871" max="7871" width="28.26953125" style="1178" bestFit="1" customWidth="1"/>
    <col min="7872" max="7872" width="14.26953125" style="1178" bestFit="1" customWidth="1"/>
    <col min="7873" max="7873" width="13.54296875" style="1178" bestFit="1" customWidth="1"/>
    <col min="7874" max="7874" width="10.7265625" style="1178" bestFit="1" customWidth="1"/>
    <col min="7875" max="7875" width="9.453125" style="1178" bestFit="1" customWidth="1"/>
    <col min="7876" max="7876" width="9.81640625" style="1178" bestFit="1" customWidth="1"/>
    <col min="7877" max="7877" width="11.26953125" style="1178" bestFit="1" customWidth="1"/>
    <col min="7878" max="7878" width="9.1796875" style="1178"/>
    <col min="7879" max="7880" width="3.7265625" style="1178" customWidth="1"/>
    <col min="7881" max="7881" width="18.81640625" style="1178" customWidth="1"/>
    <col min="7882" max="7882" width="19.7265625" style="1178" customWidth="1"/>
    <col min="7883" max="7883" width="13.54296875" style="1178" customWidth="1"/>
    <col min="7884" max="7886" width="11.7265625" style="1178" customWidth="1"/>
    <col min="7887" max="7887" width="12.7265625" style="1178" customWidth="1"/>
    <col min="7888" max="7897" width="11.7265625" style="1178" customWidth="1"/>
    <col min="7898" max="8125" width="8" style="1178" customWidth="1"/>
    <col min="8126" max="8126" width="2.453125" style="1178" bestFit="1" customWidth="1"/>
    <col min="8127" max="8127" width="28.26953125" style="1178" bestFit="1" customWidth="1"/>
    <col min="8128" max="8128" width="14.26953125" style="1178" bestFit="1" customWidth="1"/>
    <col min="8129" max="8129" width="13.54296875" style="1178" bestFit="1" customWidth="1"/>
    <col min="8130" max="8130" width="10.7265625" style="1178" bestFit="1" customWidth="1"/>
    <col min="8131" max="8131" width="9.453125" style="1178" bestFit="1" customWidth="1"/>
    <col min="8132" max="8132" width="9.81640625" style="1178" bestFit="1" customWidth="1"/>
    <col min="8133" max="8133" width="11.26953125" style="1178" bestFit="1" customWidth="1"/>
    <col min="8134" max="8134" width="9.1796875" style="1178"/>
    <col min="8135" max="8136" width="3.7265625" style="1178" customWidth="1"/>
    <col min="8137" max="8137" width="18.81640625" style="1178" customWidth="1"/>
    <col min="8138" max="8138" width="19.7265625" style="1178" customWidth="1"/>
    <col min="8139" max="8139" width="13.54296875" style="1178" customWidth="1"/>
    <col min="8140" max="8142" width="11.7265625" style="1178" customWidth="1"/>
    <col min="8143" max="8143" width="12.7265625" style="1178" customWidth="1"/>
    <col min="8144" max="8153" width="11.7265625" style="1178" customWidth="1"/>
    <col min="8154" max="8381" width="8" style="1178" customWidth="1"/>
    <col min="8382" max="8382" width="2.453125" style="1178" bestFit="1" customWidth="1"/>
    <col min="8383" max="8383" width="28.26953125" style="1178" bestFit="1" customWidth="1"/>
    <col min="8384" max="8384" width="14.26953125" style="1178" bestFit="1" customWidth="1"/>
    <col min="8385" max="8385" width="13.54296875" style="1178" bestFit="1" customWidth="1"/>
    <col min="8386" max="8386" width="10.7265625" style="1178" bestFit="1" customWidth="1"/>
    <col min="8387" max="8387" width="9.453125" style="1178" bestFit="1" customWidth="1"/>
    <col min="8388" max="8388" width="9.81640625" style="1178" bestFit="1" customWidth="1"/>
    <col min="8389" max="8389" width="11.26953125" style="1178" bestFit="1" customWidth="1"/>
    <col min="8390" max="8390" width="9.1796875" style="1178"/>
    <col min="8391" max="8392" width="3.7265625" style="1178" customWidth="1"/>
    <col min="8393" max="8393" width="18.81640625" style="1178" customWidth="1"/>
    <col min="8394" max="8394" width="19.7265625" style="1178" customWidth="1"/>
    <col min="8395" max="8395" width="13.54296875" style="1178" customWidth="1"/>
    <col min="8396" max="8398" width="11.7265625" style="1178" customWidth="1"/>
    <col min="8399" max="8399" width="12.7265625" style="1178" customWidth="1"/>
    <col min="8400" max="8409" width="11.7265625" style="1178" customWidth="1"/>
    <col min="8410" max="8637" width="8" style="1178" customWidth="1"/>
    <col min="8638" max="8638" width="2.453125" style="1178" bestFit="1" customWidth="1"/>
    <col min="8639" max="8639" width="28.26953125" style="1178" bestFit="1" customWidth="1"/>
    <col min="8640" max="8640" width="14.26953125" style="1178" bestFit="1" customWidth="1"/>
    <col min="8641" max="8641" width="13.54296875" style="1178" bestFit="1" customWidth="1"/>
    <col min="8642" max="8642" width="10.7265625" style="1178" bestFit="1" customWidth="1"/>
    <col min="8643" max="8643" width="9.453125" style="1178" bestFit="1" customWidth="1"/>
    <col min="8644" max="8644" width="9.81640625" style="1178" bestFit="1" customWidth="1"/>
    <col min="8645" max="8645" width="11.26953125" style="1178" bestFit="1" customWidth="1"/>
    <col min="8646" max="8646" width="9.1796875" style="1178"/>
    <col min="8647" max="8648" width="3.7265625" style="1178" customWidth="1"/>
    <col min="8649" max="8649" width="18.81640625" style="1178" customWidth="1"/>
    <col min="8650" max="8650" width="19.7265625" style="1178" customWidth="1"/>
    <col min="8651" max="8651" width="13.54296875" style="1178" customWidth="1"/>
    <col min="8652" max="8654" width="11.7265625" style="1178" customWidth="1"/>
    <col min="8655" max="8655" width="12.7265625" style="1178" customWidth="1"/>
    <col min="8656" max="8665" width="11.7265625" style="1178" customWidth="1"/>
    <col min="8666" max="8893" width="8" style="1178" customWidth="1"/>
    <col min="8894" max="8894" width="2.453125" style="1178" bestFit="1" customWidth="1"/>
    <col min="8895" max="8895" width="28.26953125" style="1178" bestFit="1" customWidth="1"/>
    <col min="8896" max="8896" width="14.26953125" style="1178" bestFit="1" customWidth="1"/>
    <col min="8897" max="8897" width="13.54296875" style="1178" bestFit="1" customWidth="1"/>
    <col min="8898" max="8898" width="10.7265625" style="1178" bestFit="1" customWidth="1"/>
    <col min="8899" max="8899" width="9.453125" style="1178" bestFit="1" customWidth="1"/>
    <col min="8900" max="8900" width="9.81640625" style="1178" bestFit="1" customWidth="1"/>
    <col min="8901" max="8901" width="11.26953125" style="1178" bestFit="1" customWidth="1"/>
    <col min="8902" max="8902" width="9.1796875" style="1178"/>
    <col min="8903" max="8904" width="3.7265625" style="1178" customWidth="1"/>
    <col min="8905" max="8905" width="18.81640625" style="1178" customWidth="1"/>
    <col min="8906" max="8906" width="19.7265625" style="1178" customWidth="1"/>
    <col min="8907" max="8907" width="13.54296875" style="1178" customWidth="1"/>
    <col min="8908" max="8910" width="11.7265625" style="1178" customWidth="1"/>
    <col min="8911" max="8911" width="12.7265625" style="1178" customWidth="1"/>
    <col min="8912" max="8921" width="11.7265625" style="1178" customWidth="1"/>
    <col min="8922" max="9149" width="8" style="1178" customWidth="1"/>
    <col min="9150" max="9150" width="2.453125" style="1178" bestFit="1" customWidth="1"/>
    <col min="9151" max="9151" width="28.26953125" style="1178" bestFit="1" customWidth="1"/>
    <col min="9152" max="9152" width="14.26953125" style="1178" bestFit="1" customWidth="1"/>
    <col min="9153" max="9153" width="13.54296875" style="1178" bestFit="1" customWidth="1"/>
    <col min="9154" max="9154" width="10.7265625" style="1178" bestFit="1" customWidth="1"/>
    <col min="9155" max="9155" width="9.453125" style="1178" bestFit="1" customWidth="1"/>
    <col min="9156" max="9156" width="9.81640625" style="1178" bestFit="1" customWidth="1"/>
    <col min="9157" max="9157" width="11.26953125" style="1178" bestFit="1" customWidth="1"/>
    <col min="9158" max="9158" width="9.1796875" style="1178"/>
    <col min="9159" max="9160" width="3.7265625" style="1178" customWidth="1"/>
    <col min="9161" max="9161" width="18.81640625" style="1178" customWidth="1"/>
    <col min="9162" max="9162" width="19.7265625" style="1178" customWidth="1"/>
    <col min="9163" max="9163" width="13.54296875" style="1178" customWidth="1"/>
    <col min="9164" max="9166" width="11.7265625" style="1178" customWidth="1"/>
    <col min="9167" max="9167" width="12.7265625" style="1178" customWidth="1"/>
    <col min="9168" max="9177" width="11.7265625" style="1178" customWidth="1"/>
    <col min="9178" max="9405" width="8" style="1178" customWidth="1"/>
    <col min="9406" max="9406" width="2.453125" style="1178" bestFit="1" customWidth="1"/>
    <col min="9407" max="9407" width="28.26953125" style="1178" bestFit="1" customWidth="1"/>
    <col min="9408" max="9408" width="14.26953125" style="1178" bestFit="1" customWidth="1"/>
    <col min="9409" max="9409" width="13.54296875" style="1178" bestFit="1" customWidth="1"/>
    <col min="9410" max="9410" width="10.7265625" style="1178" bestFit="1" customWidth="1"/>
    <col min="9411" max="9411" width="9.453125" style="1178" bestFit="1" customWidth="1"/>
    <col min="9412" max="9412" width="9.81640625" style="1178" bestFit="1" customWidth="1"/>
    <col min="9413" max="9413" width="11.26953125" style="1178" bestFit="1" customWidth="1"/>
    <col min="9414" max="9414" width="9.1796875" style="1178"/>
    <col min="9415" max="9416" width="3.7265625" style="1178" customWidth="1"/>
    <col min="9417" max="9417" width="18.81640625" style="1178" customWidth="1"/>
    <col min="9418" max="9418" width="19.7265625" style="1178" customWidth="1"/>
    <col min="9419" max="9419" width="13.54296875" style="1178" customWidth="1"/>
    <col min="9420" max="9422" width="11.7265625" style="1178" customWidth="1"/>
    <col min="9423" max="9423" width="12.7265625" style="1178" customWidth="1"/>
    <col min="9424" max="9433" width="11.7265625" style="1178" customWidth="1"/>
    <col min="9434" max="9661" width="8" style="1178" customWidth="1"/>
    <col min="9662" max="9662" width="2.453125" style="1178" bestFit="1" customWidth="1"/>
    <col min="9663" max="9663" width="28.26953125" style="1178" bestFit="1" customWidth="1"/>
    <col min="9664" max="9664" width="14.26953125" style="1178" bestFit="1" customWidth="1"/>
    <col min="9665" max="9665" width="13.54296875" style="1178" bestFit="1" customWidth="1"/>
    <col min="9666" max="9666" width="10.7265625" style="1178" bestFit="1" customWidth="1"/>
    <col min="9667" max="9667" width="9.453125" style="1178" bestFit="1" customWidth="1"/>
    <col min="9668" max="9668" width="9.81640625" style="1178" bestFit="1" customWidth="1"/>
    <col min="9669" max="9669" width="11.26953125" style="1178" bestFit="1" customWidth="1"/>
    <col min="9670" max="9670" width="9.1796875" style="1178"/>
    <col min="9671" max="9672" width="3.7265625" style="1178" customWidth="1"/>
    <col min="9673" max="9673" width="18.81640625" style="1178" customWidth="1"/>
    <col min="9674" max="9674" width="19.7265625" style="1178" customWidth="1"/>
    <col min="9675" max="9675" width="13.54296875" style="1178" customWidth="1"/>
    <col min="9676" max="9678" width="11.7265625" style="1178" customWidth="1"/>
    <col min="9679" max="9679" width="12.7265625" style="1178" customWidth="1"/>
    <col min="9680" max="9689" width="11.7265625" style="1178" customWidth="1"/>
    <col min="9690" max="9917" width="8" style="1178" customWidth="1"/>
    <col min="9918" max="9918" width="2.453125" style="1178" bestFit="1" customWidth="1"/>
    <col min="9919" max="9919" width="28.26953125" style="1178" bestFit="1" customWidth="1"/>
    <col min="9920" max="9920" width="14.26953125" style="1178" bestFit="1" customWidth="1"/>
    <col min="9921" max="9921" width="13.54296875" style="1178" bestFit="1" customWidth="1"/>
    <col min="9922" max="9922" width="10.7265625" style="1178" bestFit="1" customWidth="1"/>
    <col min="9923" max="9923" width="9.453125" style="1178" bestFit="1" customWidth="1"/>
    <col min="9924" max="9924" width="9.81640625" style="1178" bestFit="1" customWidth="1"/>
    <col min="9925" max="9925" width="11.26953125" style="1178" bestFit="1" customWidth="1"/>
    <col min="9926" max="9926" width="9.1796875" style="1178"/>
    <col min="9927" max="9928" width="3.7265625" style="1178" customWidth="1"/>
    <col min="9929" max="9929" width="18.81640625" style="1178" customWidth="1"/>
    <col min="9930" max="9930" width="19.7265625" style="1178" customWidth="1"/>
    <col min="9931" max="9931" width="13.54296875" style="1178" customWidth="1"/>
    <col min="9932" max="9934" width="11.7265625" style="1178" customWidth="1"/>
    <col min="9935" max="9935" width="12.7265625" style="1178" customWidth="1"/>
    <col min="9936" max="9945" width="11.7265625" style="1178" customWidth="1"/>
    <col min="9946" max="10173" width="8" style="1178" customWidth="1"/>
    <col min="10174" max="10174" width="2.453125" style="1178" bestFit="1" customWidth="1"/>
    <col min="10175" max="10175" width="28.26953125" style="1178" bestFit="1" customWidth="1"/>
    <col min="10176" max="10176" width="14.26953125" style="1178" bestFit="1" customWidth="1"/>
    <col min="10177" max="10177" width="13.54296875" style="1178" bestFit="1" customWidth="1"/>
    <col min="10178" max="10178" width="10.7265625" style="1178" bestFit="1" customWidth="1"/>
    <col min="10179" max="10179" width="9.453125" style="1178" bestFit="1" customWidth="1"/>
    <col min="10180" max="10180" width="9.81640625" style="1178" bestFit="1" customWidth="1"/>
    <col min="10181" max="10181" width="11.26953125" style="1178" bestFit="1" customWidth="1"/>
    <col min="10182" max="10182" width="9.1796875" style="1178"/>
    <col min="10183" max="10184" width="3.7265625" style="1178" customWidth="1"/>
    <col min="10185" max="10185" width="18.81640625" style="1178" customWidth="1"/>
    <col min="10186" max="10186" width="19.7265625" style="1178" customWidth="1"/>
    <col min="10187" max="10187" width="13.54296875" style="1178" customWidth="1"/>
    <col min="10188" max="10190" width="11.7265625" style="1178" customWidth="1"/>
    <col min="10191" max="10191" width="12.7265625" style="1178" customWidth="1"/>
    <col min="10192" max="10201" width="11.7265625" style="1178" customWidth="1"/>
    <col min="10202" max="10429" width="8" style="1178" customWidth="1"/>
    <col min="10430" max="10430" width="2.453125" style="1178" bestFit="1" customWidth="1"/>
    <col min="10431" max="10431" width="28.26953125" style="1178" bestFit="1" customWidth="1"/>
    <col min="10432" max="10432" width="14.26953125" style="1178" bestFit="1" customWidth="1"/>
    <col min="10433" max="10433" width="13.54296875" style="1178" bestFit="1" customWidth="1"/>
    <col min="10434" max="10434" width="10.7265625" style="1178" bestFit="1" customWidth="1"/>
    <col min="10435" max="10435" width="9.453125" style="1178" bestFit="1" customWidth="1"/>
    <col min="10436" max="10436" width="9.81640625" style="1178" bestFit="1" customWidth="1"/>
    <col min="10437" max="10437" width="11.26953125" style="1178" bestFit="1" customWidth="1"/>
    <col min="10438" max="10438" width="9.1796875" style="1178"/>
    <col min="10439" max="10440" width="3.7265625" style="1178" customWidth="1"/>
    <col min="10441" max="10441" width="18.81640625" style="1178" customWidth="1"/>
    <col min="10442" max="10442" width="19.7265625" style="1178" customWidth="1"/>
    <col min="10443" max="10443" width="13.54296875" style="1178" customWidth="1"/>
    <col min="10444" max="10446" width="11.7265625" style="1178" customWidth="1"/>
    <col min="10447" max="10447" width="12.7265625" style="1178" customWidth="1"/>
    <col min="10448" max="10457" width="11.7265625" style="1178" customWidth="1"/>
    <col min="10458" max="10685" width="8" style="1178" customWidth="1"/>
    <col min="10686" max="10686" width="2.453125" style="1178" bestFit="1" customWidth="1"/>
    <col min="10687" max="10687" width="28.26953125" style="1178" bestFit="1" customWidth="1"/>
    <col min="10688" max="10688" width="14.26953125" style="1178" bestFit="1" customWidth="1"/>
    <col min="10689" max="10689" width="13.54296875" style="1178" bestFit="1" customWidth="1"/>
    <col min="10690" max="10690" width="10.7265625" style="1178" bestFit="1" customWidth="1"/>
    <col min="10691" max="10691" width="9.453125" style="1178" bestFit="1" customWidth="1"/>
    <col min="10692" max="10692" width="9.81640625" style="1178" bestFit="1" customWidth="1"/>
    <col min="10693" max="10693" width="11.26953125" style="1178" bestFit="1" customWidth="1"/>
    <col min="10694" max="10694" width="9.1796875" style="1178"/>
    <col min="10695" max="10696" width="3.7265625" style="1178" customWidth="1"/>
    <col min="10697" max="10697" width="18.81640625" style="1178" customWidth="1"/>
    <col min="10698" max="10698" width="19.7265625" style="1178" customWidth="1"/>
    <col min="10699" max="10699" width="13.54296875" style="1178" customWidth="1"/>
    <col min="10700" max="10702" width="11.7265625" style="1178" customWidth="1"/>
    <col min="10703" max="10703" width="12.7265625" style="1178" customWidth="1"/>
    <col min="10704" max="10713" width="11.7265625" style="1178" customWidth="1"/>
    <col min="10714" max="10941" width="8" style="1178" customWidth="1"/>
    <col min="10942" max="10942" width="2.453125" style="1178" bestFit="1" customWidth="1"/>
    <col min="10943" max="10943" width="28.26953125" style="1178" bestFit="1" customWidth="1"/>
    <col min="10944" max="10944" width="14.26953125" style="1178" bestFit="1" customWidth="1"/>
    <col min="10945" max="10945" width="13.54296875" style="1178" bestFit="1" customWidth="1"/>
    <col min="10946" max="10946" width="10.7265625" style="1178" bestFit="1" customWidth="1"/>
    <col min="10947" max="10947" width="9.453125" style="1178" bestFit="1" customWidth="1"/>
    <col min="10948" max="10948" width="9.81640625" style="1178" bestFit="1" customWidth="1"/>
    <col min="10949" max="10949" width="11.26953125" style="1178" bestFit="1" customWidth="1"/>
    <col min="10950" max="10950" width="9.1796875" style="1178"/>
    <col min="10951" max="10952" width="3.7265625" style="1178" customWidth="1"/>
    <col min="10953" max="10953" width="18.81640625" style="1178" customWidth="1"/>
    <col min="10954" max="10954" width="19.7265625" style="1178" customWidth="1"/>
    <col min="10955" max="10955" width="13.54296875" style="1178" customWidth="1"/>
    <col min="10956" max="10958" width="11.7265625" style="1178" customWidth="1"/>
    <col min="10959" max="10959" width="12.7265625" style="1178" customWidth="1"/>
    <col min="10960" max="10969" width="11.7265625" style="1178" customWidth="1"/>
    <col min="10970" max="11197" width="8" style="1178" customWidth="1"/>
    <col min="11198" max="11198" width="2.453125" style="1178" bestFit="1" customWidth="1"/>
    <col min="11199" max="11199" width="28.26953125" style="1178" bestFit="1" customWidth="1"/>
    <col min="11200" max="11200" width="14.26953125" style="1178" bestFit="1" customWidth="1"/>
    <col min="11201" max="11201" width="13.54296875" style="1178" bestFit="1" customWidth="1"/>
    <col min="11202" max="11202" width="10.7265625" style="1178" bestFit="1" customWidth="1"/>
    <col min="11203" max="11203" width="9.453125" style="1178" bestFit="1" customWidth="1"/>
    <col min="11204" max="11204" width="9.81640625" style="1178" bestFit="1" customWidth="1"/>
    <col min="11205" max="11205" width="11.26953125" style="1178" bestFit="1" customWidth="1"/>
    <col min="11206" max="11206" width="9.1796875" style="1178"/>
    <col min="11207" max="11208" width="3.7265625" style="1178" customWidth="1"/>
    <col min="11209" max="11209" width="18.81640625" style="1178" customWidth="1"/>
    <col min="11210" max="11210" width="19.7265625" style="1178" customWidth="1"/>
    <col min="11211" max="11211" width="13.54296875" style="1178" customWidth="1"/>
    <col min="11212" max="11214" width="11.7265625" style="1178" customWidth="1"/>
    <col min="11215" max="11215" width="12.7265625" style="1178" customWidth="1"/>
    <col min="11216" max="11225" width="11.7265625" style="1178" customWidth="1"/>
    <col min="11226" max="11453" width="8" style="1178" customWidth="1"/>
    <col min="11454" max="11454" width="2.453125" style="1178" bestFit="1" customWidth="1"/>
    <col min="11455" max="11455" width="28.26953125" style="1178" bestFit="1" customWidth="1"/>
    <col min="11456" max="11456" width="14.26953125" style="1178" bestFit="1" customWidth="1"/>
    <col min="11457" max="11457" width="13.54296875" style="1178" bestFit="1" customWidth="1"/>
    <col min="11458" max="11458" width="10.7265625" style="1178" bestFit="1" customWidth="1"/>
    <col min="11459" max="11459" width="9.453125" style="1178" bestFit="1" customWidth="1"/>
    <col min="11460" max="11460" width="9.81640625" style="1178" bestFit="1" customWidth="1"/>
    <col min="11461" max="11461" width="11.26953125" style="1178" bestFit="1" customWidth="1"/>
    <col min="11462" max="11462" width="9.1796875" style="1178"/>
    <col min="11463" max="11464" width="3.7265625" style="1178" customWidth="1"/>
    <col min="11465" max="11465" width="18.81640625" style="1178" customWidth="1"/>
    <col min="11466" max="11466" width="19.7265625" style="1178" customWidth="1"/>
    <col min="11467" max="11467" width="13.54296875" style="1178" customWidth="1"/>
    <col min="11468" max="11470" width="11.7265625" style="1178" customWidth="1"/>
    <col min="11471" max="11471" width="12.7265625" style="1178" customWidth="1"/>
    <col min="11472" max="11481" width="11.7265625" style="1178" customWidth="1"/>
    <col min="11482" max="11709" width="8" style="1178" customWidth="1"/>
    <col min="11710" max="11710" width="2.453125" style="1178" bestFit="1" customWidth="1"/>
    <col min="11711" max="11711" width="28.26953125" style="1178" bestFit="1" customWidth="1"/>
    <col min="11712" max="11712" width="14.26953125" style="1178" bestFit="1" customWidth="1"/>
    <col min="11713" max="11713" width="13.54296875" style="1178" bestFit="1" customWidth="1"/>
    <col min="11714" max="11714" width="10.7265625" style="1178" bestFit="1" customWidth="1"/>
    <col min="11715" max="11715" width="9.453125" style="1178" bestFit="1" customWidth="1"/>
    <col min="11716" max="11716" width="9.81640625" style="1178" bestFit="1" customWidth="1"/>
    <col min="11717" max="11717" width="11.26953125" style="1178" bestFit="1" customWidth="1"/>
    <col min="11718" max="11718" width="9.1796875" style="1178"/>
    <col min="11719" max="11720" width="3.7265625" style="1178" customWidth="1"/>
    <col min="11721" max="11721" width="18.81640625" style="1178" customWidth="1"/>
    <col min="11722" max="11722" width="19.7265625" style="1178" customWidth="1"/>
    <col min="11723" max="11723" width="13.54296875" style="1178" customWidth="1"/>
    <col min="11724" max="11726" width="11.7265625" style="1178" customWidth="1"/>
    <col min="11727" max="11727" width="12.7265625" style="1178" customWidth="1"/>
    <col min="11728" max="11737" width="11.7265625" style="1178" customWidth="1"/>
    <col min="11738" max="11965" width="8" style="1178" customWidth="1"/>
    <col min="11966" max="11966" width="2.453125" style="1178" bestFit="1" customWidth="1"/>
    <col min="11967" max="11967" width="28.26953125" style="1178" bestFit="1" customWidth="1"/>
    <col min="11968" max="11968" width="14.26953125" style="1178" bestFit="1" customWidth="1"/>
    <col min="11969" max="11969" width="13.54296875" style="1178" bestFit="1" customWidth="1"/>
    <col min="11970" max="11970" width="10.7265625" style="1178" bestFit="1" customWidth="1"/>
    <col min="11971" max="11971" width="9.453125" style="1178" bestFit="1" customWidth="1"/>
    <col min="11972" max="11972" width="9.81640625" style="1178" bestFit="1" customWidth="1"/>
    <col min="11973" max="11973" width="11.26953125" style="1178" bestFit="1" customWidth="1"/>
    <col min="11974" max="11974" width="9.1796875" style="1178"/>
    <col min="11975" max="11976" width="3.7265625" style="1178" customWidth="1"/>
    <col min="11977" max="11977" width="18.81640625" style="1178" customWidth="1"/>
    <col min="11978" max="11978" width="19.7265625" style="1178" customWidth="1"/>
    <col min="11979" max="11979" width="13.54296875" style="1178" customWidth="1"/>
    <col min="11980" max="11982" width="11.7265625" style="1178" customWidth="1"/>
    <col min="11983" max="11983" width="12.7265625" style="1178" customWidth="1"/>
    <col min="11984" max="11993" width="11.7265625" style="1178" customWidth="1"/>
    <col min="11994" max="12221" width="8" style="1178" customWidth="1"/>
    <col min="12222" max="12222" width="2.453125" style="1178" bestFit="1" customWidth="1"/>
    <col min="12223" max="12223" width="28.26953125" style="1178" bestFit="1" customWidth="1"/>
    <col min="12224" max="12224" width="14.26953125" style="1178" bestFit="1" customWidth="1"/>
    <col min="12225" max="12225" width="13.54296875" style="1178" bestFit="1" customWidth="1"/>
    <col min="12226" max="12226" width="10.7265625" style="1178" bestFit="1" customWidth="1"/>
    <col min="12227" max="12227" width="9.453125" style="1178" bestFit="1" customWidth="1"/>
    <col min="12228" max="12228" width="9.81640625" style="1178" bestFit="1" customWidth="1"/>
    <col min="12229" max="12229" width="11.26953125" style="1178" bestFit="1" customWidth="1"/>
    <col min="12230" max="12230" width="9.1796875" style="1178"/>
    <col min="12231" max="12232" width="3.7265625" style="1178" customWidth="1"/>
    <col min="12233" max="12233" width="18.81640625" style="1178" customWidth="1"/>
    <col min="12234" max="12234" width="19.7265625" style="1178" customWidth="1"/>
    <col min="12235" max="12235" width="13.54296875" style="1178" customWidth="1"/>
    <col min="12236" max="12238" width="11.7265625" style="1178" customWidth="1"/>
    <col min="12239" max="12239" width="12.7265625" style="1178" customWidth="1"/>
    <col min="12240" max="12249" width="11.7265625" style="1178" customWidth="1"/>
    <col min="12250" max="12477" width="8" style="1178" customWidth="1"/>
    <col min="12478" max="12478" width="2.453125" style="1178" bestFit="1" customWidth="1"/>
    <col min="12479" max="12479" width="28.26953125" style="1178" bestFit="1" customWidth="1"/>
    <col min="12480" max="12480" width="14.26953125" style="1178" bestFit="1" customWidth="1"/>
    <col min="12481" max="12481" width="13.54296875" style="1178" bestFit="1" customWidth="1"/>
    <col min="12482" max="12482" width="10.7265625" style="1178" bestFit="1" customWidth="1"/>
    <col min="12483" max="12483" width="9.453125" style="1178" bestFit="1" customWidth="1"/>
    <col min="12484" max="12484" width="9.81640625" style="1178" bestFit="1" customWidth="1"/>
    <col min="12485" max="12485" width="11.26953125" style="1178" bestFit="1" customWidth="1"/>
    <col min="12486" max="12486" width="9.1796875" style="1178"/>
    <col min="12487" max="12488" width="3.7265625" style="1178" customWidth="1"/>
    <col min="12489" max="12489" width="18.81640625" style="1178" customWidth="1"/>
    <col min="12490" max="12490" width="19.7265625" style="1178" customWidth="1"/>
    <col min="12491" max="12491" width="13.54296875" style="1178" customWidth="1"/>
    <col min="12492" max="12494" width="11.7265625" style="1178" customWidth="1"/>
    <col min="12495" max="12495" width="12.7265625" style="1178" customWidth="1"/>
    <col min="12496" max="12505" width="11.7265625" style="1178" customWidth="1"/>
    <col min="12506" max="12733" width="8" style="1178" customWidth="1"/>
    <col min="12734" max="12734" width="2.453125" style="1178" bestFit="1" customWidth="1"/>
    <col min="12735" max="12735" width="28.26953125" style="1178" bestFit="1" customWidth="1"/>
    <col min="12736" max="12736" width="14.26953125" style="1178" bestFit="1" customWidth="1"/>
    <col min="12737" max="12737" width="13.54296875" style="1178" bestFit="1" customWidth="1"/>
    <col min="12738" max="12738" width="10.7265625" style="1178" bestFit="1" customWidth="1"/>
    <col min="12739" max="12739" width="9.453125" style="1178" bestFit="1" customWidth="1"/>
    <col min="12740" max="12740" width="9.81640625" style="1178" bestFit="1" customWidth="1"/>
    <col min="12741" max="12741" width="11.26953125" style="1178" bestFit="1" customWidth="1"/>
    <col min="12742" max="12742" width="9.1796875" style="1178"/>
    <col min="12743" max="12744" width="3.7265625" style="1178" customWidth="1"/>
    <col min="12745" max="12745" width="18.81640625" style="1178" customWidth="1"/>
    <col min="12746" max="12746" width="19.7265625" style="1178" customWidth="1"/>
    <col min="12747" max="12747" width="13.54296875" style="1178" customWidth="1"/>
    <col min="12748" max="12750" width="11.7265625" style="1178" customWidth="1"/>
    <col min="12751" max="12751" width="12.7265625" style="1178" customWidth="1"/>
    <col min="12752" max="12761" width="11.7265625" style="1178" customWidth="1"/>
    <col min="12762" max="12989" width="8" style="1178" customWidth="1"/>
    <col min="12990" max="12990" width="2.453125" style="1178" bestFit="1" customWidth="1"/>
    <col min="12991" max="12991" width="28.26953125" style="1178" bestFit="1" customWidth="1"/>
    <col min="12992" max="12992" width="14.26953125" style="1178" bestFit="1" customWidth="1"/>
    <col min="12993" max="12993" width="13.54296875" style="1178" bestFit="1" customWidth="1"/>
    <col min="12994" max="12994" width="10.7265625" style="1178" bestFit="1" customWidth="1"/>
    <col min="12995" max="12995" width="9.453125" style="1178" bestFit="1" customWidth="1"/>
    <col min="12996" max="12996" width="9.81640625" style="1178" bestFit="1" customWidth="1"/>
    <col min="12997" max="12997" width="11.26953125" style="1178" bestFit="1" customWidth="1"/>
    <col min="12998" max="12998" width="9.1796875" style="1178"/>
    <col min="12999" max="13000" width="3.7265625" style="1178" customWidth="1"/>
    <col min="13001" max="13001" width="18.81640625" style="1178" customWidth="1"/>
    <col min="13002" max="13002" width="19.7265625" style="1178" customWidth="1"/>
    <col min="13003" max="13003" width="13.54296875" style="1178" customWidth="1"/>
    <col min="13004" max="13006" width="11.7265625" style="1178" customWidth="1"/>
    <col min="13007" max="13007" width="12.7265625" style="1178" customWidth="1"/>
    <col min="13008" max="13017" width="11.7265625" style="1178" customWidth="1"/>
    <col min="13018" max="13245" width="8" style="1178" customWidth="1"/>
    <col min="13246" max="13246" width="2.453125" style="1178" bestFit="1" customWidth="1"/>
    <col min="13247" max="13247" width="28.26953125" style="1178" bestFit="1" customWidth="1"/>
    <col min="13248" max="13248" width="14.26953125" style="1178" bestFit="1" customWidth="1"/>
    <col min="13249" max="13249" width="13.54296875" style="1178" bestFit="1" customWidth="1"/>
    <col min="13250" max="13250" width="10.7265625" style="1178" bestFit="1" customWidth="1"/>
    <col min="13251" max="13251" width="9.453125" style="1178" bestFit="1" customWidth="1"/>
    <col min="13252" max="13252" width="9.81640625" style="1178" bestFit="1" customWidth="1"/>
    <col min="13253" max="13253" width="11.26953125" style="1178" bestFit="1" customWidth="1"/>
    <col min="13254" max="13254" width="9.1796875" style="1178"/>
    <col min="13255" max="13256" width="3.7265625" style="1178" customWidth="1"/>
    <col min="13257" max="13257" width="18.81640625" style="1178" customWidth="1"/>
    <col min="13258" max="13258" width="19.7265625" style="1178" customWidth="1"/>
    <col min="13259" max="13259" width="13.54296875" style="1178" customWidth="1"/>
    <col min="13260" max="13262" width="11.7265625" style="1178" customWidth="1"/>
    <col min="13263" max="13263" width="12.7265625" style="1178" customWidth="1"/>
    <col min="13264" max="13273" width="11.7265625" style="1178" customWidth="1"/>
    <col min="13274" max="13501" width="8" style="1178" customWidth="1"/>
    <col min="13502" max="13502" width="2.453125" style="1178" bestFit="1" customWidth="1"/>
    <col min="13503" max="13503" width="28.26953125" style="1178" bestFit="1" customWidth="1"/>
    <col min="13504" max="13504" width="14.26953125" style="1178" bestFit="1" customWidth="1"/>
    <col min="13505" max="13505" width="13.54296875" style="1178" bestFit="1" customWidth="1"/>
    <col min="13506" max="13506" width="10.7265625" style="1178" bestFit="1" customWidth="1"/>
    <col min="13507" max="13507" width="9.453125" style="1178" bestFit="1" customWidth="1"/>
    <col min="13508" max="13508" width="9.81640625" style="1178" bestFit="1" customWidth="1"/>
    <col min="13509" max="13509" width="11.26953125" style="1178" bestFit="1" customWidth="1"/>
    <col min="13510" max="13510" width="9.1796875" style="1178"/>
    <col min="13511" max="13512" width="3.7265625" style="1178" customWidth="1"/>
    <col min="13513" max="13513" width="18.81640625" style="1178" customWidth="1"/>
    <col min="13514" max="13514" width="19.7265625" style="1178" customWidth="1"/>
    <col min="13515" max="13515" width="13.54296875" style="1178" customWidth="1"/>
    <col min="13516" max="13518" width="11.7265625" style="1178" customWidth="1"/>
    <col min="13519" max="13519" width="12.7265625" style="1178" customWidth="1"/>
    <col min="13520" max="13529" width="11.7265625" style="1178" customWidth="1"/>
    <col min="13530" max="13757" width="8" style="1178" customWidth="1"/>
    <col min="13758" max="13758" width="2.453125" style="1178" bestFit="1" customWidth="1"/>
    <col min="13759" max="13759" width="28.26953125" style="1178" bestFit="1" customWidth="1"/>
    <col min="13760" max="13760" width="14.26953125" style="1178" bestFit="1" customWidth="1"/>
    <col min="13761" max="13761" width="13.54296875" style="1178" bestFit="1" customWidth="1"/>
    <col min="13762" max="13762" width="10.7265625" style="1178" bestFit="1" customWidth="1"/>
    <col min="13763" max="13763" width="9.453125" style="1178" bestFit="1" customWidth="1"/>
    <col min="13764" max="13764" width="9.81640625" style="1178" bestFit="1" customWidth="1"/>
    <col min="13765" max="13765" width="11.26953125" style="1178" bestFit="1" customWidth="1"/>
    <col min="13766" max="13766" width="9.1796875" style="1178"/>
    <col min="13767" max="13768" width="3.7265625" style="1178" customWidth="1"/>
    <col min="13769" max="13769" width="18.81640625" style="1178" customWidth="1"/>
    <col min="13770" max="13770" width="19.7265625" style="1178" customWidth="1"/>
    <col min="13771" max="13771" width="13.54296875" style="1178" customWidth="1"/>
    <col min="13772" max="13774" width="11.7265625" style="1178" customWidth="1"/>
    <col min="13775" max="13775" width="12.7265625" style="1178" customWidth="1"/>
    <col min="13776" max="13785" width="11.7265625" style="1178" customWidth="1"/>
    <col min="13786" max="14013" width="8" style="1178" customWidth="1"/>
    <col min="14014" max="14014" width="2.453125" style="1178" bestFit="1" customWidth="1"/>
    <col min="14015" max="14015" width="28.26953125" style="1178" bestFit="1" customWidth="1"/>
    <col min="14016" max="14016" width="14.26953125" style="1178" bestFit="1" customWidth="1"/>
    <col min="14017" max="14017" width="13.54296875" style="1178" bestFit="1" customWidth="1"/>
    <col min="14018" max="14018" width="10.7265625" style="1178" bestFit="1" customWidth="1"/>
    <col min="14019" max="14019" width="9.453125" style="1178" bestFit="1" customWidth="1"/>
    <col min="14020" max="14020" width="9.81640625" style="1178" bestFit="1" customWidth="1"/>
    <col min="14021" max="14021" width="11.26953125" style="1178" bestFit="1" customWidth="1"/>
    <col min="14022" max="14022" width="9.1796875" style="1178"/>
    <col min="14023" max="14024" width="3.7265625" style="1178" customWidth="1"/>
    <col min="14025" max="14025" width="18.81640625" style="1178" customWidth="1"/>
    <col min="14026" max="14026" width="19.7265625" style="1178" customWidth="1"/>
    <col min="14027" max="14027" width="13.54296875" style="1178" customWidth="1"/>
    <col min="14028" max="14030" width="11.7265625" style="1178" customWidth="1"/>
    <col min="14031" max="14031" width="12.7265625" style="1178" customWidth="1"/>
    <col min="14032" max="14041" width="11.7265625" style="1178" customWidth="1"/>
    <col min="14042" max="14269" width="8" style="1178" customWidth="1"/>
    <col min="14270" max="14270" width="2.453125" style="1178" bestFit="1" customWidth="1"/>
    <col min="14271" max="14271" width="28.26953125" style="1178" bestFit="1" customWidth="1"/>
    <col min="14272" max="14272" width="14.26953125" style="1178" bestFit="1" customWidth="1"/>
    <col min="14273" max="14273" width="13.54296875" style="1178" bestFit="1" customWidth="1"/>
    <col min="14274" max="14274" width="10.7265625" style="1178" bestFit="1" customWidth="1"/>
    <col min="14275" max="14275" width="9.453125" style="1178" bestFit="1" customWidth="1"/>
    <col min="14276" max="14276" width="9.81640625" style="1178" bestFit="1" customWidth="1"/>
    <col min="14277" max="14277" width="11.26953125" style="1178" bestFit="1" customWidth="1"/>
    <col min="14278" max="14278" width="9.1796875" style="1178"/>
    <col min="14279" max="14280" width="3.7265625" style="1178" customWidth="1"/>
    <col min="14281" max="14281" width="18.81640625" style="1178" customWidth="1"/>
    <col min="14282" max="14282" width="19.7265625" style="1178" customWidth="1"/>
    <col min="14283" max="14283" width="13.54296875" style="1178" customWidth="1"/>
    <col min="14284" max="14286" width="11.7265625" style="1178" customWidth="1"/>
    <col min="14287" max="14287" width="12.7265625" style="1178" customWidth="1"/>
    <col min="14288" max="14297" width="11.7265625" style="1178" customWidth="1"/>
    <col min="14298" max="14525" width="8" style="1178" customWidth="1"/>
    <col min="14526" max="14526" width="2.453125" style="1178" bestFit="1" customWidth="1"/>
    <col min="14527" max="14527" width="28.26953125" style="1178" bestFit="1" customWidth="1"/>
    <col min="14528" max="14528" width="14.26953125" style="1178" bestFit="1" customWidth="1"/>
    <col min="14529" max="14529" width="13.54296875" style="1178" bestFit="1" customWidth="1"/>
    <col min="14530" max="14530" width="10.7265625" style="1178" bestFit="1" customWidth="1"/>
    <col min="14531" max="14531" width="9.453125" style="1178" bestFit="1" customWidth="1"/>
    <col min="14532" max="14532" width="9.81640625" style="1178" bestFit="1" customWidth="1"/>
    <col min="14533" max="14533" width="11.26953125" style="1178" bestFit="1" customWidth="1"/>
    <col min="14534" max="14534" width="9.1796875" style="1178"/>
    <col min="14535" max="14536" width="3.7265625" style="1178" customWidth="1"/>
    <col min="14537" max="14537" width="18.81640625" style="1178" customWidth="1"/>
    <col min="14538" max="14538" width="19.7265625" style="1178" customWidth="1"/>
    <col min="14539" max="14539" width="13.54296875" style="1178" customWidth="1"/>
    <col min="14540" max="14542" width="11.7265625" style="1178" customWidth="1"/>
    <col min="14543" max="14543" width="12.7265625" style="1178" customWidth="1"/>
    <col min="14544" max="14553" width="11.7265625" style="1178" customWidth="1"/>
    <col min="14554" max="14781" width="8" style="1178" customWidth="1"/>
    <col min="14782" max="14782" width="2.453125" style="1178" bestFit="1" customWidth="1"/>
    <col min="14783" max="14783" width="28.26953125" style="1178" bestFit="1" customWidth="1"/>
    <col min="14784" max="14784" width="14.26953125" style="1178" bestFit="1" customWidth="1"/>
    <col min="14785" max="14785" width="13.54296875" style="1178" bestFit="1" customWidth="1"/>
    <col min="14786" max="14786" width="10.7265625" style="1178" bestFit="1" customWidth="1"/>
    <col min="14787" max="14787" width="9.453125" style="1178" bestFit="1" customWidth="1"/>
    <col min="14788" max="14788" width="9.81640625" style="1178" bestFit="1" customWidth="1"/>
    <col min="14789" max="14789" width="11.26953125" style="1178" bestFit="1" customWidth="1"/>
    <col min="14790" max="14790" width="9.1796875" style="1178"/>
    <col min="14791" max="14792" width="3.7265625" style="1178" customWidth="1"/>
    <col min="14793" max="14793" width="18.81640625" style="1178" customWidth="1"/>
    <col min="14794" max="14794" width="19.7265625" style="1178" customWidth="1"/>
    <col min="14795" max="14795" width="13.54296875" style="1178" customWidth="1"/>
    <col min="14796" max="14798" width="11.7265625" style="1178" customWidth="1"/>
    <col min="14799" max="14799" width="12.7265625" style="1178" customWidth="1"/>
    <col min="14800" max="14809" width="11.7265625" style="1178" customWidth="1"/>
    <col min="14810" max="15037" width="8" style="1178" customWidth="1"/>
    <col min="15038" max="15038" width="2.453125" style="1178" bestFit="1" customWidth="1"/>
    <col min="15039" max="15039" width="28.26953125" style="1178" bestFit="1" customWidth="1"/>
    <col min="15040" max="15040" width="14.26953125" style="1178" bestFit="1" customWidth="1"/>
    <col min="15041" max="15041" width="13.54296875" style="1178" bestFit="1" customWidth="1"/>
    <col min="15042" max="15042" width="10.7265625" style="1178" bestFit="1" customWidth="1"/>
    <col min="15043" max="15043" width="9.453125" style="1178" bestFit="1" customWidth="1"/>
    <col min="15044" max="15044" width="9.81640625" style="1178" bestFit="1" customWidth="1"/>
    <col min="15045" max="15045" width="11.26953125" style="1178" bestFit="1" customWidth="1"/>
    <col min="15046" max="15046" width="9.1796875" style="1178"/>
    <col min="15047" max="15048" width="3.7265625" style="1178" customWidth="1"/>
    <col min="15049" max="15049" width="18.81640625" style="1178" customWidth="1"/>
    <col min="15050" max="15050" width="19.7265625" style="1178" customWidth="1"/>
    <col min="15051" max="15051" width="13.54296875" style="1178" customWidth="1"/>
    <col min="15052" max="15054" width="11.7265625" style="1178" customWidth="1"/>
    <col min="15055" max="15055" width="12.7265625" style="1178" customWidth="1"/>
    <col min="15056" max="15065" width="11.7265625" style="1178" customWidth="1"/>
    <col min="15066" max="15293" width="8" style="1178" customWidth="1"/>
    <col min="15294" max="15294" width="2.453125" style="1178" bestFit="1" customWidth="1"/>
    <col min="15295" max="15295" width="28.26953125" style="1178" bestFit="1" customWidth="1"/>
    <col min="15296" max="15296" width="14.26953125" style="1178" bestFit="1" customWidth="1"/>
    <col min="15297" max="15297" width="13.54296875" style="1178" bestFit="1" customWidth="1"/>
    <col min="15298" max="15298" width="10.7265625" style="1178" bestFit="1" customWidth="1"/>
    <col min="15299" max="15299" width="9.453125" style="1178" bestFit="1" customWidth="1"/>
    <col min="15300" max="15300" width="9.81640625" style="1178" bestFit="1" customWidth="1"/>
    <col min="15301" max="15301" width="11.26953125" style="1178" bestFit="1" customWidth="1"/>
    <col min="15302" max="15302" width="9.1796875" style="1178"/>
    <col min="15303" max="15304" width="3.7265625" style="1178" customWidth="1"/>
    <col min="15305" max="15305" width="18.81640625" style="1178" customWidth="1"/>
    <col min="15306" max="15306" width="19.7265625" style="1178" customWidth="1"/>
    <col min="15307" max="15307" width="13.54296875" style="1178" customWidth="1"/>
    <col min="15308" max="15310" width="11.7265625" style="1178" customWidth="1"/>
    <col min="15311" max="15311" width="12.7265625" style="1178" customWidth="1"/>
    <col min="15312" max="15321" width="11.7265625" style="1178" customWidth="1"/>
    <col min="15322" max="15549" width="8" style="1178" customWidth="1"/>
    <col min="15550" max="15550" width="2.453125" style="1178" bestFit="1" customWidth="1"/>
    <col min="15551" max="15551" width="28.26953125" style="1178" bestFit="1" customWidth="1"/>
    <col min="15552" max="15552" width="14.26953125" style="1178" bestFit="1" customWidth="1"/>
    <col min="15553" max="15553" width="13.54296875" style="1178" bestFit="1" customWidth="1"/>
    <col min="15554" max="15554" width="10.7265625" style="1178" bestFit="1" customWidth="1"/>
    <col min="15555" max="15555" width="9.453125" style="1178" bestFit="1" customWidth="1"/>
    <col min="15556" max="15556" width="9.81640625" style="1178" bestFit="1" customWidth="1"/>
    <col min="15557" max="15557" width="11.26953125" style="1178" bestFit="1" customWidth="1"/>
    <col min="15558" max="15558" width="9.1796875" style="1178"/>
    <col min="15559" max="15560" width="3.7265625" style="1178" customWidth="1"/>
    <col min="15561" max="15561" width="18.81640625" style="1178" customWidth="1"/>
    <col min="15562" max="15562" width="19.7265625" style="1178" customWidth="1"/>
    <col min="15563" max="15563" width="13.54296875" style="1178" customWidth="1"/>
    <col min="15564" max="15566" width="11.7265625" style="1178" customWidth="1"/>
    <col min="15567" max="15567" width="12.7265625" style="1178" customWidth="1"/>
    <col min="15568" max="15577" width="11.7265625" style="1178" customWidth="1"/>
    <col min="15578" max="15805" width="8" style="1178" customWidth="1"/>
    <col min="15806" max="15806" width="2.453125" style="1178" bestFit="1" customWidth="1"/>
    <col min="15807" max="15807" width="28.26953125" style="1178" bestFit="1" customWidth="1"/>
    <col min="15808" max="15808" width="14.26953125" style="1178" bestFit="1" customWidth="1"/>
    <col min="15809" max="15809" width="13.54296875" style="1178" bestFit="1" customWidth="1"/>
    <col min="15810" max="15810" width="10.7265625" style="1178" bestFit="1" customWidth="1"/>
    <col min="15811" max="15811" width="9.453125" style="1178" bestFit="1" customWidth="1"/>
    <col min="15812" max="15812" width="9.81640625" style="1178" bestFit="1" customWidth="1"/>
    <col min="15813" max="15813" width="11.26953125" style="1178" bestFit="1" customWidth="1"/>
    <col min="15814" max="15814" width="9.1796875" style="1178"/>
    <col min="15815" max="15816" width="3.7265625" style="1178" customWidth="1"/>
    <col min="15817" max="15817" width="18.81640625" style="1178" customWidth="1"/>
    <col min="15818" max="15818" width="19.7265625" style="1178" customWidth="1"/>
    <col min="15819" max="15819" width="13.54296875" style="1178" customWidth="1"/>
    <col min="15820" max="15822" width="11.7265625" style="1178" customWidth="1"/>
    <col min="15823" max="15823" width="12.7265625" style="1178" customWidth="1"/>
    <col min="15824" max="15833" width="11.7265625" style="1178" customWidth="1"/>
    <col min="15834" max="16061" width="8" style="1178" customWidth="1"/>
    <col min="16062" max="16062" width="2.453125" style="1178" bestFit="1" customWidth="1"/>
    <col min="16063" max="16063" width="28.26953125" style="1178" bestFit="1" customWidth="1"/>
    <col min="16064" max="16064" width="14.26953125" style="1178" bestFit="1" customWidth="1"/>
    <col min="16065" max="16065" width="13.54296875" style="1178" bestFit="1" customWidth="1"/>
    <col min="16066" max="16066" width="10.7265625" style="1178" bestFit="1" customWidth="1"/>
    <col min="16067" max="16067" width="9.453125" style="1178" bestFit="1" customWidth="1"/>
    <col min="16068" max="16068" width="9.81640625" style="1178" bestFit="1" customWidth="1"/>
    <col min="16069" max="16069" width="11.26953125" style="1178" bestFit="1" customWidth="1"/>
    <col min="16070" max="16070" width="9.1796875" style="1178"/>
    <col min="16071" max="16072" width="3.7265625" style="1178" customWidth="1"/>
    <col min="16073" max="16073" width="18.81640625" style="1178" customWidth="1"/>
    <col min="16074" max="16074" width="19.7265625" style="1178" customWidth="1"/>
    <col min="16075" max="16075" width="13.54296875" style="1178" customWidth="1"/>
    <col min="16076" max="16078" width="11.7265625" style="1178" customWidth="1"/>
    <col min="16079" max="16079" width="12.7265625" style="1178" customWidth="1"/>
    <col min="16080" max="16089" width="11.7265625" style="1178" customWidth="1"/>
    <col min="16090" max="16317" width="8" style="1178" customWidth="1"/>
    <col min="16318" max="16318" width="2.453125" style="1178" bestFit="1" customWidth="1"/>
    <col min="16319" max="16319" width="28.26953125" style="1178" bestFit="1" customWidth="1"/>
    <col min="16320" max="16320" width="14.26953125" style="1178" bestFit="1" customWidth="1"/>
    <col min="16321" max="16321" width="13.54296875" style="1178" bestFit="1" customWidth="1"/>
    <col min="16322" max="16322" width="10.7265625" style="1178" bestFit="1" customWidth="1"/>
    <col min="16323" max="16323" width="9.453125" style="1178" bestFit="1" customWidth="1"/>
    <col min="16324" max="16324" width="9.81640625" style="1178" bestFit="1" customWidth="1"/>
    <col min="16325" max="16384" width="9.81640625" style="1178" customWidth="1"/>
  </cols>
  <sheetData>
    <row r="1" spans="1:21" ht="23.5">
      <c r="B1" s="1880" t="s">
        <v>1198</v>
      </c>
      <c r="C1" s="1880"/>
      <c r="D1" s="1880"/>
      <c r="E1" s="1880"/>
      <c r="F1" s="41"/>
      <c r="G1" s="1881"/>
      <c r="H1" s="1881"/>
      <c r="I1" s="1881"/>
      <c r="J1" s="1881"/>
      <c r="K1" s="1881"/>
      <c r="L1" s="1881"/>
      <c r="M1" s="1881"/>
      <c r="N1" s="1881"/>
      <c r="O1" s="1881"/>
      <c r="P1" s="1881"/>
      <c r="Q1" s="1881"/>
      <c r="R1" s="1881"/>
      <c r="S1" s="1881"/>
      <c r="T1" s="1881"/>
      <c r="U1" s="1881"/>
    </row>
    <row r="2" spans="1:21" s="1179" customFormat="1">
      <c r="A2" s="1177"/>
      <c r="B2" s="2004" t="s">
        <v>762</v>
      </c>
      <c r="C2" s="2004"/>
      <c r="D2" s="2004"/>
      <c r="E2" s="2004"/>
      <c r="F2" s="2004"/>
      <c r="G2" s="2004"/>
      <c r="H2" s="2004"/>
      <c r="I2" s="2004"/>
      <c r="J2" s="2004"/>
      <c r="K2" s="2004"/>
      <c r="L2" s="2004"/>
      <c r="M2" s="2004"/>
      <c r="N2" s="2004"/>
      <c r="O2" s="2004"/>
      <c r="P2" s="2004"/>
      <c r="Q2" s="2004"/>
      <c r="R2" s="2004"/>
      <c r="S2" s="2004"/>
      <c r="T2" s="2004"/>
      <c r="U2" s="2004"/>
    </row>
    <row r="3" spans="1:21" s="1179" customFormat="1">
      <c r="A3" s="1177"/>
      <c r="B3" s="2004" t="s">
        <v>411</v>
      </c>
      <c r="C3" s="2004"/>
      <c r="D3" s="2004"/>
      <c r="E3" s="2004"/>
      <c r="F3" s="2004"/>
      <c r="G3" s="2004"/>
      <c r="H3" s="2004"/>
      <c r="I3" s="2004"/>
      <c r="J3" s="2004"/>
      <c r="K3" s="2004"/>
      <c r="L3" s="2004"/>
      <c r="M3" s="2004"/>
      <c r="N3" s="2004"/>
      <c r="O3" s="2004"/>
      <c r="P3" s="2004"/>
      <c r="Q3" s="2004"/>
      <c r="R3" s="2004"/>
      <c r="S3" s="2004"/>
      <c r="T3" s="2004"/>
      <c r="U3" s="2004"/>
    </row>
    <row r="4" spans="1:21" s="1179" customFormat="1">
      <c r="A4" s="1177"/>
      <c r="B4" s="2004" t="s">
        <v>1172</v>
      </c>
      <c r="C4" s="2004"/>
      <c r="D4" s="2004"/>
      <c r="E4" s="2004"/>
      <c r="F4" s="2004"/>
      <c r="G4" s="2004"/>
      <c r="H4" s="2004"/>
      <c r="I4" s="2004"/>
      <c r="J4" s="2004"/>
      <c r="K4" s="2004"/>
      <c r="L4" s="2004"/>
      <c r="M4" s="2004"/>
      <c r="N4" s="2004"/>
      <c r="O4" s="2004"/>
      <c r="P4" s="2004"/>
      <c r="Q4" s="2004"/>
      <c r="R4" s="2004"/>
      <c r="S4" s="2004"/>
      <c r="T4" s="2004"/>
      <c r="U4" s="2004"/>
    </row>
    <row r="5" spans="1:21">
      <c r="B5" s="1180"/>
      <c r="C5" s="1180"/>
      <c r="D5" s="1180"/>
      <c r="E5" s="1180"/>
      <c r="F5" s="1180"/>
      <c r="G5" s="1180"/>
      <c r="H5" s="1180"/>
      <c r="I5" s="1180"/>
      <c r="J5" s="1180"/>
      <c r="K5" s="1180"/>
      <c r="L5" s="1180"/>
      <c r="M5" s="1180"/>
      <c r="N5" s="1180"/>
      <c r="O5" s="1180"/>
      <c r="P5" s="1180"/>
      <c r="Q5" s="1180"/>
      <c r="R5" s="1180"/>
      <c r="S5" s="1180"/>
      <c r="T5" s="1180"/>
      <c r="U5" s="1882" t="s">
        <v>0</v>
      </c>
    </row>
    <row r="6" spans="1:21" ht="16" thickBot="1">
      <c r="B6" s="2005" t="s">
        <v>1</v>
      </c>
      <c r="C6" s="2005"/>
      <c r="D6" s="1883" t="s">
        <v>2</v>
      </c>
      <c r="E6" s="1883" t="s">
        <v>72</v>
      </c>
      <c r="F6" s="1883" t="s">
        <v>73</v>
      </c>
      <c r="G6" s="1883" t="s">
        <v>74</v>
      </c>
      <c r="H6" s="1883" t="s">
        <v>75</v>
      </c>
      <c r="I6" s="1883" t="s">
        <v>76</v>
      </c>
      <c r="J6" s="1883" t="s">
        <v>77</v>
      </c>
      <c r="K6" s="1883" t="s">
        <v>78</v>
      </c>
      <c r="L6" s="1883" t="s">
        <v>79</v>
      </c>
      <c r="M6" s="1883" t="s">
        <v>80</v>
      </c>
      <c r="N6" s="1883" t="s">
        <v>81</v>
      </c>
      <c r="O6" s="1883" t="s">
        <v>184</v>
      </c>
      <c r="P6" s="1883" t="s">
        <v>185</v>
      </c>
      <c r="Q6" s="1883" t="s">
        <v>186</v>
      </c>
      <c r="R6" s="1883" t="s">
        <v>187</v>
      </c>
      <c r="S6" s="1883" t="s">
        <v>965</v>
      </c>
      <c r="T6" s="1883" t="s">
        <v>966</v>
      </c>
      <c r="U6" s="1883" t="s">
        <v>967</v>
      </c>
    </row>
    <row r="7" spans="1:21" s="1183" customFormat="1" ht="44" thickBot="1">
      <c r="A7" s="1181"/>
      <c r="B7" s="2006" t="s">
        <v>969</v>
      </c>
      <c r="C7" s="2007"/>
      <c r="D7" s="1884" t="s">
        <v>970</v>
      </c>
      <c r="E7" s="1884" t="s">
        <v>971</v>
      </c>
      <c r="F7" s="1884" t="s">
        <v>972</v>
      </c>
      <c r="G7" s="1884" t="s">
        <v>973</v>
      </c>
      <c r="H7" s="1884" t="s">
        <v>1173</v>
      </c>
      <c r="I7" s="1884" t="s">
        <v>1174</v>
      </c>
      <c r="J7" s="1884" t="s">
        <v>974</v>
      </c>
      <c r="K7" s="1884" t="s">
        <v>975</v>
      </c>
      <c r="L7" s="1884" t="s">
        <v>1175</v>
      </c>
      <c r="M7" s="1884" t="s">
        <v>1176</v>
      </c>
      <c r="N7" s="1884" t="s">
        <v>1177</v>
      </c>
      <c r="O7" s="1884" t="s">
        <v>1178</v>
      </c>
      <c r="P7" s="1884" t="s">
        <v>1179</v>
      </c>
      <c r="Q7" s="1884" t="s">
        <v>1180</v>
      </c>
      <c r="R7" s="1884" t="s">
        <v>1181</v>
      </c>
      <c r="S7" s="1884" t="s">
        <v>1182</v>
      </c>
      <c r="T7" s="1884" t="s">
        <v>1183</v>
      </c>
      <c r="U7" s="1884" t="s">
        <v>1184</v>
      </c>
    </row>
    <row r="8" spans="1:21" s="1182" customFormat="1" ht="13.5" thickTop="1">
      <c r="A8" s="1994" t="s">
        <v>1199</v>
      </c>
      <c r="B8" s="1996">
        <v>1</v>
      </c>
      <c r="C8" s="1998" t="s">
        <v>976</v>
      </c>
      <c r="D8" s="1998" t="s">
        <v>1185</v>
      </c>
      <c r="E8" s="2000">
        <v>41555</v>
      </c>
      <c r="F8" s="2000">
        <v>48859</v>
      </c>
      <c r="G8" s="1991">
        <v>200000</v>
      </c>
      <c r="H8" s="1991">
        <v>77912.154999999999</v>
      </c>
      <c r="I8" s="1991"/>
      <c r="J8" s="1991">
        <v>8117</v>
      </c>
      <c r="K8" s="1991">
        <f t="shared" ref="K8" si="0">H8+I8-J8</f>
        <v>69795.154999999999</v>
      </c>
      <c r="L8" s="1991">
        <v>8117</v>
      </c>
      <c r="M8" s="1991">
        <v>8081</v>
      </c>
      <c r="N8" s="1991">
        <v>7712</v>
      </c>
      <c r="O8" s="1991">
        <v>7711</v>
      </c>
      <c r="P8" s="1991">
        <v>7711</v>
      </c>
      <c r="Q8" s="1991">
        <v>7711</v>
      </c>
      <c r="R8" s="1991">
        <v>7711</v>
      </c>
      <c r="S8" s="1991">
        <v>7711</v>
      </c>
      <c r="T8" s="1991">
        <v>7330</v>
      </c>
      <c r="U8" s="1989"/>
    </row>
    <row r="9" spans="1:21" s="1182" customFormat="1" ht="13">
      <c r="A9" s="1994"/>
      <c r="B9" s="2001"/>
      <c r="C9" s="2002"/>
      <c r="D9" s="2002"/>
      <c r="E9" s="2003"/>
      <c r="F9" s="2003"/>
      <c r="G9" s="1992"/>
      <c r="H9" s="1992"/>
      <c r="I9" s="1992"/>
      <c r="J9" s="1992"/>
      <c r="K9" s="1992"/>
      <c r="L9" s="1992"/>
      <c r="M9" s="1992"/>
      <c r="N9" s="1992"/>
      <c r="O9" s="1992"/>
      <c r="P9" s="1992"/>
      <c r="Q9" s="1992"/>
      <c r="R9" s="1992"/>
      <c r="S9" s="1992"/>
      <c r="T9" s="1992"/>
      <c r="U9" s="1993"/>
    </row>
    <row r="10" spans="1:21" s="1182" customFormat="1" ht="13">
      <c r="A10" s="1994" t="s">
        <v>977</v>
      </c>
      <c r="B10" s="1995">
        <v>2</v>
      </c>
      <c r="C10" s="1997" t="s">
        <v>978</v>
      </c>
      <c r="D10" s="1997" t="s">
        <v>979</v>
      </c>
      <c r="E10" s="1999">
        <v>41759</v>
      </c>
      <c r="F10" s="1999">
        <v>49064</v>
      </c>
      <c r="G10" s="1990">
        <v>200000</v>
      </c>
      <c r="H10" s="1990">
        <v>93296</v>
      </c>
      <c r="I10" s="1990"/>
      <c r="J10" s="1990">
        <v>8886</v>
      </c>
      <c r="K10" s="1990">
        <f t="shared" ref="K10" si="1">H10+I10-J10</f>
        <v>84410</v>
      </c>
      <c r="L10" s="1990">
        <v>8886</v>
      </c>
      <c r="M10" s="1990">
        <v>8886</v>
      </c>
      <c r="N10" s="1990">
        <v>8886</v>
      </c>
      <c r="O10" s="1990">
        <v>8887</v>
      </c>
      <c r="P10" s="1990">
        <v>8886</v>
      </c>
      <c r="Q10" s="1990">
        <v>8886</v>
      </c>
      <c r="R10" s="1990">
        <v>8886</v>
      </c>
      <c r="S10" s="1990">
        <v>8886</v>
      </c>
      <c r="T10" s="1990">
        <v>8886</v>
      </c>
      <c r="U10" s="1988">
        <v>4435</v>
      </c>
    </row>
    <row r="11" spans="1:21" s="1182" customFormat="1" ht="13">
      <c r="A11" s="1994"/>
      <c r="B11" s="2001"/>
      <c r="C11" s="2002"/>
      <c r="D11" s="2002"/>
      <c r="E11" s="2003"/>
      <c r="F11" s="2003"/>
      <c r="G11" s="1992"/>
      <c r="H11" s="1992"/>
      <c r="I11" s="1992"/>
      <c r="J11" s="1992"/>
      <c r="K11" s="1992"/>
      <c r="L11" s="1992"/>
      <c r="M11" s="1992"/>
      <c r="N11" s="1992"/>
      <c r="O11" s="1992"/>
      <c r="P11" s="1992"/>
      <c r="Q11" s="1992"/>
      <c r="R11" s="1992"/>
      <c r="S11" s="1992"/>
      <c r="T11" s="1992"/>
      <c r="U11" s="1993"/>
    </row>
    <row r="12" spans="1:21" s="1182" customFormat="1" ht="13">
      <c r="A12" s="1994" t="s">
        <v>980</v>
      </c>
      <c r="B12" s="1995">
        <v>3</v>
      </c>
      <c r="C12" s="1997" t="s">
        <v>981</v>
      </c>
      <c r="D12" s="1997" t="s">
        <v>982</v>
      </c>
      <c r="E12" s="1999">
        <v>43641</v>
      </c>
      <c r="F12" s="1999">
        <v>47299</v>
      </c>
      <c r="G12" s="1990">
        <v>1260000</v>
      </c>
      <c r="H12" s="1990">
        <v>655045</v>
      </c>
      <c r="I12" s="1990"/>
      <c r="J12" s="1990">
        <v>152728</v>
      </c>
      <c r="K12" s="1990">
        <f t="shared" ref="K12" si="2">H12+I12-J12</f>
        <v>502317</v>
      </c>
      <c r="L12" s="1990">
        <v>152727</v>
      </c>
      <c r="M12" s="1990">
        <v>152727</v>
      </c>
      <c r="N12" s="1990">
        <v>152727</v>
      </c>
      <c r="O12" s="1990">
        <v>44136</v>
      </c>
      <c r="P12" s="1990"/>
      <c r="Q12" s="1990"/>
      <c r="R12" s="1990"/>
      <c r="S12" s="1990"/>
      <c r="T12" s="1990"/>
      <c r="U12" s="1988"/>
    </row>
    <row r="13" spans="1:21" s="1182" customFormat="1" ht="13">
      <c r="A13" s="1994"/>
      <c r="B13" s="2001"/>
      <c r="C13" s="2002"/>
      <c r="D13" s="2002"/>
      <c r="E13" s="2003"/>
      <c r="F13" s="2003"/>
      <c r="G13" s="1992"/>
      <c r="H13" s="1992"/>
      <c r="I13" s="1992"/>
      <c r="J13" s="1992"/>
      <c r="K13" s="1992"/>
      <c r="L13" s="1992"/>
      <c r="M13" s="1992"/>
      <c r="N13" s="1992"/>
      <c r="O13" s="1992"/>
      <c r="P13" s="1992"/>
      <c r="Q13" s="1992"/>
      <c r="R13" s="1992"/>
      <c r="S13" s="1992"/>
      <c r="T13" s="1992"/>
      <c r="U13" s="1993"/>
    </row>
    <row r="14" spans="1:21" s="1182" customFormat="1" ht="13">
      <c r="A14" s="1994" t="s">
        <v>1200</v>
      </c>
      <c r="B14" s="1995">
        <v>4</v>
      </c>
      <c r="C14" s="1997" t="s">
        <v>983</v>
      </c>
      <c r="D14" s="1997" t="s">
        <v>979</v>
      </c>
      <c r="E14" s="1999">
        <v>44424</v>
      </c>
      <c r="F14" s="1999">
        <v>48029</v>
      </c>
      <c r="G14" s="1990">
        <v>561891</v>
      </c>
      <c r="H14" s="1990">
        <v>522522</v>
      </c>
      <c r="I14" s="1990"/>
      <c r="J14" s="1990">
        <v>68108</v>
      </c>
      <c r="K14" s="1990">
        <f t="shared" ref="K14" si="3">H14+I14-J14</f>
        <v>454414</v>
      </c>
      <c r="L14" s="1990">
        <v>68108</v>
      </c>
      <c r="M14" s="1990">
        <v>68108</v>
      </c>
      <c r="N14" s="1990">
        <v>68108</v>
      </c>
      <c r="O14" s="1990">
        <v>68108</v>
      </c>
      <c r="P14" s="1990">
        <v>68108</v>
      </c>
      <c r="Q14" s="1990">
        <v>68108</v>
      </c>
      <c r="R14" s="1990">
        <v>45766</v>
      </c>
      <c r="S14" s="1990"/>
      <c r="T14" s="1990"/>
      <c r="U14" s="1988"/>
    </row>
    <row r="15" spans="1:21" s="1182" customFormat="1" ht="13.5" thickBot="1">
      <c r="A15" s="1994"/>
      <c r="B15" s="1996"/>
      <c r="C15" s="1998"/>
      <c r="D15" s="1998"/>
      <c r="E15" s="2000"/>
      <c r="F15" s="2000"/>
      <c r="G15" s="1991"/>
      <c r="H15" s="1991"/>
      <c r="I15" s="1991"/>
      <c r="J15" s="1991"/>
      <c r="K15" s="1991"/>
      <c r="L15" s="1991"/>
      <c r="M15" s="1991"/>
      <c r="N15" s="1991"/>
      <c r="O15" s="1991"/>
      <c r="P15" s="1991"/>
      <c r="Q15" s="1991"/>
      <c r="R15" s="1991"/>
      <c r="S15" s="1991"/>
      <c r="T15" s="1991"/>
      <c r="U15" s="1989"/>
    </row>
    <row r="16" spans="1:21" s="1182" customFormat="1" thickTop="1" thickBot="1">
      <c r="A16" s="1885" t="s">
        <v>1201</v>
      </c>
      <c r="B16" s="1886" t="s">
        <v>984</v>
      </c>
      <c r="C16" s="1887" t="s">
        <v>985</v>
      </c>
      <c r="D16" s="1888"/>
      <c r="E16" s="1888"/>
      <c r="F16" s="1888"/>
      <c r="G16" s="1889"/>
      <c r="H16" s="1890">
        <f t="shared" ref="H16:U16" si="4">SUM(H8:H15)</f>
        <v>1348775.155</v>
      </c>
      <c r="I16" s="1890">
        <f t="shared" si="4"/>
        <v>0</v>
      </c>
      <c r="J16" s="1890">
        <f t="shared" si="4"/>
        <v>237839</v>
      </c>
      <c r="K16" s="1890">
        <f t="shared" si="4"/>
        <v>1110936.155</v>
      </c>
      <c r="L16" s="1890">
        <f t="shared" si="4"/>
        <v>237838</v>
      </c>
      <c r="M16" s="1890">
        <f t="shared" si="4"/>
        <v>237802</v>
      </c>
      <c r="N16" s="1890">
        <f t="shared" si="4"/>
        <v>237433</v>
      </c>
      <c r="O16" s="1890">
        <f t="shared" si="4"/>
        <v>128842</v>
      </c>
      <c r="P16" s="1890">
        <f t="shared" si="4"/>
        <v>84705</v>
      </c>
      <c r="Q16" s="1890">
        <f t="shared" si="4"/>
        <v>84705</v>
      </c>
      <c r="R16" s="1890">
        <f t="shared" si="4"/>
        <v>62363</v>
      </c>
      <c r="S16" s="1890">
        <f t="shared" si="4"/>
        <v>16597</v>
      </c>
      <c r="T16" s="1890">
        <f t="shared" si="4"/>
        <v>16216</v>
      </c>
      <c r="U16" s="1891">
        <f t="shared" si="4"/>
        <v>4435</v>
      </c>
    </row>
  </sheetData>
  <mergeCells count="89">
    <mergeCell ref="A8:A9"/>
    <mergeCell ref="B8:B9"/>
    <mergeCell ref="C8:C9"/>
    <mergeCell ref="D8:D9"/>
    <mergeCell ref="E8:E9"/>
    <mergeCell ref="B2:U2"/>
    <mergeCell ref="B3:U3"/>
    <mergeCell ref="B4:U4"/>
    <mergeCell ref="B6:C6"/>
    <mergeCell ref="B7:C7"/>
    <mergeCell ref="M8:M9"/>
    <mergeCell ref="N8:N9"/>
    <mergeCell ref="O8:O9"/>
    <mergeCell ref="F8:F9"/>
    <mergeCell ref="G8:G9"/>
    <mergeCell ref="H8:H9"/>
    <mergeCell ref="I8:I9"/>
    <mergeCell ref="J8:J9"/>
    <mergeCell ref="K8:K9"/>
    <mergeCell ref="C10:C11"/>
    <mergeCell ref="D10:D11"/>
    <mergeCell ref="E10:E11"/>
    <mergeCell ref="F10:F11"/>
    <mergeCell ref="L8:L9"/>
    <mergeCell ref="L10:L11"/>
    <mergeCell ref="G10:G11"/>
    <mergeCell ref="H10:H11"/>
    <mergeCell ref="I10:I11"/>
    <mergeCell ref="J10:J11"/>
    <mergeCell ref="R8:R9"/>
    <mergeCell ref="S8:S9"/>
    <mergeCell ref="T8:T9"/>
    <mergeCell ref="U8:U9"/>
    <mergeCell ref="P8:P9"/>
    <mergeCell ref="Q8:Q9"/>
    <mergeCell ref="T10:T11"/>
    <mergeCell ref="U10:U11"/>
    <mergeCell ref="A12:A13"/>
    <mergeCell ref="B12:B13"/>
    <mergeCell ref="C12:C13"/>
    <mergeCell ref="D12:D13"/>
    <mergeCell ref="E12:E13"/>
    <mergeCell ref="F12:F13"/>
    <mergeCell ref="G12:G13"/>
    <mergeCell ref="M10:M11"/>
    <mergeCell ref="N10:N11"/>
    <mergeCell ref="O10:O11"/>
    <mergeCell ref="P10:P11"/>
    <mergeCell ref="Q10:Q11"/>
    <mergeCell ref="A10:A11"/>
    <mergeCell ref="B10:B11"/>
    <mergeCell ref="R10:R11"/>
    <mergeCell ref="S12:S13"/>
    <mergeCell ref="H12:H13"/>
    <mergeCell ref="I12:I13"/>
    <mergeCell ref="J12:J13"/>
    <mergeCell ref="K12:K13"/>
    <mergeCell ref="L12:L13"/>
    <mergeCell ref="M12:M13"/>
    <mergeCell ref="K10:K11"/>
    <mergeCell ref="S10:S11"/>
    <mergeCell ref="N14:N15"/>
    <mergeCell ref="T12:T13"/>
    <mergeCell ref="U12:U13"/>
    <mergeCell ref="A14:A15"/>
    <mergeCell ref="B14:B15"/>
    <mergeCell ref="C14:C15"/>
    <mergeCell ref="D14:D15"/>
    <mergeCell ref="E14:E15"/>
    <mergeCell ref="F14:F15"/>
    <mergeCell ref="G14:G15"/>
    <mergeCell ref="H14:H15"/>
    <mergeCell ref="N12:N13"/>
    <mergeCell ref="O12:O13"/>
    <mergeCell ref="P12:P13"/>
    <mergeCell ref="Q12:Q13"/>
    <mergeCell ref="R12:R13"/>
    <mergeCell ref="I14:I15"/>
    <mergeCell ref="J14:J15"/>
    <mergeCell ref="K14:K15"/>
    <mergeCell ref="L14:L15"/>
    <mergeCell ref="M14:M15"/>
    <mergeCell ref="U14:U15"/>
    <mergeCell ref="O14:O15"/>
    <mergeCell ref="P14:P15"/>
    <mergeCell ref="Q14:Q15"/>
    <mergeCell ref="R14:R15"/>
    <mergeCell ref="S14:S15"/>
    <mergeCell ref="T14:T15"/>
  </mergeCells>
  <printOptions horizontalCentered="1"/>
  <pageMargins left="0.19685039370078741" right="0.19685039370078741" top="0.59055118110236227" bottom="0.59055118110236227" header="0.31496062992125984" footer="0.31496062992125984"/>
  <pageSetup paperSize="9" scale="55" fitToHeight="0" orientation="landscape" verticalDpi="0" r:id="rId1"/>
  <headerFooter>
    <oddFooter>&amp;C- &amp;P -</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1"/>
  <sheetViews>
    <sheetView view="pageBreakPreview" topLeftCell="R20" zoomScaleNormal="100" workbookViewId="0">
      <selection activeCell="A5" sqref="A5:AB25"/>
    </sheetView>
  </sheetViews>
  <sheetFormatPr defaultColWidth="10.453125" defaultRowHeight="15.5"/>
  <cols>
    <col min="1" max="1" width="3.7265625" style="1186" customWidth="1"/>
    <col min="2" max="3" width="5.7265625" style="1252" customWidth="1"/>
    <col min="4" max="4" width="51.7265625" style="1251" customWidth="1"/>
    <col min="5" max="5" width="19.7265625" style="1253" customWidth="1"/>
    <col min="6" max="6" width="3" style="1187" customWidth="1"/>
    <col min="7" max="8" width="13.7265625" style="1187" customWidth="1"/>
    <col min="9" max="9" width="12.26953125" style="1187" customWidth="1"/>
    <col min="10" max="16" width="13.7265625" style="1187" customWidth="1"/>
    <col min="17" max="18" width="15.7265625" style="1187" customWidth="1"/>
    <col min="19" max="19" width="12.26953125" style="1187" customWidth="1"/>
    <col min="20" max="26" width="13.7265625" style="1187" customWidth="1"/>
    <col min="27" max="28" width="15.7265625" style="1187" customWidth="1"/>
    <col min="29" max="16384" width="10.453125" style="1187"/>
  </cols>
  <sheetData>
    <row r="1" spans="1:28">
      <c r="A1" s="1188"/>
      <c r="B1" s="1893" t="s">
        <v>1202</v>
      </c>
      <c r="C1" s="1893"/>
      <c r="D1" s="1893"/>
      <c r="E1" s="1893"/>
      <c r="F1" s="1893"/>
      <c r="G1" s="7"/>
      <c r="H1" s="7"/>
      <c r="I1" s="7"/>
      <c r="J1" s="7"/>
      <c r="K1" s="7"/>
      <c r="L1" s="7"/>
      <c r="M1" s="7"/>
      <c r="N1" s="7"/>
      <c r="O1" s="7"/>
      <c r="P1" s="7"/>
      <c r="Q1" s="7"/>
      <c r="R1" s="7"/>
      <c r="S1" s="7"/>
      <c r="T1" s="7"/>
      <c r="U1" s="7"/>
      <c r="V1" s="6"/>
      <c r="W1" s="6"/>
      <c r="X1" s="6"/>
      <c r="Y1" s="6"/>
      <c r="Z1" s="6"/>
      <c r="AA1" s="6"/>
    </row>
    <row r="2" spans="1:28" ht="24.75" customHeight="1">
      <c r="B2" s="2011" t="s">
        <v>762</v>
      </c>
      <c r="C2" s="2011"/>
      <c r="D2" s="2011"/>
      <c r="E2" s="2011"/>
      <c r="F2" s="2011"/>
      <c r="G2" s="2011"/>
      <c r="H2" s="2011"/>
      <c r="I2" s="2011"/>
      <c r="J2" s="2011"/>
      <c r="K2" s="2011"/>
      <c r="L2" s="2011"/>
      <c r="M2" s="2011"/>
      <c r="N2" s="2011"/>
      <c r="O2" s="2011"/>
      <c r="P2" s="2011"/>
      <c r="Q2" s="2011"/>
      <c r="R2" s="2011"/>
      <c r="S2" s="2011"/>
      <c r="T2" s="2011"/>
      <c r="U2" s="2011"/>
      <c r="V2" s="2011"/>
      <c r="W2" s="2011"/>
      <c r="X2" s="2011"/>
      <c r="Y2" s="2011"/>
      <c r="Z2" s="2011"/>
      <c r="AA2" s="2011"/>
      <c r="AB2" s="2011"/>
    </row>
    <row r="3" spans="1:28" ht="24.75" customHeight="1">
      <c r="B3" s="2011" t="s">
        <v>1285</v>
      </c>
      <c r="C3" s="2011"/>
      <c r="D3" s="2011"/>
      <c r="E3" s="2011"/>
      <c r="F3" s="2011"/>
      <c r="G3" s="2011"/>
      <c r="H3" s="2011"/>
      <c r="I3" s="2011"/>
      <c r="J3" s="2011"/>
      <c r="K3" s="2011"/>
      <c r="L3" s="2011"/>
      <c r="M3" s="2011"/>
      <c r="N3" s="2011"/>
      <c r="O3" s="2011"/>
      <c r="P3" s="2011"/>
      <c r="Q3" s="2011"/>
      <c r="R3" s="2011"/>
      <c r="S3" s="2011"/>
      <c r="T3" s="2011"/>
      <c r="U3" s="2011"/>
      <c r="V3" s="2011"/>
      <c r="W3" s="2011"/>
      <c r="X3" s="2011"/>
      <c r="Y3" s="2011"/>
      <c r="Z3" s="2011"/>
      <c r="AA3" s="2011"/>
      <c r="AB3" s="2011"/>
    </row>
    <row r="4" spans="1:28" ht="24.75" customHeight="1">
      <c r="B4" s="2011" t="s">
        <v>986</v>
      </c>
      <c r="C4" s="2011"/>
      <c r="D4" s="2011"/>
      <c r="E4" s="2011"/>
      <c r="F4" s="2011"/>
      <c r="G4" s="2011"/>
      <c r="H4" s="2011"/>
      <c r="I4" s="2011"/>
      <c r="J4" s="2011"/>
      <c r="K4" s="2011"/>
      <c r="L4" s="2011"/>
      <c r="M4" s="2011"/>
      <c r="N4" s="2011"/>
      <c r="O4" s="2011"/>
      <c r="P4" s="2011"/>
      <c r="Q4" s="2011"/>
      <c r="R4" s="2011"/>
      <c r="S4" s="2011"/>
      <c r="T4" s="2011"/>
      <c r="U4" s="2011"/>
      <c r="V4" s="2011"/>
      <c r="W4" s="2011"/>
      <c r="X4" s="2011"/>
      <c r="Y4" s="2011"/>
      <c r="Z4" s="2011"/>
      <c r="AA4" s="2011"/>
      <c r="AB4" s="2011"/>
    </row>
    <row r="5" spans="1:28" s="1191" customFormat="1" ht="14.5">
      <c r="A5" s="1186"/>
      <c r="B5" s="1186"/>
      <c r="C5" s="1186"/>
      <c r="D5" s="1189"/>
      <c r="E5" s="1190"/>
      <c r="W5" s="1408"/>
      <c r="X5" s="1408"/>
      <c r="Y5" s="1408"/>
      <c r="Z5" s="1408"/>
      <c r="AA5" s="1408"/>
      <c r="AB5" s="1341" t="s">
        <v>0</v>
      </c>
    </row>
    <row r="6" spans="1:28" s="1186" customFormat="1" ht="15" thickBot="1">
      <c r="B6" s="1186" t="s">
        <v>987</v>
      </c>
      <c r="C6" s="1186" t="s">
        <v>2</v>
      </c>
      <c r="D6" s="1192" t="s">
        <v>72</v>
      </c>
      <c r="E6" s="1190" t="s">
        <v>73</v>
      </c>
      <c r="G6" s="1186" t="s">
        <v>74</v>
      </c>
      <c r="H6" s="1186" t="s">
        <v>75</v>
      </c>
      <c r="I6" s="1186" t="s">
        <v>76</v>
      </c>
      <c r="J6" s="1186" t="s">
        <v>77</v>
      </c>
      <c r="K6" s="1186" t="s">
        <v>78</v>
      </c>
      <c r="L6" s="1186" t="s">
        <v>79</v>
      </c>
      <c r="M6" s="1186" t="s">
        <v>80</v>
      </c>
      <c r="N6" s="1186" t="s">
        <v>81</v>
      </c>
      <c r="O6" s="1186" t="s">
        <v>184</v>
      </c>
      <c r="P6" s="1186" t="s">
        <v>185</v>
      </c>
      <c r="Q6" s="1186" t="s">
        <v>186</v>
      </c>
      <c r="R6" s="1186" t="s">
        <v>187</v>
      </c>
      <c r="S6" s="1186" t="s">
        <v>965</v>
      </c>
      <c r="T6" s="1186" t="s">
        <v>966</v>
      </c>
      <c r="U6" s="1186" t="s">
        <v>967</v>
      </c>
      <c r="V6" s="1186" t="s">
        <v>968</v>
      </c>
      <c r="W6" s="1186" t="s">
        <v>988</v>
      </c>
      <c r="X6" s="1186" t="s">
        <v>989</v>
      </c>
      <c r="Y6" s="1186" t="s">
        <v>990</v>
      </c>
      <c r="Z6" s="1186" t="s">
        <v>991</v>
      </c>
      <c r="AA6" s="1186" t="s">
        <v>1027</v>
      </c>
      <c r="AB6" s="1186" t="s">
        <v>1028</v>
      </c>
    </row>
    <row r="7" spans="1:28" s="1195" customFormat="1" ht="24.75" customHeight="1" thickBot="1">
      <c r="A7" s="1193"/>
      <c r="B7" s="2021" t="s">
        <v>82</v>
      </c>
      <c r="C7" s="2022" t="s">
        <v>83</v>
      </c>
      <c r="D7" s="2023" t="s">
        <v>992</v>
      </c>
      <c r="E7" s="2024" t="s">
        <v>993</v>
      </c>
      <c r="F7" s="1194"/>
      <c r="G7" s="2025" t="s">
        <v>994</v>
      </c>
      <c r="H7" s="2025"/>
      <c r="I7" s="2025"/>
      <c r="J7" s="2025"/>
      <c r="K7" s="2025"/>
      <c r="L7" s="2025"/>
      <c r="M7" s="2025"/>
      <c r="N7" s="2025"/>
      <c r="O7" s="2025"/>
      <c r="P7" s="2025"/>
      <c r="Q7" s="2026"/>
      <c r="R7" s="2016" t="s">
        <v>1025</v>
      </c>
      <c r="S7" s="2027" t="s">
        <v>995</v>
      </c>
      <c r="T7" s="2027"/>
      <c r="U7" s="2027"/>
      <c r="V7" s="2027"/>
      <c r="W7" s="2027"/>
      <c r="X7" s="2027"/>
      <c r="Y7" s="2027"/>
      <c r="Z7" s="2028"/>
      <c r="AA7" s="2031" t="s">
        <v>996</v>
      </c>
      <c r="AB7" s="2008" t="s">
        <v>1026</v>
      </c>
    </row>
    <row r="8" spans="1:28" s="1195" customFormat="1" ht="24.75" customHeight="1" thickBot="1">
      <c r="A8" s="1193"/>
      <c r="B8" s="2021"/>
      <c r="C8" s="2022"/>
      <c r="D8" s="2023"/>
      <c r="E8" s="2024"/>
      <c r="F8" s="1196"/>
      <c r="G8" s="2032" t="s">
        <v>997</v>
      </c>
      <c r="H8" s="2033" t="s">
        <v>998</v>
      </c>
      <c r="I8" s="2012" t="s">
        <v>999</v>
      </c>
      <c r="J8" s="2013"/>
      <c r="K8" s="2013"/>
      <c r="L8" s="2013"/>
      <c r="M8" s="2013"/>
      <c r="N8" s="2013"/>
      <c r="O8" s="2013"/>
      <c r="P8" s="2014"/>
      <c r="Q8" s="2015" t="s">
        <v>1000</v>
      </c>
      <c r="R8" s="2017"/>
      <c r="S8" s="2029"/>
      <c r="T8" s="2029"/>
      <c r="U8" s="2029"/>
      <c r="V8" s="2029"/>
      <c r="W8" s="2029"/>
      <c r="X8" s="2029"/>
      <c r="Y8" s="2029"/>
      <c r="Z8" s="2030"/>
      <c r="AA8" s="2031"/>
      <c r="AB8" s="2009"/>
    </row>
    <row r="9" spans="1:28" s="1195" customFormat="1" ht="60.75" customHeight="1" thickBot="1">
      <c r="A9" s="1193"/>
      <c r="B9" s="2021"/>
      <c r="C9" s="2022"/>
      <c r="D9" s="2023"/>
      <c r="E9" s="2024"/>
      <c r="F9" s="1196"/>
      <c r="G9" s="2032"/>
      <c r="H9" s="2033"/>
      <c r="I9" s="1198" t="s">
        <v>1001</v>
      </c>
      <c r="J9" s="1198" t="s">
        <v>1002</v>
      </c>
      <c r="K9" s="1198" t="s">
        <v>1003</v>
      </c>
      <c r="L9" s="1198" t="s">
        <v>1004</v>
      </c>
      <c r="M9" s="1198" t="s">
        <v>188</v>
      </c>
      <c r="N9" s="1199" t="s">
        <v>88</v>
      </c>
      <c r="O9" s="1199" t="s">
        <v>413</v>
      </c>
      <c r="P9" s="1199" t="s">
        <v>1005</v>
      </c>
      <c r="Q9" s="2015"/>
      <c r="R9" s="2018"/>
      <c r="S9" s="1342" t="s">
        <v>1001</v>
      </c>
      <c r="T9" s="1197" t="s">
        <v>1002</v>
      </c>
      <c r="U9" s="1197" t="s">
        <v>1003</v>
      </c>
      <c r="V9" s="1197" t="s">
        <v>1004</v>
      </c>
      <c r="W9" s="1197" t="s">
        <v>188</v>
      </c>
      <c r="X9" s="1200" t="s">
        <v>88</v>
      </c>
      <c r="Y9" s="1200" t="s">
        <v>413</v>
      </c>
      <c r="Z9" s="1197" t="s">
        <v>1005</v>
      </c>
      <c r="AA9" s="2031"/>
      <c r="AB9" s="2010"/>
    </row>
    <row r="10" spans="1:28" s="1195" customFormat="1" ht="33" customHeight="1">
      <c r="A10" s="1201">
        <v>1</v>
      </c>
      <c r="B10" s="1202">
        <v>18</v>
      </c>
      <c r="C10" s="1203" t="s">
        <v>411</v>
      </c>
      <c r="D10" s="1204"/>
      <c r="E10" s="1205"/>
      <c r="G10" s="1206"/>
      <c r="H10" s="1207"/>
      <c r="I10" s="1208"/>
      <c r="J10" s="1208"/>
      <c r="K10" s="1208"/>
      <c r="L10" s="1208"/>
      <c r="M10" s="1208"/>
      <c r="N10" s="1209"/>
      <c r="O10" s="1209"/>
      <c r="P10" s="1209"/>
      <c r="Q10" s="1211"/>
      <c r="R10" s="1402"/>
      <c r="S10" s="1207"/>
      <c r="T10" s="1210"/>
      <c r="U10" s="1210"/>
      <c r="V10" s="1210"/>
      <c r="W10" s="1210"/>
      <c r="X10" s="1211"/>
      <c r="Y10" s="1211"/>
      <c r="Z10" s="1211"/>
      <c r="AA10" s="1211"/>
      <c r="AB10" s="1465"/>
    </row>
    <row r="11" spans="1:28" s="1195" customFormat="1" ht="33" customHeight="1">
      <c r="A11" s="1201">
        <v>2</v>
      </c>
      <c r="B11" s="1212"/>
      <c r="C11" s="1213">
        <v>1</v>
      </c>
      <c r="D11" s="602" t="s">
        <v>238</v>
      </c>
      <c r="E11" s="1214" t="s">
        <v>1006</v>
      </c>
      <c r="F11" s="1215"/>
      <c r="G11" s="1216">
        <f t="shared" ref="G11:G21" si="0">+AA11-Q11-H11</f>
        <v>1250</v>
      </c>
      <c r="H11" s="1217"/>
      <c r="I11" s="1218"/>
      <c r="J11" s="1218"/>
      <c r="K11" s="1218"/>
      <c r="L11" s="1218"/>
      <c r="M11" s="1218"/>
      <c r="N11" s="1219">
        <v>74087</v>
      </c>
      <c r="O11" s="1219">
        <v>5913</v>
      </c>
      <c r="P11" s="1219"/>
      <c r="Q11" s="1219">
        <f>SUM(I11:P11)</f>
        <v>80000</v>
      </c>
      <c r="R11" s="1403">
        <v>5911</v>
      </c>
      <c r="S11" s="1217"/>
      <c r="T11" s="1220"/>
      <c r="U11" s="1220"/>
      <c r="V11" s="1220"/>
      <c r="W11" s="1220"/>
      <c r="X11" s="1219">
        <v>21668</v>
      </c>
      <c r="Y11" s="1219">
        <f>57375+2207</f>
        <v>59582</v>
      </c>
      <c r="Z11" s="1219"/>
      <c r="AA11" s="1219">
        <f>SUM(S11:Z11)</f>
        <v>81250</v>
      </c>
      <c r="AB11" s="1467">
        <f>33185+2207</f>
        <v>35392</v>
      </c>
    </row>
    <row r="12" spans="1:28" ht="54" customHeight="1">
      <c r="A12" s="1201">
        <v>3</v>
      </c>
      <c r="B12" s="1221"/>
      <c r="C12" s="1213">
        <v>3</v>
      </c>
      <c r="D12" s="1222" t="s">
        <v>654</v>
      </c>
      <c r="E12" s="1214" t="s">
        <v>1007</v>
      </c>
      <c r="F12" s="1223"/>
      <c r="G12" s="1224">
        <f t="shared" si="0"/>
        <v>1200</v>
      </c>
      <c r="H12" s="1225"/>
      <c r="I12" s="1226">
        <v>19671</v>
      </c>
      <c r="J12" s="1226"/>
      <c r="K12" s="1226"/>
      <c r="L12" s="1226">
        <v>206228</v>
      </c>
      <c r="M12" s="1226"/>
      <c r="N12" s="1219">
        <v>6690</v>
      </c>
      <c r="O12" s="1219"/>
      <c r="P12" s="1219"/>
      <c r="Q12" s="1219">
        <f t="shared" ref="Q12:Q23" si="1">SUM(I12:P12)</f>
        <v>232589</v>
      </c>
      <c r="R12" s="1403"/>
      <c r="S12" s="1232">
        <v>9749</v>
      </c>
      <c r="T12" s="1226">
        <v>3835</v>
      </c>
      <c r="U12" s="1226">
        <v>7697</v>
      </c>
      <c r="V12" s="1226">
        <v>140243</v>
      </c>
      <c r="W12" s="1226">
        <v>15</v>
      </c>
      <c r="X12" s="1219">
        <v>71235</v>
      </c>
      <c r="Y12" s="1219">
        <v>1015</v>
      </c>
      <c r="Z12" s="1219"/>
      <c r="AA12" s="1219">
        <f>SUM(S12:Z12)</f>
        <v>233789</v>
      </c>
      <c r="AB12" s="1468"/>
    </row>
    <row r="13" spans="1:28" s="1195" customFormat="1" ht="31">
      <c r="A13" s="1201">
        <v>4</v>
      </c>
      <c r="B13" s="1221"/>
      <c r="C13" s="1213">
        <v>4</v>
      </c>
      <c r="D13" s="1222" t="s">
        <v>655</v>
      </c>
      <c r="E13" s="1214" t="s">
        <v>1008</v>
      </c>
      <c r="F13" s="1227"/>
      <c r="G13" s="1224">
        <f t="shared" si="0"/>
        <v>8000</v>
      </c>
      <c r="H13" s="1225"/>
      <c r="I13" s="1226"/>
      <c r="J13" s="1226">
        <v>480600</v>
      </c>
      <c r="K13" s="1226"/>
      <c r="L13" s="1226"/>
      <c r="M13" s="1226"/>
      <c r="N13" s="1219"/>
      <c r="O13" s="1219"/>
      <c r="P13" s="1219"/>
      <c r="Q13" s="1219">
        <f t="shared" si="1"/>
        <v>480600</v>
      </c>
      <c r="R13" s="1403"/>
      <c r="S13" s="1232">
        <v>326</v>
      </c>
      <c r="T13" s="1226">
        <v>17127</v>
      </c>
      <c r="U13" s="1226">
        <f>1549+2433</f>
        <v>3982</v>
      </c>
      <c r="V13" s="1226">
        <v>72298</v>
      </c>
      <c r="W13" s="1226">
        <v>198271</v>
      </c>
      <c r="X13" s="1219">
        <v>191677</v>
      </c>
      <c r="Y13" s="1219">
        <v>4919</v>
      </c>
      <c r="Z13" s="1219"/>
      <c r="AA13" s="1219">
        <f t="shared" ref="AA13:AA23" si="2">SUM(S13:Z13)</f>
        <v>488600</v>
      </c>
      <c r="AB13" s="1467">
        <v>3598</v>
      </c>
    </row>
    <row r="14" spans="1:28" s="1195" customFormat="1" ht="55.5" customHeight="1">
      <c r="A14" s="1201">
        <v>5</v>
      </c>
      <c r="B14" s="1221"/>
      <c r="C14" s="1213">
        <v>5</v>
      </c>
      <c r="D14" s="1222" t="s">
        <v>1009</v>
      </c>
      <c r="E14" s="1214" t="s">
        <v>1010</v>
      </c>
      <c r="F14" s="1227"/>
      <c r="G14" s="1224">
        <f t="shared" si="0"/>
        <v>59423</v>
      </c>
      <c r="H14" s="1225"/>
      <c r="I14" s="1226"/>
      <c r="J14" s="1226"/>
      <c r="K14" s="1226"/>
      <c r="L14" s="1226">
        <v>73653</v>
      </c>
      <c r="M14" s="1226">
        <f>832347-45001</f>
        <v>787346</v>
      </c>
      <c r="N14" s="1219">
        <f>45001+102320</f>
        <v>147321</v>
      </c>
      <c r="O14" s="1219"/>
      <c r="P14" s="1219"/>
      <c r="Q14" s="1219">
        <f t="shared" si="1"/>
        <v>1008320</v>
      </c>
      <c r="R14" s="1403"/>
      <c r="S14" s="1232"/>
      <c r="T14" s="1226"/>
      <c r="U14" s="1226">
        <v>5906</v>
      </c>
      <c r="V14" s="1226">
        <v>14982</v>
      </c>
      <c r="W14" s="1226">
        <v>252998</v>
      </c>
      <c r="X14" s="1219">
        <v>780059</v>
      </c>
      <c r="Y14" s="1219">
        <v>13798</v>
      </c>
      <c r="Z14" s="1219"/>
      <c r="AA14" s="1219">
        <f t="shared" si="2"/>
        <v>1067743</v>
      </c>
      <c r="AB14" s="1467"/>
    </row>
    <row r="15" spans="1:28" ht="33" customHeight="1">
      <c r="A15" s="1201">
        <v>6</v>
      </c>
      <c r="B15" s="1221"/>
      <c r="C15" s="1213">
        <v>7</v>
      </c>
      <c r="D15" s="1222" t="s">
        <v>1011</v>
      </c>
      <c r="E15" s="1214" t="s">
        <v>1012</v>
      </c>
      <c r="F15" s="1223"/>
      <c r="G15" s="1224">
        <f t="shared" si="0"/>
        <v>18806</v>
      </c>
      <c r="H15" s="1225">
        <f>277946+174688</f>
        <v>452634</v>
      </c>
      <c r="I15" s="1226">
        <v>558299</v>
      </c>
      <c r="J15" s="1226"/>
      <c r="K15" s="1226"/>
      <c r="L15" s="1226"/>
      <c r="M15" s="1226"/>
      <c r="N15" s="1219">
        <f>793085+881849</f>
        <v>1674934</v>
      </c>
      <c r="O15" s="1219"/>
      <c r="P15" s="1219"/>
      <c r="Q15" s="1219">
        <f t="shared" si="1"/>
        <v>2233233</v>
      </c>
      <c r="R15" s="1403"/>
      <c r="S15" s="1232">
        <v>28000</v>
      </c>
      <c r="T15" s="1226">
        <v>26441</v>
      </c>
      <c r="U15" s="1226">
        <v>46228</v>
      </c>
      <c r="V15" s="1226">
        <v>12816</v>
      </c>
      <c r="W15" s="1226">
        <v>60536</v>
      </c>
      <c r="X15" s="1219">
        <f>2512461+2195+91</f>
        <v>2514747</v>
      </c>
      <c r="Y15" s="1219">
        <f>18100-2195</f>
        <v>15905</v>
      </c>
      <c r="Z15" s="1219"/>
      <c r="AA15" s="1219">
        <f t="shared" si="2"/>
        <v>2704673</v>
      </c>
      <c r="AB15" s="1469">
        <v>15905</v>
      </c>
    </row>
    <row r="16" spans="1:28" ht="46.5">
      <c r="A16" s="1201">
        <v>7</v>
      </c>
      <c r="B16" s="1221"/>
      <c r="C16" s="1213">
        <v>10</v>
      </c>
      <c r="D16" s="1222" t="s">
        <v>1013</v>
      </c>
      <c r="E16" s="1214" t="s">
        <v>1008</v>
      </c>
      <c r="F16" s="1223"/>
      <c r="G16" s="1224">
        <f t="shared" si="0"/>
        <v>45</v>
      </c>
      <c r="H16" s="1225"/>
      <c r="I16" s="1226">
        <v>24175</v>
      </c>
      <c r="J16" s="1226"/>
      <c r="K16" s="1226">
        <v>26185</v>
      </c>
      <c r="L16" s="1226"/>
      <c r="M16" s="1226"/>
      <c r="N16" s="1219"/>
      <c r="O16" s="1219"/>
      <c r="P16" s="1219"/>
      <c r="Q16" s="1219">
        <f t="shared" si="1"/>
        <v>50360</v>
      </c>
      <c r="R16" s="1403"/>
      <c r="S16" s="1232">
        <v>1176</v>
      </c>
      <c r="T16" s="1226">
        <v>23808</v>
      </c>
      <c r="U16" s="1226">
        <f>744+333+7845</f>
        <v>8922</v>
      </c>
      <c r="V16" s="1226">
        <v>11615</v>
      </c>
      <c r="W16" s="1226">
        <v>3272</v>
      </c>
      <c r="X16" s="1219"/>
      <c r="Y16" s="1219">
        <v>1612</v>
      </c>
      <c r="Z16" s="1219"/>
      <c r="AA16" s="1219">
        <f t="shared" si="2"/>
        <v>50405</v>
      </c>
      <c r="AB16" s="1468"/>
    </row>
    <row r="17" spans="1:28" ht="42" customHeight="1">
      <c r="A17" s="1201">
        <v>8</v>
      </c>
      <c r="B17" s="1228"/>
      <c r="C17" s="1229">
        <v>11</v>
      </c>
      <c r="D17" s="631" t="s">
        <v>257</v>
      </c>
      <c r="E17" s="1230" t="s">
        <v>1014</v>
      </c>
      <c r="F17" s="1231"/>
      <c r="G17" s="1224">
        <f t="shared" si="0"/>
        <v>8605</v>
      </c>
      <c r="H17" s="1232"/>
      <c r="I17" s="1226"/>
      <c r="J17" s="1226"/>
      <c r="K17" s="1226"/>
      <c r="L17" s="1226"/>
      <c r="M17" s="1226">
        <v>3240</v>
      </c>
      <c r="N17" s="1219">
        <v>13720</v>
      </c>
      <c r="O17" s="1219"/>
      <c r="P17" s="1219"/>
      <c r="Q17" s="1219">
        <f t="shared" si="1"/>
        <v>16960</v>
      </c>
      <c r="R17" s="1403"/>
      <c r="S17" s="1232"/>
      <c r="T17" s="1226"/>
      <c r="U17" s="1226"/>
      <c r="V17" s="1226">
        <v>4452</v>
      </c>
      <c r="W17" s="1226">
        <f>13257+6022</f>
        <v>19279</v>
      </c>
      <c r="X17" s="1219">
        <v>1334</v>
      </c>
      <c r="Y17" s="1219">
        <f>1000-500</f>
        <v>500</v>
      </c>
      <c r="Z17" s="1219"/>
      <c r="AA17" s="1219">
        <f t="shared" si="2"/>
        <v>25565</v>
      </c>
      <c r="AB17" s="1468"/>
    </row>
    <row r="18" spans="1:28" ht="27.75" customHeight="1">
      <c r="A18" s="1201">
        <v>9</v>
      </c>
      <c r="B18" s="1228"/>
      <c r="C18" s="1213">
        <v>12</v>
      </c>
      <c r="D18" s="633" t="s">
        <v>255</v>
      </c>
      <c r="E18" s="1230" t="s">
        <v>1015</v>
      </c>
      <c r="F18" s="1231"/>
      <c r="G18" s="1216">
        <f t="shared" si="0"/>
        <v>3511</v>
      </c>
      <c r="H18" s="1226"/>
      <c r="I18" s="1226"/>
      <c r="J18" s="1226"/>
      <c r="K18" s="1226"/>
      <c r="L18" s="1226">
        <v>5926</v>
      </c>
      <c r="M18" s="1226">
        <v>11152</v>
      </c>
      <c r="N18" s="1219">
        <v>14619</v>
      </c>
      <c r="O18" s="1219"/>
      <c r="P18" s="1219"/>
      <c r="Q18" s="1219">
        <f t="shared" si="1"/>
        <v>31697</v>
      </c>
      <c r="R18" s="1403"/>
      <c r="S18" s="1232"/>
      <c r="T18" s="1226"/>
      <c r="U18" s="1226">
        <v>2593</v>
      </c>
      <c r="V18" s="1226">
        <v>7749</v>
      </c>
      <c r="W18" s="1226">
        <v>22269</v>
      </c>
      <c r="X18" s="1219">
        <v>1597</v>
      </c>
      <c r="Y18" s="1219">
        <v>1000</v>
      </c>
      <c r="Z18" s="1219"/>
      <c r="AA18" s="1219">
        <f t="shared" si="2"/>
        <v>35208</v>
      </c>
      <c r="AB18" s="1468"/>
    </row>
    <row r="19" spans="1:28" ht="33" customHeight="1">
      <c r="A19" s="1201">
        <v>10</v>
      </c>
      <c r="B19" s="1228"/>
      <c r="C19" s="1213">
        <v>13</v>
      </c>
      <c r="D19" s="557" t="s">
        <v>659</v>
      </c>
      <c r="E19" s="1214" t="s">
        <v>1010</v>
      </c>
      <c r="F19" s="1223"/>
      <c r="G19" s="1224">
        <f t="shared" si="0"/>
        <v>32226</v>
      </c>
      <c r="H19" s="1226"/>
      <c r="I19" s="1226"/>
      <c r="J19" s="1226"/>
      <c r="K19" s="1226">
        <v>0</v>
      </c>
      <c r="L19" s="1226">
        <v>40000</v>
      </c>
      <c r="M19" s="1226"/>
      <c r="N19" s="1219"/>
      <c r="O19" s="1219"/>
      <c r="P19" s="1219"/>
      <c r="Q19" s="1219">
        <f t="shared" si="1"/>
        <v>40000</v>
      </c>
      <c r="R19" s="1403"/>
      <c r="S19" s="1232"/>
      <c r="T19" s="1226"/>
      <c r="U19" s="1226">
        <v>1680</v>
      </c>
      <c r="V19" s="1226">
        <v>1</v>
      </c>
      <c r="W19" s="1226">
        <v>60644</v>
      </c>
      <c r="X19" s="1219"/>
      <c r="Y19" s="1219">
        <v>9901</v>
      </c>
      <c r="Z19" s="1219"/>
      <c r="AA19" s="1219">
        <f t="shared" si="2"/>
        <v>72226</v>
      </c>
      <c r="AB19" s="1469">
        <v>9901</v>
      </c>
    </row>
    <row r="20" spans="1:28" ht="56.25" customHeight="1">
      <c r="A20" s="1201">
        <v>11</v>
      </c>
      <c r="B20" s="1233"/>
      <c r="C20" s="1213">
        <v>16</v>
      </c>
      <c r="D20" s="557" t="s">
        <v>661</v>
      </c>
      <c r="E20" s="1234" t="s">
        <v>1016</v>
      </c>
      <c r="F20" s="1223"/>
      <c r="G20" s="1224">
        <f t="shared" si="0"/>
        <v>6042</v>
      </c>
      <c r="H20" s="1235"/>
      <c r="I20" s="1236"/>
      <c r="J20" s="1236"/>
      <c r="K20" s="1236"/>
      <c r="L20" s="1236"/>
      <c r="M20" s="1236"/>
      <c r="N20" s="1237"/>
      <c r="O20" s="1237">
        <v>3500</v>
      </c>
      <c r="P20" s="1237">
        <f>7832+9636</f>
        <v>17468</v>
      </c>
      <c r="Q20" s="1219">
        <f t="shared" si="1"/>
        <v>20968</v>
      </c>
      <c r="R20" s="1404">
        <v>2879</v>
      </c>
      <c r="S20" s="1235"/>
      <c r="T20" s="1236"/>
      <c r="U20" s="1236"/>
      <c r="V20" s="1236"/>
      <c r="W20" s="1236"/>
      <c r="X20" s="1237">
        <v>3451</v>
      </c>
      <c r="Y20" s="1237">
        <f>10480+329+300+500</f>
        <v>11609</v>
      </c>
      <c r="Z20" s="1237">
        <f>11950</f>
        <v>11950</v>
      </c>
      <c r="AA20" s="1219">
        <f t="shared" si="2"/>
        <v>27010</v>
      </c>
      <c r="AB20" s="1469">
        <f>6090+2981</f>
        <v>9071</v>
      </c>
    </row>
    <row r="21" spans="1:28" ht="86.25" customHeight="1">
      <c r="A21" s="1201">
        <v>12</v>
      </c>
      <c r="B21" s="1233"/>
      <c r="C21" s="1238">
        <v>17</v>
      </c>
      <c r="D21" s="557" t="s">
        <v>662</v>
      </c>
      <c r="E21" s="1234" t="s">
        <v>1016</v>
      </c>
      <c r="F21" s="1223"/>
      <c r="G21" s="1239">
        <f t="shared" si="0"/>
        <v>5383</v>
      </c>
      <c r="H21" s="1235"/>
      <c r="I21" s="1236"/>
      <c r="J21" s="1236"/>
      <c r="K21" s="1236"/>
      <c r="L21" s="1236"/>
      <c r="M21" s="1236"/>
      <c r="N21" s="1237"/>
      <c r="O21" s="1237">
        <v>3200</v>
      </c>
      <c r="P21" s="1237">
        <f>6200+10532</f>
        <v>16732</v>
      </c>
      <c r="Q21" s="1219">
        <f t="shared" si="1"/>
        <v>19932</v>
      </c>
      <c r="R21" s="1404">
        <v>2948</v>
      </c>
      <c r="S21" s="1235"/>
      <c r="T21" s="1236"/>
      <c r="U21" s="1236"/>
      <c r="V21" s="1236"/>
      <c r="W21" s="1236"/>
      <c r="X21" s="1237">
        <v>3651</v>
      </c>
      <c r="Y21" s="1237">
        <f>10276+258+200+200</f>
        <v>10934</v>
      </c>
      <c r="Z21" s="1237">
        <f>10730</f>
        <v>10730</v>
      </c>
      <c r="AA21" s="1219">
        <f t="shared" si="2"/>
        <v>25315</v>
      </c>
      <c r="AB21" s="1469">
        <f>4280+3757</f>
        <v>8037</v>
      </c>
    </row>
    <row r="22" spans="1:28" ht="27.75" customHeight="1">
      <c r="A22" s="1201">
        <v>13</v>
      </c>
      <c r="B22" s="1228"/>
      <c r="C22" s="1213">
        <v>18</v>
      </c>
      <c r="D22" s="564" t="s">
        <v>251</v>
      </c>
      <c r="E22" s="1214" t="s">
        <v>1017</v>
      </c>
      <c r="F22" s="1223"/>
      <c r="G22" s="1216">
        <f>+AA22-Q22-H22</f>
        <v>3570</v>
      </c>
      <c r="H22" s="1226"/>
      <c r="I22" s="1226"/>
      <c r="J22" s="1226"/>
      <c r="K22" s="1226"/>
      <c r="L22" s="1226"/>
      <c r="M22" s="1226"/>
      <c r="N22" s="1226"/>
      <c r="O22" s="1226">
        <v>10100</v>
      </c>
      <c r="P22" s="1226">
        <f>19900+27120+10710</f>
        <v>57730</v>
      </c>
      <c r="Q22" s="1219">
        <f t="shared" si="1"/>
        <v>67830</v>
      </c>
      <c r="R22" s="1403">
        <v>10223</v>
      </c>
      <c r="S22" s="1232"/>
      <c r="T22" s="1226"/>
      <c r="U22" s="1226"/>
      <c r="V22" s="1226"/>
      <c r="W22" s="1226"/>
      <c r="X22" s="1219"/>
      <c r="Y22" s="1219">
        <v>24990</v>
      </c>
      <c r="Z22" s="1226">
        <f>32130+14280</f>
        <v>46410</v>
      </c>
      <c r="AA22" s="1219">
        <f t="shared" si="2"/>
        <v>71400</v>
      </c>
      <c r="AB22" s="1469">
        <f>1958+12196</f>
        <v>14154</v>
      </c>
    </row>
    <row r="23" spans="1:28" ht="27.75" customHeight="1" thickBot="1">
      <c r="A23" s="1201">
        <v>14</v>
      </c>
      <c r="B23" s="1240"/>
      <c r="C23" s="1241">
        <v>19</v>
      </c>
      <c r="D23" s="564" t="s">
        <v>252</v>
      </c>
      <c r="E23" s="1242" t="s">
        <v>1018</v>
      </c>
      <c r="F23" s="1400"/>
      <c r="G23" s="1239">
        <f>+AA23-Q23-H23</f>
        <v>4088</v>
      </c>
      <c r="H23" s="1243"/>
      <c r="I23" s="1244"/>
      <c r="J23" s="1244"/>
      <c r="K23" s="1244"/>
      <c r="L23" s="1244"/>
      <c r="M23" s="1244"/>
      <c r="N23" s="1245"/>
      <c r="O23" s="1245">
        <v>11500</v>
      </c>
      <c r="P23" s="1245">
        <f>17600+36312+12265</f>
        <v>66177</v>
      </c>
      <c r="Q23" s="1219">
        <f t="shared" si="1"/>
        <v>77677</v>
      </c>
      <c r="R23" s="1405">
        <v>11708</v>
      </c>
      <c r="S23" s="1243"/>
      <c r="T23" s="1244"/>
      <c r="U23" s="1244"/>
      <c r="V23" s="1244"/>
      <c r="W23" s="1244"/>
      <c r="X23" s="1245"/>
      <c r="Y23" s="1245">
        <v>20441</v>
      </c>
      <c r="Z23" s="1245">
        <f>32706+28618</f>
        <v>61324</v>
      </c>
      <c r="AA23" s="1219">
        <f t="shared" si="2"/>
        <v>81765</v>
      </c>
      <c r="AB23" s="1466">
        <f>476+8206</f>
        <v>8682</v>
      </c>
    </row>
    <row r="24" spans="1:28" ht="33" customHeight="1" thickBot="1">
      <c r="A24" s="1201">
        <v>15</v>
      </c>
      <c r="B24" s="2019" t="s">
        <v>4</v>
      </c>
      <c r="C24" s="2019"/>
      <c r="D24" s="2019"/>
      <c r="E24" s="2019"/>
      <c r="F24" s="1246"/>
      <c r="G24" s="1247">
        <f t="shared" ref="G24" si="3">SUM(G11:G21)</f>
        <v>144491</v>
      </c>
      <c r="H24" s="1248">
        <f>SUM(H11:H23)</f>
        <v>452634</v>
      </c>
      <c r="I24" s="1248">
        <f t="shared" ref="I24:O24" si="4">SUM(I11:I23)</f>
        <v>602145</v>
      </c>
      <c r="J24" s="1248">
        <f t="shared" si="4"/>
        <v>480600</v>
      </c>
      <c r="K24" s="1248">
        <f t="shared" si="4"/>
        <v>26185</v>
      </c>
      <c r="L24" s="1248">
        <f t="shared" si="4"/>
        <v>325807</v>
      </c>
      <c r="M24" s="1248">
        <f t="shared" si="4"/>
        <v>801738</v>
      </c>
      <c r="N24" s="1248">
        <f t="shared" si="4"/>
        <v>1931371</v>
      </c>
      <c r="O24" s="1248">
        <f t="shared" si="4"/>
        <v>34213</v>
      </c>
      <c r="P24" s="1248">
        <f>SUM(P11:P23)</f>
        <v>158107</v>
      </c>
      <c r="Q24" s="1249">
        <f>SUM(Q11:Q23)</f>
        <v>4360166</v>
      </c>
      <c r="R24" s="1406">
        <f>SUM(R11:R23)</f>
        <v>33669</v>
      </c>
      <c r="S24" s="1401">
        <f>SUM(S11:S23)</f>
        <v>39251</v>
      </c>
      <c r="T24" s="1248">
        <f t="shared" ref="T24:Y24" si="5">SUM(T11:T23)</f>
        <v>71211</v>
      </c>
      <c r="U24" s="1248">
        <f t="shared" si="5"/>
        <v>77008</v>
      </c>
      <c r="V24" s="1248">
        <f t="shared" si="5"/>
        <v>264156</v>
      </c>
      <c r="W24" s="1248">
        <f t="shared" si="5"/>
        <v>617284</v>
      </c>
      <c r="X24" s="1248">
        <f t="shared" si="5"/>
        <v>3589419</v>
      </c>
      <c r="Y24" s="1248">
        <f t="shared" si="5"/>
        <v>176206</v>
      </c>
      <c r="Z24" s="1250">
        <f>SUM(Z11:Z23)</f>
        <v>130414</v>
      </c>
      <c r="AA24" s="1249">
        <f>SUM(AA11:AA23)</f>
        <v>4964949</v>
      </c>
      <c r="AB24" s="1407">
        <f>SUM(AB11:AB23)</f>
        <v>104740</v>
      </c>
    </row>
    <row r="25" spans="1:28" ht="24.75" customHeight="1">
      <c r="B25" s="2020" t="s">
        <v>1019</v>
      </c>
      <c r="C25" s="2020"/>
      <c r="D25" s="2020"/>
      <c r="E25" s="2020"/>
      <c r="F25" s="2020"/>
      <c r="G25" s="2020"/>
      <c r="H25" s="2020"/>
      <c r="I25" s="2020"/>
      <c r="J25" s="2020"/>
      <c r="K25" s="2020"/>
      <c r="L25" s="2020"/>
      <c r="M25" s="2020"/>
      <c r="N25" s="2020"/>
      <c r="O25" s="2020"/>
      <c r="P25" s="2020"/>
      <c r="Q25" s="2020"/>
      <c r="R25" s="2020"/>
      <c r="S25" s="2020"/>
      <c r="T25" s="2020"/>
      <c r="U25" s="2020"/>
      <c r="V25" s="2020"/>
      <c r="W25" s="2020"/>
      <c r="X25" s="2020"/>
      <c r="Y25" s="2020"/>
      <c r="Z25" s="2020"/>
      <c r="AA25" s="2020"/>
    </row>
    <row r="26" spans="1:28" s="1186" customFormat="1" ht="24.75" customHeight="1">
      <c r="B26" s="1252"/>
      <c r="C26" s="1252"/>
      <c r="D26" s="1251"/>
      <c r="E26" s="1253"/>
      <c r="F26" s="1187"/>
      <c r="G26" s="1187"/>
      <c r="H26" s="1187"/>
      <c r="I26" s="1187"/>
      <c r="J26" s="1187"/>
      <c r="K26" s="1187"/>
      <c r="L26" s="1187"/>
      <c r="M26" s="1187"/>
      <c r="N26" s="1187"/>
      <c r="O26" s="1187"/>
      <c r="P26" s="1187"/>
      <c r="Q26" s="1187"/>
      <c r="R26" s="1187"/>
      <c r="S26" s="1187"/>
      <c r="T26" s="1187"/>
      <c r="U26" s="1187"/>
      <c r="V26" s="1187"/>
      <c r="W26" s="1187"/>
      <c r="X26" s="1187"/>
      <c r="Y26" s="1187"/>
      <c r="Z26" s="1187"/>
      <c r="AA26" s="1187"/>
    </row>
    <row r="27" spans="1:28" s="1186" customFormat="1" ht="24.75" customHeight="1">
      <c r="B27" s="1252"/>
      <c r="C27" s="1252"/>
      <c r="D27" s="1251"/>
      <c r="E27" s="1253"/>
      <c r="F27" s="1187"/>
      <c r="G27" s="1187"/>
      <c r="H27" s="1187"/>
      <c r="I27" s="1187"/>
      <c r="J27" s="1187"/>
      <c r="K27" s="1187"/>
      <c r="L27" s="1187"/>
      <c r="M27" s="1187"/>
      <c r="N27" s="1187"/>
      <c r="O27" s="1187"/>
      <c r="P27" s="1187"/>
      <c r="Q27" s="1187"/>
      <c r="R27" s="1187"/>
      <c r="S27" s="1187"/>
      <c r="T27" s="1187"/>
      <c r="U27" s="1187"/>
      <c r="V27" s="1187"/>
      <c r="W27" s="1187"/>
      <c r="X27" s="1187"/>
      <c r="Y27" s="1187"/>
      <c r="Z27" s="1187"/>
      <c r="AA27" s="1187"/>
    </row>
    <row r="28" spans="1:28" s="1186" customFormat="1" ht="24.75" customHeight="1">
      <c r="B28" s="1252"/>
      <c r="C28" s="1252"/>
      <c r="D28" s="1251"/>
      <c r="E28" s="1253"/>
      <c r="F28" s="1187"/>
      <c r="G28" s="1187"/>
      <c r="H28" s="1187"/>
      <c r="I28" s="1187"/>
      <c r="J28" s="1187"/>
      <c r="K28" s="1187"/>
      <c r="L28" s="1187"/>
      <c r="M28" s="1187"/>
      <c r="N28" s="1187"/>
      <c r="O28" s="1187"/>
      <c r="P28" s="1187"/>
      <c r="Q28" s="1187"/>
      <c r="R28" s="1187"/>
      <c r="S28" s="1187"/>
      <c r="T28" s="1187"/>
      <c r="U28" s="1187"/>
      <c r="V28" s="1187"/>
      <c r="W28" s="1187"/>
      <c r="X28" s="1187"/>
      <c r="Y28" s="1187"/>
      <c r="Z28" s="1187"/>
      <c r="AA28" s="1187"/>
    </row>
    <row r="29" spans="1:28" s="1186" customFormat="1" ht="24.75" customHeight="1">
      <c r="B29" s="1252"/>
      <c r="C29" s="1252"/>
      <c r="D29" s="1251"/>
      <c r="E29" s="1253"/>
      <c r="F29" s="1187"/>
      <c r="G29" s="1187"/>
      <c r="H29" s="1187"/>
      <c r="I29" s="1187"/>
      <c r="J29" s="1187"/>
      <c r="K29" s="1187"/>
      <c r="L29" s="1187"/>
      <c r="M29" s="1187"/>
      <c r="N29" s="1187"/>
      <c r="O29" s="1187"/>
      <c r="P29" s="1187"/>
      <c r="Q29" s="1187"/>
      <c r="R29" s="1187"/>
      <c r="S29" s="1187"/>
      <c r="T29" s="1187"/>
      <c r="U29" s="1187"/>
      <c r="V29" s="1187"/>
      <c r="W29" s="1187"/>
      <c r="X29" s="1187"/>
      <c r="Y29" s="1187"/>
      <c r="Z29" s="1187"/>
      <c r="AA29" s="1187"/>
    </row>
    <row r="30" spans="1:28" s="1186" customFormat="1" ht="24.75" customHeight="1">
      <c r="B30" s="1252"/>
      <c r="C30" s="1252"/>
      <c r="D30" s="1251"/>
      <c r="E30" s="1253"/>
      <c r="F30" s="1187"/>
      <c r="G30" s="1187"/>
      <c r="H30" s="1187"/>
      <c r="I30" s="1187"/>
      <c r="J30" s="1187"/>
      <c r="K30" s="1187"/>
      <c r="L30" s="1187"/>
      <c r="M30" s="1187"/>
      <c r="N30" s="1187"/>
      <c r="O30" s="1187"/>
      <c r="P30" s="1187"/>
      <c r="Q30" s="1187"/>
      <c r="R30" s="1187"/>
      <c r="S30" s="1187"/>
      <c r="T30" s="1187"/>
      <c r="U30" s="1187"/>
      <c r="V30" s="1187"/>
      <c r="W30" s="1187"/>
      <c r="X30" s="1187"/>
      <c r="Y30" s="1187"/>
      <c r="Z30" s="1187"/>
      <c r="AA30" s="1187"/>
    </row>
    <row r="31" spans="1:28" s="1186" customFormat="1" ht="24.75" customHeight="1">
      <c r="B31" s="1252"/>
      <c r="C31" s="1252"/>
      <c r="D31" s="1251"/>
      <c r="E31" s="1253"/>
      <c r="F31" s="1187"/>
      <c r="G31" s="1187"/>
      <c r="H31" s="1187"/>
      <c r="I31" s="1187"/>
      <c r="J31" s="1187"/>
      <c r="K31" s="1187"/>
      <c r="L31" s="1187"/>
      <c r="M31" s="1187"/>
      <c r="N31" s="1187"/>
      <c r="O31" s="1187"/>
      <c r="P31" s="1187"/>
      <c r="Q31" s="1187"/>
      <c r="R31" s="1187"/>
      <c r="S31" s="1187"/>
      <c r="T31" s="1187"/>
      <c r="U31" s="1187"/>
      <c r="V31" s="1187"/>
      <c r="W31" s="1187"/>
      <c r="X31" s="1187"/>
      <c r="Y31" s="1187"/>
      <c r="Z31" s="1187"/>
      <c r="AA31" s="1187"/>
    </row>
  </sheetData>
  <mergeCells count="19">
    <mergeCell ref="B24:E24"/>
    <mergeCell ref="B25:AA25"/>
    <mergeCell ref="B7:B9"/>
    <mergeCell ref="C7:C9"/>
    <mergeCell ref="D7:D9"/>
    <mergeCell ref="E7:E9"/>
    <mergeCell ref="G7:Q7"/>
    <mergeCell ref="S7:Z8"/>
    <mergeCell ref="AA7:AA9"/>
    <mergeCell ref="G8:G9"/>
    <mergeCell ref="H8:H9"/>
    <mergeCell ref="AB7:AB9"/>
    <mergeCell ref="B2:AB2"/>
    <mergeCell ref="B3:AB3"/>
    <mergeCell ref="B4:AB4"/>
    <mergeCell ref="B1:F1"/>
    <mergeCell ref="I8:P8"/>
    <mergeCell ref="Q8:Q9"/>
    <mergeCell ref="R7:R9"/>
  </mergeCells>
  <printOptions horizontalCentered="1"/>
  <pageMargins left="0.196527777777778" right="0.196527777777778" top="0.59027777777777801" bottom="0.59027777777777801" header="0.511811023622047" footer="0.51180555555555596"/>
  <pageSetup paperSize="9" scale="37" fitToHeight="0" orientation="landscape" verticalDpi="300" r:id="rId1"/>
  <headerFooter>
    <oddFooter>&amp;C- &amp;P -</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1"/>
  <sheetViews>
    <sheetView view="pageBreakPreview" topLeftCell="C15" zoomScaleNormal="100" workbookViewId="0">
      <selection activeCell="A4" sqref="A4:H26"/>
    </sheetView>
  </sheetViews>
  <sheetFormatPr defaultRowHeight="16.5" customHeight="1"/>
  <cols>
    <col min="1" max="1" width="4.7265625" style="12" customWidth="1"/>
    <col min="2" max="2" width="60.7265625" style="6" customWidth="1"/>
    <col min="3" max="8" width="17.7265625" style="9" customWidth="1"/>
    <col min="9" max="256" width="9.1796875" style="6"/>
    <col min="257" max="257" width="4.7265625" style="6" customWidth="1"/>
    <col min="258" max="258" width="60.7265625" style="6" customWidth="1"/>
    <col min="259" max="264" width="17.7265625" style="6" customWidth="1"/>
    <col min="265" max="512" width="9.1796875" style="6"/>
    <col min="513" max="513" width="4.7265625" style="6" customWidth="1"/>
    <col min="514" max="514" width="60.7265625" style="6" customWidth="1"/>
    <col min="515" max="520" width="17.7265625" style="6" customWidth="1"/>
    <col min="521" max="768" width="9.1796875" style="6"/>
    <col min="769" max="769" width="4.7265625" style="6" customWidth="1"/>
    <col min="770" max="770" width="60.7265625" style="6" customWidth="1"/>
    <col min="771" max="776" width="17.7265625" style="6" customWidth="1"/>
    <col min="777" max="1024" width="9.1796875" style="6"/>
    <col min="1025" max="1025" width="4.7265625" style="6" customWidth="1"/>
    <col min="1026" max="1026" width="60.7265625" style="6" customWidth="1"/>
    <col min="1027" max="1032" width="17.7265625" style="6" customWidth="1"/>
    <col min="1033" max="1280" width="9.1796875" style="6"/>
    <col min="1281" max="1281" width="4.7265625" style="6" customWidth="1"/>
    <col min="1282" max="1282" width="60.7265625" style="6" customWidth="1"/>
    <col min="1283" max="1288" width="17.7265625" style="6" customWidth="1"/>
    <col min="1289" max="1536" width="9.1796875" style="6"/>
    <col min="1537" max="1537" width="4.7265625" style="6" customWidth="1"/>
    <col min="1538" max="1538" width="60.7265625" style="6" customWidth="1"/>
    <col min="1539" max="1544" width="17.7265625" style="6" customWidth="1"/>
    <col min="1545" max="1792" width="9.1796875" style="6"/>
    <col min="1793" max="1793" width="4.7265625" style="6" customWidth="1"/>
    <col min="1794" max="1794" width="60.7265625" style="6" customWidth="1"/>
    <col min="1795" max="1800" width="17.7265625" style="6" customWidth="1"/>
    <col min="1801" max="2048" width="9.1796875" style="6"/>
    <col min="2049" max="2049" width="4.7265625" style="6" customWidth="1"/>
    <col min="2050" max="2050" width="60.7265625" style="6" customWidth="1"/>
    <col min="2051" max="2056" width="17.7265625" style="6" customWidth="1"/>
    <col min="2057" max="2304" width="9.1796875" style="6"/>
    <col min="2305" max="2305" width="4.7265625" style="6" customWidth="1"/>
    <col min="2306" max="2306" width="60.7265625" style="6" customWidth="1"/>
    <col min="2307" max="2312" width="17.7265625" style="6" customWidth="1"/>
    <col min="2313" max="2560" width="9.1796875" style="6"/>
    <col min="2561" max="2561" width="4.7265625" style="6" customWidth="1"/>
    <col min="2562" max="2562" width="60.7265625" style="6" customWidth="1"/>
    <col min="2563" max="2568" width="17.7265625" style="6" customWidth="1"/>
    <col min="2569" max="2816" width="9.1796875" style="6"/>
    <col min="2817" max="2817" width="4.7265625" style="6" customWidth="1"/>
    <col min="2818" max="2818" width="60.7265625" style="6" customWidth="1"/>
    <col min="2819" max="2824" width="17.7265625" style="6" customWidth="1"/>
    <col min="2825" max="3072" width="9.1796875" style="6"/>
    <col min="3073" max="3073" width="4.7265625" style="6" customWidth="1"/>
    <col min="3074" max="3074" width="60.7265625" style="6" customWidth="1"/>
    <col min="3075" max="3080" width="17.7265625" style="6" customWidth="1"/>
    <col min="3081" max="3328" width="9.1796875" style="6"/>
    <col min="3329" max="3329" width="4.7265625" style="6" customWidth="1"/>
    <col min="3330" max="3330" width="60.7265625" style="6" customWidth="1"/>
    <col min="3331" max="3336" width="17.7265625" style="6" customWidth="1"/>
    <col min="3337" max="3584" width="9.1796875" style="6"/>
    <col min="3585" max="3585" width="4.7265625" style="6" customWidth="1"/>
    <col min="3586" max="3586" width="60.7265625" style="6" customWidth="1"/>
    <col min="3587" max="3592" width="17.7265625" style="6" customWidth="1"/>
    <col min="3593" max="3840" width="9.1796875" style="6"/>
    <col min="3841" max="3841" width="4.7265625" style="6" customWidth="1"/>
    <col min="3842" max="3842" width="60.7265625" style="6" customWidth="1"/>
    <col min="3843" max="3848" width="17.7265625" style="6" customWidth="1"/>
    <col min="3849" max="4096" width="9.1796875" style="6"/>
    <col min="4097" max="4097" width="4.7265625" style="6" customWidth="1"/>
    <col min="4098" max="4098" width="60.7265625" style="6" customWidth="1"/>
    <col min="4099" max="4104" width="17.7265625" style="6" customWidth="1"/>
    <col min="4105" max="4352" width="9.1796875" style="6"/>
    <col min="4353" max="4353" width="4.7265625" style="6" customWidth="1"/>
    <col min="4354" max="4354" width="60.7265625" style="6" customWidth="1"/>
    <col min="4355" max="4360" width="17.7265625" style="6" customWidth="1"/>
    <col min="4361" max="4608" width="9.1796875" style="6"/>
    <col min="4609" max="4609" width="4.7265625" style="6" customWidth="1"/>
    <col min="4610" max="4610" width="60.7265625" style="6" customWidth="1"/>
    <col min="4611" max="4616" width="17.7265625" style="6" customWidth="1"/>
    <col min="4617" max="4864" width="9.1796875" style="6"/>
    <col min="4865" max="4865" width="4.7265625" style="6" customWidth="1"/>
    <col min="4866" max="4866" width="60.7265625" style="6" customWidth="1"/>
    <col min="4867" max="4872" width="17.7265625" style="6" customWidth="1"/>
    <col min="4873" max="5120" width="9.1796875" style="6"/>
    <col min="5121" max="5121" width="4.7265625" style="6" customWidth="1"/>
    <col min="5122" max="5122" width="60.7265625" style="6" customWidth="1"/>
    <col min="5123" max="5128" width="17.7265625" style="6" customWidth="1"/>
    <col min="5129" max="5376" width="9.1796875" style="6"/>
    <col min="5377" max="5377" width="4.7265625" style="6" customWidth="1"/>
    <col min="5378" max="5378" width="60.7265625" style="6" customWidth="1"/>
    <col min="5379" max="5384" width="17.7265625" style="6" customWidth="1"/>
    <col min="5385" max="5632" width="9.1796875" style="6"/>
    <col min="5633" max="5633" width="4.7265625" style="6" customWidth="1"/>
    <col min="5634" max="5634" width="60.7265625" style="6" customWidth="1"/>
    <col min="5635" max="5640" width="17.7265625" style="6" customWidth="1"/>
    <col min="5641" max="5888" width="9.1796875" style="6"/>
    <col min="5889" max="5889" width="4.7265625" style="6" customWidth="1"/>
    <col min="5890" max="5890" width="60.7265625" style="6" customWidth="1"/>
    <col min="5891" max="5896" width="17.7265625" style="6" customWidth="1"/>
    <col min="5897" max="6144" width="9.1796875" style="6"/>
    <col min="6145" max="6145" width="4.7265625" style="6" customWidth="1"/>
    <col min="6146" max="6146" width="60.7265625" style="6" customWidth="1"/>
    <col min="6147" max="6152" width="17.7265625" style="6" customWidth="1"/>
    <col min="6153" max="6400" width="9.1796875" style="6"/>
    <col min="6401" max="6401" width="4.7265625" style="6" customWidth="1"/>
    <col min="6402" max="6402" width="60.7265625" style="6" customWidth="1"/>
    <col min="6403" max="6408" width="17.7265625" style="6" customWidth="1"/>
    <col min="6409" max="6656" width="9.1796875" style="6"/>
    <col min="6657" max="6657" width="4.7265625" style="6" customWidth="1"/>
    <col min="6658" max="6658" width="60.7265625" style="6" customWidth="1"/>
    <col min="6659" max="6664" width="17.7265625" style="6" customWidth="1"/>
    <col min="6665" max="6912" width="9.1796875" style="6"/>
    <col min="6913" max="6913" width="4.7265625" style="6" customWidth="1"/>
    <col min="6914" max="6914" width="60.7265625" style="6" customWidth="1"/>
    <col min="6915" max="6920" width="17.7265625" style="6" customWidth="1"/>
    <col min="6921" max="7168" width="9.1796875" style="6"/>
    <col min="7169" max="7169" width="4.7265625" style="6" customWidth="1"/>
    <col min="7170" max="7170" width="60.7265625" style="6" customWidth="1"/>
    <col min="7171" max="7176" width="17.7265625" style="6" customWidth="1"/>
    <col min="7177" max="7424" width="9.1796875" style="6"/>
    <col min="7425" max="7425" width="4.7265625" style="6" customWidth="1"/>
    <col min="7426" max="7426" width="60.7265625" style="6" customWidth="1"/>
    <col min="7427" max="7432" width="17.7265625" style="6" customWidth="1"/>
    <col min="7433" max="7680" width="9.1796875" style="6"/>
    <col min="7681" max="7681" width="4.7265625" style="6" customWidth="1"/>
    <col min="7682" max="7682" width="60.7265625" style="6" customWidth="1"/>
    <col min="7683" max="7688" width="17.7265625" style="6" customWidth="1"/>
    <col min="7689" max="7936" width="9.1796875" style="6"/>
    <col min="7937" max="7937" width="4.7265625" style="6" customWidth="1"/>
    <col min="7938" max="7938" width="60.7265625" style="6" customWidth="1"/>
    <col min="7939" max="7944" width="17.7265625" style="6" customWidth="1"/>
    <col min="7945" max="8192" width="9.1796875" style="6"/>
    <col min="8193" max="8193" width="4.7265625" style="6" customWidth="1"/>
    <col min="8194" max="8194" width="60.7265625" style="6" customWidth="1"/>
    <col min="8195" max="8200" width="17.7265625" style="6" customWidth="1"/>
    <col min="8201" max="8448" width="9.1796875" style="6"/>
    <col min="8449" max="8449" width="4.7265625" style="6" customWidth="1"/>
    <col min="8450" max="8450" width="60.7265625" style="6" customWidth="1"/>
    <col min="8451" max="8456" width="17.7265625" style="6" customWidth="1"/>
    <col min="8457" max="8704" width="9.1796875" style="6"/>
    <col min="8705" max="8705" width="4.7265625" style="6" customWidth="1"/>
    <col min="8706" max="8706" width="60.7265625" style="6" customWidth="1"/>
    <col min="8707" max="8712" width="17.7265625" style="6" customWidth="1"/>
    <col min="8713" max="8960" width="9.1796875" style="6"/>
    <col min="8961" max="8961" width="4.7265625" style="6" customWidth="1"/>
    <col min="8962" max="8962" width="60.7265625" style="6" customWidth="1"/>
    <col min="8963" max="8968" width="17.7265625" style="6" customWidth="1"/>
    <col min="8969" max="9216" width="9.1796875" style="6"/>
    <col min="9217" max="9217" width="4.7265625" style="6" customWidth="1"/>
    <col min="9218" max="9218" width="60.7265625" style="6" customWidth="1"/>
    <col min="9219" max="9224" width="17.7265625" style="6" customWidth="1"/>
    <col min="9225" max="9472" width="9.1796875" style="6"/>
    <col min="9473" max="9473" width="4.7265625" style="6" customWidth="1"/>
    <col min="9474" max="9474" width="60.7265625" style="6" customWidth="1"/>
    <col min="9475" max="9480" width="17.7265625" style="6" customWidth="1"/>
    <col min="9481" max="9728" width="9.1796875" style="6"/>
    <col min="9729" max="9729" width="4.7265625" style="6" customWidth="1"/>
    <col min="9730" max="9730" width="60.7265625" style="6" customWidth="1"/>
    <col min="9731" max="9736" width="17.7265625" style="6" customWidth="1"/>
    <col min="9737" max="9984" width="9.1796875" style="6"/>
    <col min="9985" max="9985" width="4.7265625" style="6" customWidth="1"/>
    <col min="9986" max="9986" width="60.7265625" style="6" customWidth="1"/>
    <col min="9987" max="9992" width="17.7265625" style="6" customWidth="1"/>
    <col min="9993" max="10240" width="9.1796875" style="6"/>
    <col min="10241" max="10241" width="4.7265625" style="6" customWidth="1"/>
    <col min="10242" max="10242" width="60.7265625" style="6" customWidth="1"/>
    <col min="10243" max="10248" width="17.7265625" style="6" customWidth="1"/>
    <col min="10249" max="10496" width="9.1796875" style="6"/>
    <col min="10497" max="10497" width="4.7265625" style="6" customWidth="1"/>
    <col min="10498" max="10498" width="60.7265625" style="6" customWidth="1"/>
    <col min="10499" max="10504" width="17.7265625" style="6" customWidth="1"/>
    <col min="10505" max="10752" width="9.1796875" style="6"/>
    <col min="10753" max="10753" width="4.7265625" style="6" customWidth="1"/>
    <col min="10754" max="10754" width="60.7265625" style="6" customWidth="1"/>
    <col min="10755" max="10760" width="17.7265625" style="6" customWidth="1"/>
    <col min="10761" max="11008" width="9.1796875" style="6"/>
    <col min="11009" max="11009" width="4.7265625" style="6" customWidth="1"/>
    <col min="11010" max="11010" width="60.7265625" style="6" customWidth="1"/>
    <col min="11011" max="11016" width="17.7265625" style="6" customWidth="1"/>
    <col min="11017" max="11264" width="9.1796875" style="6"/>
    <col min="11265" max="11265" width="4.7265625" style="6" customWidth="1"/>
    <col min="11266" max="11266" width="60.7265625" style="6" customWidth="1"/>
    <col min="11267" max="11272" width="17.7265625" style="6" customWidth="1"/>
    <col min="11273" max="11520" width="9.1796875" style="6"/>
    <col min="11521" max="11521" width="4.7265625" style="6" customWidth="1"/>
    <col min="11522" max="11522" width="60.7265625" style="6" customWidth="1"/>
    <col min="11523" max="11528" width="17.7265625" style="6" customWidth="1"/>
    <col min="11529" max="11776" width="9.1796875" style="6"/>
    <col min="11777" max="11777" width="4.7265625" style="6" customWidth="1"/>
    <col min="11778" max="11778" width="60.7265625" style="6" customWidth="1"/>
    <col min="11779" max="11784" width="17.7265625" style="6" customWidth="1"/>
    <col min="11785" max="12032" width="9.1796875" style="6"/>
    <col min="12033" max="12033" width="4.7265625" style="6" customWidth="1"/>
    <col min="12034" max="12034" width="60.7265625" style="6" customWidth="1"/>
    <col min="12035" max="12040" width="17.7265625" style="6" customWidth="1"/>
    <col min="12041" max="12288" width="9.1796875" style="6"/>
    <col min="12289" max="12289" width="4.7265625" style="6" customWidth="1"/>
    <col min="12290" max="12290" width="60.7265625" style="6" customWidth="1"/>
    <col min="12291" max="12296" width="17.7265625" style="6" customWidth="1"/>
    <col min="12297" max="12544" width="9.1796875" style="6"/>
    <col min="12545" max="12545" width="4.7265625" style="6" customWidth="1"/>
    <col min="12546" max="12546" width="60.7265625" style="6" customWidth="1"/>
    <col min="12547" max="12552" width="17.7265625" style="6" customWidth="1"/>
    <col min="12553" max="12800" width="9.1796875" style="6"/>
    <col min="12801" max="12801" width="4.7265625" style="6" customWidth="1"/>
    <col min="12802" max="12802" width="60.7265625" style="6" customWidth="1"/>
    <col min="12803" max="12808" width="17.7265625" style="6" customWidth="1"/>
    <col min="12809" max="13056" width="9.1796875" style="6"/>
    <col min="13057" max="13057" width="4.7265625" style="6" customWidth="1"/>
    <col min="13058" max="13058" width="60.7265625" style="6" customWidth="1"/>
    <col min="13059" max="13064" width="17.7265625" style="6" customWidth="1"/>
    <col min="13065" max="13312" width="9.1796875" style="6"/>
    <col min="13313" max="13313" width="4.7265625" style="6" customWidth="1"/>
    <col min="13314" max="13314" width="60.7265625" style="6" customWidth="1"/>
    <col min="13315" max="13320" width="17.7265625" style="6" customWidth="1"/>
    <col min="13321" max="13568" width="9.1796875" style="6"/>
    <col min="13569" max="13569" width="4.7265625" style="6" customWidth="1"/>
    <col min="13570" max="13570" width="60.7265625" style="6" customWidth="1"/>
    <col min="13571" max="13576" width="17.7265625" style="6" customWidth="1"/>
    <col min="13577" max="13824" width="9.1796875" style="6"/>
    <col min="13825" max="13825" width="4.7265625" style="6" customWidth="1"/>
    <col min="13826" max="13826" width="60.7265625" style="6" customWidth="1"/>
    <col min="13827" max="13832" width="17.7265625" style="6" customWidth="1"/>
    <col min="13833" max="14080" width="9.1796875" style="6"/>
    <col min="14081" max="14081" width="4.7265625" style="6" customWidth="1"/>
    <col min="14082" max="14082" width="60.7265625" style="6" customWidth="1"/>
    <col min="14083" max="14088" width="17.7265625" style="6" customWidth="1"/>
    <col min="14089" max="14336" width="9.1796875" style="6"/>
    <col min="14337" max="14337" width="4.7265625" style="6" customWidth="1"/>
    <col min="14338" max="14338" width="60.7265625" style="6" customWidth="1"/>
    <col min="14339" max="14344" width="17.7265625" style="6" customWidth="1"/>
    <col min="14345" max="14592" width="9.1796875" style="6"/>
    <col min="14593" max="14593" width="4.7265625" style="6" customWidth="1"/>
    <col min="14594" max="14594" width="60.7265625" style="6" customWidth="1"/>
    <col min="14595" max="14600" width="17.7265625" style="6" customWidth="1"/>
    <col min="14601" max="14848" width="9.1796875" style="6"/>
    <col min="14849" max="14849" width="4.7265625" style="6" customWidth="1"/>
    <col min="14850" max="14850" width="60.7265625" style="6" customWidth="1"/>
    <col min="14851" max="14856" width="17.7265625" style="6" customWidth="1"/>
    <col min="14857" max="15104" width="9.1796875" style="6"/>
    <col min="15105" max="15105" width="4.7265625" style="6" customWidth="1"/>
    <col min="15106" max="15106" width="60.7265625" style="6" customWidth="1"/>
    <col min="15107" max="15112" width="17.7265625" style="6" customWidth="1"/>
    <col min="15113" max="15360" width="9.1796875" style="6"/>
    <col min="15361" max="15361" width="4.7265625" style="6" customWidth="1"/>
    <col min="15362" max="15362" width="60.7265625" style="6" customWidth="1"/>
    <col min="15363" max="15368" width="17.7265625" style="6" customWidth="1"/>
    <col min="15369" max="15616" width="9.1796875" style="6"/>
    <col min="15617" max="15617" width="4.7265625" style="6" customWidth="1"/>
    <col min="15618" max="15618" width="60.7265625" style="6" customWidth="1"/>
    <col min="15619" max="15624" width="17.7265625" style="6" customWidth="1"/>
    <col min="15625" max="15872" width="9.1796875" style="6"/>
    <col min="15873" max="15873" width="4.7265625" style="6" customWidth="1"/>
    <col min="15874" max="15874" width="60.7265625" style="6" customWidth="1"/>
    <col min="15875" max="15880" width="17.7265625" style="6" customWidth="1"/>
    <col min="15881" max="16128" width="9.1796875" style="6"/>
    <col min="16129" max="16129" width="4.7265625" style="6" customWidth="1"/>
    <col min="16130" max="16130" width="60.7265625" style="6" customWidth="1"/>
    <col min="16131" max="16136" width="17.7265625" style="6" customWidth="1"/>
    <col min="16137" max="16384" width="9.1796875" style="6"/>
  </cols>
  <sheetData>
    <row r="1" spans="1:8" s="10" customFormat="1" ht="16.5" customHeight="1">
      <c r="A1" s="4"/>
      <c r="B1" s="2034" t="s">
        <v>1203</v>
      </c>
      <c r="C1" s="2034"/>
      <c r="D1" s="2034"/>
      <c r="E1" s="55"/>
      <c r="F1" s="55"/>
      <c r="G1" s="55"/>
      <c r="H1" s="57"/>
    </row>
    <row r="2" spans="1:8" s="10" customFormat="1" ht="24.75" customHeight="1">
      <c r="A2" s="4"/>
      <c r="B2" s="1894" t="s">
        <v>762</v>
      </c>
      <c r="C2" s="1894"/>
      <c r="D2" s="1894"/>
      <c r="E2" s="1894"/>
      <c r="F2" s="1894"/>
      <c r="G2" s="1894"/>
      <c r="H2" s="1894"/>
    </row>
    <row r="3" spans="1:8" s="10" customFormat="1" ht="24.75" customHeight="1">
      <c r="A3" s="4"/>
      <c r="B3" s="1894" t="s">
        <v>1037</v>
      </c>
      <c r="C3" s="1894"/>
      <c r="D3" s="1894"/>
      <c r="E3" s="1894"/>
      <c r="F3" s="1894"/>
      <c r="G3" s="1894"/>
      <c r="H3" s="1894"/>
    </row>
    <row r="4" spans="1:8" ht="16.5" customHeight="1">
      <c r="H4" s="1446" t="s">
        <v>0</v>
      </c>
    </row>
    <row r="5" spans="1:8" s="12" customFormat="1" ht="16.5" customHeight="1" thickBot="1">
      <c r="B5" s="12" t="s">
        <v>1</v>
      </c>
      <c r="C5" s="13" t="s">
        <v>2</v>
      </c>
      <c r="D5" s="13" t="s">
        <v>72</v>
      </c>
      <c r="E5" s="13" t="s">
        <v>73</v>
      </c>
      <c r="F5" s="13" t="s">
        <v>74</v>
      </c>
      <c r="G5" s="13" t="s">
        <v>75</v>
      </c>
      <c r="H5" s="13" t="s">
        <v>76</v>
      </c>
    </row>
    <row r="6" spans="1:8" s="12" customFormat="1" ht="105.75" customHeight="1" thickBot="1">
      <c r="B6" s="1447" t="s">
        <v>1029</v>
      </c>
      <c r="C6" s="1445" t="s">
        <v>1030</v>
      </c>
      <c r="D6" s="1448" t="s">
        <v>1031</v>
      </c>
      <c r="E6" s="1445" t="s">
        <v>1032</v>
      </c>
      <c r="F6" s="1445" t="s">
        <v>1033</v>
      </c>
      <c r="G6" s="1445" t="s">
        <v>1034</v>
      </c>
      <c r="H6" s="1445" t="s">
        <v>1035</v>
      </c>
    </row>
    <row r="7" spans="1:8" s="10" customFormat="1" ht="20.149999999999999" customHeight="1">
      <c r="A7" s="4">
        <v>1</v>
      </c>
      <c r="B7" s="1464" t="s">
        <v>35</v>
      </c>
      <c r="C7" s="1449">
        <v>-1122219</v>
      </c>
      <c r="D7" s="1449">
        <v>1643462</v>
      </c>
      <c r="E7" s="1449">
        <f>C7+D7</f>
        <v>521243</v>
      </c>
      <c r="F7" s="1449">
        <v>125504</v>
      </c>
      <c r="G7" s="1449"/>
      <c r="H7" s="1450">
        <f>E7-F7</f>
        <v>395739</v>
      </c>
    </row>
    <row r="8" spans="1:8" s="10" customFormat="1" ht="20.149999999999999" customHeight="1">
      <c r="A8" s="4">
        <v>2</v>
      </c>
      <c r="B8" s="1451" t="s">
        <v>22</v>
      </c>
      <c r="C8" s="1452">
        <v>-360860</v>
      </c>
      <c r="D8" s="1452">
        <v>389707</v>
      </c>
      <c r="E8" s="1452">
        <f t="shared" ref="E8:E23" si="0">C8+D8</f>
        <v>28847</v>
      </c>
      <c r="F8" s="1452">
        <v>7571</v>
      </c>
      <c r="G8" s="1452"/>
      <c r="H8" s="1453">
        <f t="shared" ref="H8:H22" si="1">E8-F8</f>
        <v>21276</v>
      </c>
    </row>
    <row r="9" spans="1:8" s="10" customFormat="1" ht="20.149999999999999" customHeight="1">
      <c r="A9" s="4">
        <v>3</v>
      </c>
      <c r="B9" s="1451" t="s">
        <v>23</v>
      </c>
      <c r="C9" s="1452">
        <v>-587190</v>
      </c>
      <c r="D9" s="1452">
        <v>632533</v>
      </c>
      <c r="E9" s="1452">
        <f t="shared" si="0"/>
        <v>45343</v>
      </c>
      <c r="F9" s="1452">
        <v>7478</v>
      </c>
      <c r="G9" s="1452"/>
      <c r="H9" s="1453">
        <f t="shared" si="1"/>
        <v>37865</v>
      </c>
    </row>
    <row r="10" spans="1:8" s="10" customFormat="1" ht="20.149999999999999" customHeight="1">
      <c r="A10" s="4">
        <v>4</v>
      </c>
      <c r="B10" s="1451" t="s">
        <v>24</v>
      </c>
      <c r="C10" s="1452">
        <v>-590314</v>
      </c>
      <c r="D10" s="1452">
        <v>642452</v>
      </c>
      <c r="E10" s="1452">
        <f t="shared" si="0"/>
        <v>52138</v>
      </c>
      <c r="F10" s="1452">
        <v>3848</v>
      </c>
      <c r="G10" s="1452"/>
      <c r="H10" s="1453">
        <f t="shared" si="1"/>
        <v>48290</v>
      </c>
    </row>
    <row r="11" spans="1:8" s="10" customFormat="1" ht="20.149999999999999" customHeight="1">
      <c r="A11" s="4">
        <v>5</v>
      </c>
      <c r="B11" s="1454" t="s">
        <v>202</v>
      </c>
      <c r="C11" s="1452">
        <v>-526426</v>
      </c>
      <c r="D11" s="1452">
        <v>558949</v>
      </c>
      <c r="E11" s="1452">
        <f t="shared" si="0"/>
        <v>32523</v>
      </c>
      <c r="F11" s="1452">
        <v>5047</v>
      </c>
      <c r="G11" s="1452"/>
      <c r="H11" s="1453">
        <f t="shared" si="1"/>
        <v>27476</v>
      </c>
    </row>
    <row r="12" spans="1:8" s="10" customFormat="1" ht="20.149999999999999" customHeight="1">
      <c r="A12" s="4">
        <v>6</v>
      </c>
      <c r="B12" s="1451" t="s">
        <v>204</v>
      </c>
      <c r="C12" s="1452">
        <v>-558031</v>
      </c>
      <c r="D12" s="1452">
        <v>597371</v>
      </c>
      <c r="E12" s="1452">
        <f t="shared" si="0"/>
        <v>39340</v>
      </c>
      <c r="F12" s="1452">
        <v>16164</v>
      </c>
      <c r="G12" s="1452"/>
      <c r="H12" s="1453">
        <f t="shared" si="1"/>
        <v>23176</v>
      </c>
    </row>
    <row r="13" spans="1:8" s="10" customFormat="1" ht="20.149999999999999" customHeight="1">
      <c r="A13" s="4">
        <v>7</v>
      </c>
      <c r="B13" s="1454" t="s">
        <v>25</v>
      </c>
      <c r="C13" s="1452">
        <v>-330027</v>
      </c>
      <c r="D13" s="1452">
        <v>354831</v>
      </c>
      <c r="E13" s="1452">
        <f t="shared" si="0"/>
        <v>24804</v>
      </c>
      <c r="F13" s="1452">
        <v>2610</v>
      </c>
      <c r="G13" s="1452"/>
      <c r="H13" s="1453">
        <f t="shared" si="1"/>
        <v>22194</v>
      </c>
    </row>
    <row r="14" spans="1:8" s="10" customFormat="1" ht="30.75" customHeight="1">
      <c r="A14" s="4">
        <v>8</v>
      </c>
      <c r="B14" s="1454" t="s">
        <v>26</v>
      </c>
      <c r="C14" s="1452">
        <v>-1854683</v>
      </c>
      <c r="D14" s="1452">
        <v>1948761</v>
      </c>
      <c r="E14" s="1452">
        <f t="shared" si="0"/>
        <v>94078</v>
      </c>
      <c r="F14" s="1452">
        <v>15328</v>
      </c>
      <c r="G14" s="1452"/>
      <c r="H14" s="1453">
        <f t="shared" si="1"/>
        <v>78750</v>
      </c>
    </row>
    <row r="15" spans="1:8" s="10" customFormat="1" ht="20.149999999999999" customHeight="1">
      <c r="A15" s="4">
        <v>9</v>
      </c>
      <c r="B15" s="1454" t="s">
        <v>27</v>
      </c>
      <c r="C15" s="1452">
        <v>-123823</v>
      </c>
      <c r="D15" s="1452">
        <v>155387</v>
      </c>
      <c r="E15" s="1452">
        <f t="shared" si="0"/>
        <v>31564</v>
      </c>
      <c r="F15" s="1452">
        <v>1460</v>
      </c>
      <c r="G15" s="1452"/>
      <c r="H15" s="1453">
        <f>E15-F15</f>
        <v>30104</v>
      </c>
    </row>
    <row r="16" spans="1:8" s="10" customFormat="1" ht="20.149999999999999" customHeight="1">
      <c r="A16" s="4">
        <v>10</v>
      </c>
      <c r="B16" s="1454" t="s">
        <v>28</v>
      </c>
      <c r="C16" s="1452">
        <v>-520711</v>
      </c>
      <c r="D16" s="1452">
        <v>555022</v>
      </c>
      <c r="E16" s="1452">
        <f t="shared" si="0"/>
        <v>34311</v>
      </c>
      <c r="F16" s="1452">
        <v>5652</v>
      </c>
      <c r="G16" s="1452"/>
      <c r="H16" s="1453">
        <f t="shared" si="1"/>
        <v>28659</v>
      </c>
    </row>
    <row r="17" spans="1:8" s="10" customFormat="1" ht="20.149999999999999" customHeight="1">
      <c r="A17" s="4">
        <v>11</v>
      </c>
      <c r="B17" s="1454" t="s">
        <v>30</v>
      </c>
      <c r="C17" s="1452">
        <v>-326615</v>
      </c>
      <c r="D17" s="1452">
        <v>484593</v>
      </c>
      <c r="E17" s="1452">
        <f t="shared" si="0"/>
        <v>157978</v>
      </c>
      <c r="F17" s="1452">
        <v>40870</v>
      </c>
      <c r="G17" s="1452"/>
      <c r="H17" s="1453">
        <f t="shared" si="1"/>
        <v>117108</v>
      </c>
    </row>
    <row r="18" spans="1:8" s="10" customFormat="1" ht="20.149999999999999" customHeight="1">
      <c r="A18" s="4">
        <v>12</v>
      </c>
      <c r="B18" s="1454" t="s">
        <v>31</v>
      </c>
      <c r="C18" s="1452">
        <v>-249101</v>
      </c>
      <c r="D18" s="1452">
        <v>282543</v>
      </c>
      <c r="E18" s="1452">
        <f t="shared" si="0"/>
        <v>33442</v>
      </c>
      <c r="F18" s="1452">
        <v>13617</v>
      </c>
      <c r="G18" s="1452"/>
      <c r="H18" s="1453">
        <f t="shared" si="1"/>
        <v>19825</v>
      </c>
    </row>
    <row r="19" spans="1:8" s="10" customFormat="1" ht="20.149999999999999" customHeight="1">
      <c r="A19" s="4">
        <v>13</v>
      </c>
      <c r="B19" s="1451" t="s">
        <v>10</v>
      </c>
      <c r="C19" s="1452">
        <v>-605533</v>
      </c>
      <c r="D19" s="1452">
        <v>681059</v>
      </c>
      <c r="E19" s="1452">
        <f t="shared" si="0"/>
        <v>75526</v>
      </c>
      <c r="F19" s="1452">
        <v>16227</v>
      </c>
      <c r="G19" s="1452"/>
      <c r="H19" s="1453">
        <f t="shared" si="1"/>
        <v>59299</v>
      </c>
    </row>
    <row r="20" spans="1:8" s="10" customFormat="1" ht="20.149999999999999" customHeight="1">
      <c r="A20" s="4">
        <v>14</v>
      </c>
      <c r="B20" s="1451" t="s">
        <v>32</v>
      </c>
      <c r="C20" s="1452">
        <v>-518802</v>
      </c>
      <c r="D20" s="1452">
        <v>569301</v>
      </c>
      <c r="E20" s="1452">
        <f t="shared" si="0"/>
        <v>50499</v>
      </c>
      <c r="F20" s="1452">
        <v>10436</v>
      </c>
      <c r="G20" s="1452"/>
      <c r="H20" s="1453">
        <f t="shared" si="1"/>
        <v>40063</v>
      </c>
    </row>
    <row r="21" spans="1:8" s="10" customFormat="1" ht="20.149999999999999" customHeight="1">
      <c r="A21" s="4">
        <v>15</v>
      </c>
      <c r="B21" s="1451" t="s">
        <v>33</v>
      </c>
      <c r="C21" s="1452">
        <v>-204364</v>
      </c>
      <c r="D21" s="1452">
        <v>253432</v>
      </c>
      <c r="E21" s="1452">
        <f t="shared" si="0"/>
        <v>49068</v>
      </c>
      <c r="F21" s="1452">
        <v>47062</v>
      </c>
      <c r="G21" s="1452"/>
      <c r="H21" s="1453">
        <f t="shared" si="1"/>
        <v>2006</v>
      </c>
    </row>
    <row r="22" spans="1:8" s="10" customFormat="1" ht="20.149999999999999" customHeight="1">
      <c r="A22" s="4">
        <v>16</v>
      </c>
      <c r="B22" s="1454" t="s">
        <v>34</v>
      </c>
      <c r="C22" s="1452">
        <v>-789984</v>
      </c>
      <c r="D22" s="1452">
        <v>907243</v>
      </c>
      <c r="E22" s="1452">
        <f t="shared" si="0"/>
        <v>117259</v>
      </c>
      <c r="F22" s="1452">
        <v>117259</v>
      </c>
      <c r="G22" s="1452"/>
      <c r="H22" s="1453">
        <f t="shared" si="1"/>
        <v>0</v>
      </c>
    </row>
    <row r="23" spans="1:8" s="10" customFormat="1" ht="20.149999999999999" customHeight="1" thickBot="1">
      <c r="A23" s="4">
        <v>17</v>
      </c>
      <c r="B23" s="1455" t="s">
        <v>145</v>
      </c>
      <c r="C23" s="1456">
        <v>-2364549</v>
      </c>
      <c r="D23" s="1456">
        <v>3391547</v>
      </c>
      <c r="E23" s="1456">
        <f t="shared" si="0"/>
        <v>1026998</v>
      </c>
      <c r="F23" s="1456">
        <v>121846</v>
      </c>
      <c r="G23" s="1456"/>
      <c r="H23" s="1457">
        <f>E23-F23</f>
        <v>905152</v>
      </c>
    </row>
    <row r="24" spans="1:8" s="14" customFormat="1" ht="28" customHeight="1" thickBot="1">
      <c r="A24" s="4">
        <v>18</v>
      </c>
      <c r="B24" s="1458" t="s">
        <v>763</v>
      </c>
      <c r="C24" s="1459">
        <f t="shared" ref="C24:H24" si="2">SUM(C7:C23)</f>
        <v>-11633232</v>
      </c>
      <c r="D24" s="1459">
        <f t="shared" si="2"/>
        <v>14048193</v>
      </c>
      <c r="E24" s="1459">
        <f t="shared" si="2"/>
        <v>2414961</v>
      </c>
      <c r="F24" s="1459">
        <f>SUM(F7:F23)</f>
        <v>557979</v>
      </c>
      <c r="G24" s="1459">
        <f t="shared" si="2"/>
        <v>0</v>
      </c>
      <c r="H24" s="1460">
        <f t="shared" si="2"/>
        <v>1856982</v>
      </c>
    </row>
    <row r="25" spans="1:8" s="10" customFormat="1" ht="20.149999999999999" customHeight="1" thickBot="1">
      <c r="A25" s="4">
        <v>19</v>
      </c>
      <c r="B25" s="1461" t="s">
        <v>146</v>
      </c>
      <c r="C25" s="1462">
        <v>10175503</v>
      </c>
      <c r="D25" s="1462">
        <v>822359</v>
      </c>
      <c r="E25" s="1462">
        <f>C25+D25</f>
        <v>10997862</v>
      </c>
      <c r="F25" s="1462">
        <v>7035567</v>
      </c>
      <c r="G25" s="1462">
        <v>75391</v>
      </c>
      <c r="H25" s="1463">
        <f>E25-F25</f>
        <v>3962295</v>
      </c>
    </row>
    <row r="26" spans="1:8" s="14" customFormat="1" ht="28" customHeight="1" thickBot="1">
      <c r="A26" s="4">
        <v>20</v>
      </c>
      <c r="B26" s="1458" t="s">
        <v>1036</v>
      </c>
      <c r="C26" s="1459">
        <f>SUM(C24:C25)</f>
        <v>-1457729</v>
      </c>
      <c r="D26" s="1459">
        <f t="shared" ref="D26:H26" si="3">SUM(D24:D25)</f>
        <v>14870552</v>
      </c>
      <c r="E26" s="1459">
        <f>SUM(E24:E25)</f>
        <v>13412823</v>
      </c>
      <c r="F26" s="1459">
        <f t="shared" si="3"/>
        <v>7593546</v>
      </c>
      <c r="G26" s="1459">
        <f t="shared" si="3"/>
        <v>75391</v>
      </c>
      <c r="H26" s="1460">
        <f t="shared" si="3"/>
        <v>5819277</v>
      </c>
    </row>
    <row r="28" spans="1:8" ht="16.5" customHeight="1">
      <c r="C28" s="1440"/>
      <c r="D28" s="1440"/>
      <c r="E28" s="1440"/>
      <c r="F28" s="1440"/>
      <c r="G28" s="1440"/>
      <c r="H28" s="1440"/>
    </row>
    <row r="30" spans="1:8" ht="16.5" customHeight="1">
      <c r="B30" s="15"/>
    </row>
    <row r="31" spans="1:8" s="9" customFormat="1" ht="16.5" customHeight="1">
      <c r="A31" s="12"/>
      <c r="B31" s="6"/>
    </row>
    <row r="32" spans="1:8" s="9" customFormat="1" ht="16.5" customHeight="1">
      <c r="A32" s="12"/>
      <c r="B32" s="6"/>
    </row>
    <row r="33" spans="1:7" s="9" customFormat="1" ht="16.5" customHeight="1">
      <c r="A33" s="12"/>
      <c r="B33" s="6"/>
    </row>
    <row r="34" spans="1:7" s="9" customFormat="1" ht="16.5" customHeight="1">
      <c r="A34" s="12"/>
      <c r="B34" s="6"/>
      <c r="C34" s="1419"/>
      <c r="D34" s="1419"/>
    </row>
    <row r="35" spans="1:7" s="9" customFormat="1" ht="16.5" customHeight="1">
      <c r="A35" s="12"/>
      <c r="B35" s="15"/>
    </row>
    <row r="36" spans="1:7" s="9" customFormat="1" ht="16.5" customHeight="1">
      <c r="A36" s="12"/>
      <c r="B36" s="6"/>
    </row>
    <row r="37" spans="1:7" s="9" customFormat="1" ht="16.5" customHeight="1">
      <c r="A37" s="12"/>
      <c r="B37" s="6"/>
    </row>
    <row r="38" spans="1:7" s="9" customFormat="1" ht="16.5" customHeight="1">
      <c r="A38" s="12"/>
      <c r="B38" s="6"/>
    </row>
    <row r="39" spans="1:7" s="9" customFormat="1" ht="16.5" customHeight="1">
      <c r="A39" s="12"/>
      <c r="B39" s="6"/>
    </row>
    <row r="40" spans="1:7" s="9" customFormat="1" ht="16.5" customHeight="1">
      <c r="A40" s="12"/>
      <c r="B40" s="6"/>
    </row>
    <row r="41" spans="1:7" s="9" customFormat="1" ht="16.5" customHeight="1">
      <c r="A41" s="12"/>
      <c r="B41" s="15"/>
    </row>
    <row r="42" spans="1:7" s="9" customFormat="1" ht="16.5" customHeight="1">
      <c r="A42" s="12"/>
      <c r="B42" s="6"/>
      <c r="C42" s="1419"/>
      <c r="D42" s="1419"/>
      <c r="E42" s="1419"/>
    </row>
    <row r="43" spans="1:7" s="9" customFormat="1" ht="16.5" customHeight="1">
      <c r="A43" s="12"/>
      <c r="B43" s="6"/>
      <c r="F43" s="1419"/>
      <c r="G43" s="1419"/>
    </row>
    <row r="44" spans="1:7" s="9" customFormat="1" ht="16.5" customHeight="1">
      <c r="A44" s="12"/>
      <c r="B44" s="6"/>
      <c r="C44" s="1419"/>
      <c r="D44" s="1419"/>
    </row>
    <row r="45" spans="1:7" s="9" customFormat="1" ht="16.5" customHeight="1">
      <c r="A45" s="12"/>
      <c r="B45" s="6"/>
      <c r="C45" s="1419"/>
      <c r="D45" s="1419"/>
    </row>
    <row r="46" spans="1:7" s="9" customFormat="1" ht="16.5" customHeight="1">
      <c r="A46" s="12"/>
      <c r="B46" s="6"/>
    </row>
    <row r="47" spans="1:7" s="9" customFormat="1" ht="16.5" customHeight="1">
      <c r="A47" s="12"/>
      <c r="B47" s="6"/>
    </row>
    <row r="48" spans="1:7" s="9" customFormat="1" ht="16.5" customHeight="1">
      <c r="A48" s="12"/>
      <c r="B48" s="15"/>
    </row>
    <row r="49" spans="1:7" s="9" customFormat="1" ht="16.5" customHeight="1">
      <c r="A49" s="12"/>
      <c r="B49" s="6"/>
    </row>
    <row r="50" spans="1:7" s="9" customFormat="1" ht="16.5" customHeight="1">
      <c r="A50" s="12"/>
      <c r="B50" s="6"/>
    </row>
    <row r="51" spans="1:7" s="9" customFormat="1" ht="16.5" customHeight="1">
      <c r="A51" s="12"/>
      <c r="B51" s="15"/>
      <c r="E51" s="1419"/>
    </row>
    <row r="52" spans="1:7" s="9" customFormat="1" ht="16.5" customHeight="1">
      <c r="A52" s="12"/>
      <c r="B52" s="6"/>
      <c r="E52" s="1419"/>
      <c r="F52" s="1419"/>
      <c r="G52" s="1419"/>
    </row>
    <row r="53" spans="1:7" s="9" customFormat="1" ht="16.5" customHeight="1">
      <c r="A53" s="12"/>
      <c r="B53" s="6"/>
      <c r="E53" s="1419"/>
      <c r="F53" s="1419"/>
      <c r="G53" s="1419"/>
    </row>
    <row r="54" spans="1:7" s="9" customFormat="1" ht="16.5" customHeight="1">
      <c r="A54" s="12"/>
      <c r="B54" s="6"/>
      <c r="E54" s="1419"/>
      <c r="F54" s="1419"/>
      <c r="G54" s="1419"/>
    </row>
    <row r="55" spans="1:7" s="9" customFormat="1" ht="16.5" customHeight="1">
      <c r="A55" s="12"/>
      <c r="B55" s="15"/>
      <c r="C55" s="1419"/>
      <c r="D55" s="1419"/>
    </row>
    <row r="56" spans="1:7" s="9" customFormat="1" ht="16.5" customHeight="1">
      <c r="A56" s="12"/>
      <c r="B56" s="6"/>
      <c r="C56" s="1419"/>
      <c r="D56" s="1419"/>
      <c r="E56" s="1419"/>
      <c r="F56" s="1419"/>
      <c r="G56" s="1419"/>
    </row>
    <row r="57" spans="1:7" s="9" customFormat="1" ht="16.5" customHeight="1">
      <c r="A57" s="12"/>
      <c r="B57" s="15"/>
      <c r="C57" s="1419"/>
      <c r="D57" s="1419"/>
      <c r="E57" s="1419"/>
      <c r="F57" s="1419"/>
      <c r="G57" s="1419"/>
    </row>
    <row r="58" spans="1:7" s="9" customFormat="1" ht="16.5" customHeight="1">
      <c r="A58" s="12"/>
      <c r="B58" s="6"/>
    </row>
    <row r="59" spans="1:7" s="9" customFormat="1" ht="16.5" customHeight="1">
      <c r="A59" s="12"/>
      <c r="B59" s="6"/>
    </row>
    <row r="60" spans="1:7" s="9" customFormat="1" ht="16.5" customHeight="1">
      <c r="A60" s="12"/>
      <c r="B60" s="6"/>
    </row>
    <row r="61" spans="1:7" s="9" customFormat="1" ht="16.5" customHeight="1">
      <c r="A61" s="12"/>
      <c r="B61" s="6"/>
    </row>
    <row r="62" spans="1:7" s="9" customFormat="1" ht="16.5" customHeight="1">
      <c r="A62" s="12"/>
      <c r="B62" s="6"/>
    </row>
    <row r="63" spans="1:7" s="9" customFormat="1" ht="16.5" customHeight="1">
      <c r="A63" s="12"/>
      <c r="B63" s="6"/>
    </row>
    <row r="64" spans="1:7" s="9" customFormat="1" ht="16.5" customHeight="1">
      <c r="A64" s="12"/>
      <c r="B64" s="6"/>
    </row>
    <row r="65" spans="1:2" s="9" customFormat="1" ht="16.5" customHeight="1">
      <c r="A65" s="12"/>
      <c r="B65" s="6"/>
    </row>
    <row r="66" spans="1:2" s="9" customFormat="1" ht="16.5" customHeight="1">
      <c r="A66" s="12"/>
      <c r="B66" s="6"/>
    </row>
    <row r="67" spans="1:2" s="9" customFormat="1" ht="16.5" customHeight="1">
      <c r="A67" s="12"/>
      <c r="B67" s="6"/>
    </row>
    <row r="68" spans="1:2" s="9" customFormat="1" ht="16.5" customHeight="1">
      <c r="A68" s="12"/>
      <c r="B68" s="6"/>
    </row>
    <row r="69" spans="1:2" s="9" customFormat="1" ht="16.5" customHeight="1">
      <c r="A69" s="12"/>
      <c r="B69" s="6"/>
    </row>
    <row r="70" spans="1:2" s="9" customFormat="1" ht="16.5" customHeight="1">
      <c r="A70" s="12"/>
      <c r="B70" s="6"/>
    </row>
    <row r="71" spans="1:2" s="9" customFormat="1" ht="16.5" customHeight="1">
      <c r="A71" s="12"/>
      <c r="B71" s="6"/>
    </row>
    <row r="72" spans="1:2" s="9" customFormat="1" ht="16.5" customHeight="1">
      <c r="A72" s="12"/>
      <c r="B72" s="6"/>
    </row>
    <row r="73" spans="1:2" s="9" customFormat="1" ht="16.5" customHeight="1">
      <c r="A73" s="12"/>
      <c r="B73" s="6"/>
    </row>
    <row r="74" spans="1:2" s="9" customFormat="1" ht="16.5" customHeight="1">
      <c r="A74" s="12"/>
      <c r="B74" s="6"/>
    </row>
    <row r="75" spans="1:2" s="9" customFormat="1" ht="16.5" customHeight="1">
      <c r="A75" s="12"/>
      <c r="B75" s="6"/>
    </row>
    <row r="76" spans="1:2" s="9" customFormat="1" ht="16.5" customHeight="1">
      <c r="A76" s="12"/>
      <c r="B76" s="6"/>
    </row>
    <row r="77" spans="1:2" s="9" customFormat="1" ht="16.5" customHeight="1">
      <c r="A77" s="12"/>
      <c r="B77" s="6"/>
    </row>
    <row r="78" spans="1:2" s="9" customFormat="1" ht="16.5" customHeight="1">
      <c r="A78" s="12"/>
      <c r="B78" s="6"/>
    </row>
    <row r="79" spans="1:2" s="9" customFormat="1" ht="16.5" customHeight="1">
      <c r="A79" s="12"/>
      <c r="B79" s="6"/>
    </row>
    <row r="80" spans="1:2" s="9" customFormat="1" ht="16.5" customHeight="1">
      <c r="A80" s="12"/>
      <c r="B80" s="6"/>
    </row>
    <row r="81" spans="1:2" s="9" customFormat="1" ht="16.5" customHeight="1">
      <c r="A81" s="12"/>
      <c r="B81" s="6"/>
    </row>
    <row r="82" spans="1:2" s="9" customFormat="1" ht="16.5" customHeight="1">
      <c r="A82" s="12"/>
      <c r="B82" s="6"/>
    </row>
    <row r="83" spans="1:2" s="9" customFormat="1" ht="16.5" customHeight="1">
      <c r="A83" s="12"/>
      <c r="B83" s="6"/>
    </row>
    <row r="84" spans="1:2" s="9" customFormat="1" ht="16.5" customHeight="1">
      <c r="A84" s="12"/>
      <c r="B84" s="6"/>
    </row>
    <row r="85" spans="1:2" s="9" customFormat="1" ht="16.5" customHeight="1">
      <c r="A85" s="12"/>
      <c r="B85" s="6"/>
    </row>
    <row r="86" spans="1:2" s="9" customFormat="1" ht="16.5" customHeight="1">
      <c r="A86" s="12"/>
      <c r="B86" s="6"/>
    </row>
    <row r="87" spans="1:2" s="9" customFormat="1" ht="16.5" customHeight="1">
      <c r="A87" s="12"/>
      <c r="B87" s="6"/>
    </row>
    <row r="88" spans="1:2" s="9" customFormat="1" ht="16.5" customHeight="1">
      <c r="A88" s="12"/>
      <c r="B88" s="6"/>
    </row>
    <row r="89" spans="1:2" s="9" customFormat="1" ht="16.5" customHeight="1">
      <c r="A89" s="12"/>
      <c r="B89" s="6"/>
    </row>
    <row r="90" spans="1:2" s="9" customFormat="1" ht="16.5" customHeight="1">
      <c r="A90" s="12"/>
      <c r="B90" s="6"/>
    </row>
    <row r="91" spans="1:2" s="9" customFormat="1" ht="16.5" customHeight="1">
      <c r="A91" s="12"/>
      <c r="B91" s="6"/>
    </row>
    <row r="92" spans="1:2" s="9" customFormat="1" ht="16.5" customHeight="1">
      <c r="A92" s="12"/>
      <c r="B92" s="6"/>
    </row>
    <row r="93" spans="1:2" s="9" customFormat="1" ht="16.5" customHeight="1">
      <c r="A93" s="12"/>
      <c r="B93" s="6"/>
    </row>
    <row r="94" spans="1:2" s="9" customFormat="1" ht="16.5" customHeight="1">
      <c r="A94" s="12"/>
      <c r="B94" s="6"/>
    </row>
    <row r="95" spans="1:2" s="9" customFormat="1" ht="16.5" customHeight="1">
      <c r="A95" s="12"/>
      <c r="B95" s="6"/>
    </row>
    <row r="96" spans="1:2" s="9" customFormat="1" ht="16.5" customHeight="1">
      <c r="A96" s="12"/>
      <c r="B96" s="6"/>
    </row>
    <row r="97" spans="1:2" s="9" customFormat="1" ht="16.5" customHeight="1">
      <c r="A97" s="12"/>
      <c r="B97" s="6"/>
    </row>
    <row r="98" spans="1:2" s="9" customFormat="1" ht="16.5" customHeight="1">
      <c r="A98" s="12"/>
      <c r="B98" s="6"/>
    </row>
    <row r="99" spans="1:2" s="9" customFormat="1" ht="16.5" customHeight="1">
      <c r="A99" s="12"/>
      <c r="B99" s="6"/>
    </row>
    <row r="100" spans="1:2" s="9" customFormat="1" ht="16.5" customHeight="1">
      <c r="A100" s="12"/>
      <c r="B100" s="6"/>
    </row>
    <row r="101" spans="1:2" s="9" customFormat="1" ht="16.5" customHeight="1">
      <c r="A101" s="12"/>
      <c r="B101" s="6"/>
    </row>
    <row r="102" spans="1:2" s="9" customFormat="1" ht="16.5" customHeight="1">
      <c r="A102" s="12"/>
      <c r="B102" s="6"/>
    </row>
    <row r="103" spans="1:2" s="9" customFormat="1" ht="16.5" customHeight="1">
      <c r="A103" s="12"/>
      <c r="B103" s="6"/>
    </row>
    <row r="104" spans="1:2" s="9" customFormat="1" ht="16.5" customHeight="1">
      <c r="A104" s="12"/>
      <c r="B104" s="6"/>
    </row>
    <row r="105" spans="1:2" s="9" customFormat="1" ht="16.5" customHeight="1">
      <c r="A105" s="12"/>
      <c r="B105" s="6"/>
    </row>
    <row r="106" spans="1:2" s="9" customFormat="1" ht="16.5" customHeight="1">
      <c r="A106" s="12"/>
      <c r="B106" s="6"/>
    </row>
    <row r="107" spans="1:2" s="9" customFormat="1" ht="16.5" customHeight="1">
      <c r="A107" s="12"/>
      <c r="B107" s="6"/>
    </row>
    <row r="108" spans="1:2" s="9" customFormat="1" ht="16.5" customHeight="1">
      <c r="A108" s="12"/>
      <c r="B108" s="6"/>
    </row>
    <row r="109" spans="1:2" s="9" customFormat="1" ht="16.5" customHeight="1">
      <c r="A109" s="12"/>
      <c r="B109" s="6"/>
    </row>
    <row r="110" spans="1:2" s="9" customFormat="1" ht="16.5" customHeight="1">
      <c r="A110" s="12"/>
      <c r="B110" s="6"/>
    </row>
    <row r="111" spans="1:2" s="9" customFormat="1" ht="16.5" customHeight="1">
      <c r="A111" s="12"/>
      <c r="B111" s="6"/>
    </row>
    <row r="112" spans="1:2" s="9" customFormat="1" ht="16.5" customHeight="1">
      <c r="A112" s="12"/>
      <c r="B112" s="6"/>
    </row>
    <row r="113" spans="1:2" s="9" customFormat="1" ht="16.5" customHeight="1">
      <c r="A113" s="12"/>
      <c r="B113" s="6"/>
    </row>
    <row r="114" spans="1:2" s="9" customFormat="1" ht="16.5" customHeight="1">
      <c r="A114" s="12"/>
      <c r="B114" s="6"/>
    </row>
    <row r="115" spans="1:2" s="9" customFormat="1" ht="16.5" customHeight="1">
      <c r="A115" s="12"/>
      <c r="B115" s="6"/>
    </row>
    <row r="116" spans="1:2" s="9" customFormat="1" ht="16.5" customHeight="1">
      <c r="A116" s="12"/>
      <c r="B116" s="6"/>
    </row>
    <row r="117" spans="1:2" s="9" customFormat="1" ht="16.5" customHeight="1">
      <c r="A117" s="12"/>
      <c r="B117" s="6"/>
    </row>
    <row r="118" spans="1:2" s="9" customFormat="1" ht="16.5" customHeight="1">
      <c r="A118" s="12"/>
      <c r="B118" s="6"/>
    </row>
    <row r="119" spans="1:2" s="9" customFormat="1" ht="16.5" customHeight="1">
      <c r="A119" s="12"/>
      <c r="B119" s="6"/>
    </row>
    <row r="120" spans="1:2" s="9" customFormat="1" ht="16.5" customHeight="1">
      <c r="A120" s="12"/>
      <c r="B120" s="6"/>
    </row>
    <row r="121" spans="1:2" s="9" customFormat="1" ht="16.5" customHeight="1">
      <c r="A121" s="12"/>
      <c r="B121" s="6"/>
    </row>
    <row r="122" spans="1:2" s="9" customFormat="1" ht="16.5" customHeight="1">
      <c r="A122" s="12"/>
      <c r="B122" s="6"/>
    </row>
    <row r="123" spans="1:2" s="9" customFormat="1" ht="16.5" customHeight="1">
      <c r="A123" s="12"/>
      <c r="B123" s="6"/>
    </row>
    <row r="124" spans="1:2" s="9" customFormat="1" ht="16.5" customHeight="1">
      <c r="A124" s="12"/>
      <c r="B124" s="6"/>
    </row>
    <row r="125" spans="1:2" s="9" customFormat="1" ht="16.5" customHeight="1">
      <c r="A125" s="12"/>
      <c r="B125" s="6"/>
    </row>
    <row r="126" spans="1:2" s="9" customFormat="1" ht="16.5" customHeight="1">
      <c r="A126" s="12"/>
      <c r="B126" s="6"/>
    </row>
    <row r="127" spans="1:2" s="9" customFormat="1" ht="16.5" customHeight="1">
      <c r="A127" s="12"/>
      <c r="B127" s="6"/>
    </row>
    <row r="128" spans="1:2" s="9" customFormat="1" ht="16.5" customHeight="1">
      <c r="A128" s="12"/>
      <c r="B128" s="6"/>
    </row>
    <row r="129" spans="1:2" s="9" customFormat="1" ht="16.5" customHeight="1">
      <c r="A129" s="12"/>
      <c r="B129" s="6"/>
    </row>
    <row r="130" spans="1:2" s="9" customFormat="1" ht="16.5" customHeight="1">
      <c r="A130" s="12"/>
      <c r="B130" s="6"/>
    </row>
    <row r="131" spans="1:2" s="9" customFormat="1" ht="16.5" customHeight="1">
      <c r="A131" s="12"/>
      <c r="B131" s="6"/>
    </row>
    <row r="132" spans="1:2" s="9" customFormat="1" ht="16.5" customHeight="1">
      <c r="A132" s="12"/>
      <c r="B132" s="6"/>
    </row>
    <row r="133" spans="1:2" s="9" customFormat="1" ht="16.5" customHeight="1">
      <c r="A133" s="12"/>
      <c r="B133" s="6"/>
    </row>
    <row r="134" spans="1:2" s="9" customFormat="1" ht="16.5" customHeight="1">
      <c r="A134" s="12"/>
      <c r="B134" s="6"/>
    </row>
    <row r="135" spans="1:2" s="9" customFormat="1" ht="16.5" customHeight="1">
      <c r="A135" s="12"/>
      <c r="B135" s="6"/>
    </row>
    <row r="136" spans="1:2" s="9" customFormat="1" ht="16.5" customHeight="1">
      <c r="A136" s="12"/>
      <c r="B136" s="6"/>
    </row>
    <row r="137" spans="1:2" s="9" customFormat="1" ht="16.5" customHeight="1">
      <c r="A137" s="12"/>
      <c r="B137" s="6"/>
    </row>
    <row r="138" spans="1:2" s="9" customFormat="1" ht="16.5" customHeight="1">
      <c r="A138" s="12"/>
      <c r="B138" s="6"/>
    </row>
    <row r="139" spans="1:2" s="9" customFormat="1" ht="16.5" customHeight="1">
      <c r="A139" s="12"/>
      <c r="B139" s="6"/>
    </row>
    <row r="140" spans="1:2" s="9" customFormat="1" ht="16.5" customHeight="1">
      <c r="A140" s="12"/>
      <c r="B140" s="6"/>
    </row>
    <row r="141" spans="1:2" s="9" customFormat="1" ht="16.5" customHeight="1">
      <c r="A141" s="12"/>
      <c r="B141" s="6"/>
    </row>
  </sheetData>
  <mergeCells count="3">
    <mergeCell ref="B1:D1"/>
    <mergeCell ref="B2:H2"/>
    <mergeCell ref="B3:H3"/>
  </mergeCells>
  <printOptions horizontalCentered="1"/>
  <pageMargins left="0.19685039370078741" right="0.19685039370078741" top="0.59055118110236227" bottom="0.59055118110236227" header="0.51181102362204722" footer="0.31496062992125984"/>
  <pageSetup paperSize="9" scale="81" fitToWidth="0" orientation="landscape" r:id="rId1"/>
  <headerFooter alignWithMargins="0">
    <oddFooter>&amp;C- &amp;P -</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6"/>
  <sheetViews>
    <sheetView tabSelected="1" view="pageBreakPreview" topLeftCell="A121" zoomScaleNormal="100" zoomScaleSheetLayoutView="100" workbookViewId="0">
      <selection activeCell="F135" sqref="F135"/>
    </sheetView>
  </sheetViews>
  <sheetFormatPr defaultColWidth="9.1796875" defaultRowHeight="15.5"/>
  <cols>
    <col min="1" max="1" width="3.7265625" style="1846" customWidth="1"/>
    <col min="2" max="2" width="85.7265625" style="8" customWidth="1"/>
    <col min="3" max="5" width="15.7265625" style="6" customWidth="1"/>
    <col min="6" max="6" width="10.1796875" style="6" bestFit="1" customWidth="1"/>
    <col min="7" max="7" width="10.81640625" style="6" bestFit="1" customWidth="1"/>
    <col min="8" max="16384" width="9.1796875" style="6"/>
  </cols>
  <sheetData>
    <row r="1" spans="1:5" ht="16.5" customHeight="1">
      <c r="B1" s="2035" t="s">
        <v>1170</v>
      </c>
      <c r="C1" s="2035"/>
    </row>
    <row r="2" spans="1:5" ht="24.65" customHeight="1">
      <c r="A2" s="1847"/>
      <c r="B2" s="2036" t="s">
        <v>70</v>
      </c>
      <c r="C2" s="2036"/>
      <c r="D2" s="2036"/>
      <c r="E2" s="2036"/>
    </row>
    <row r="3" spans="1:5" ht="24.65" customHeight="1">
      <c r="A3" s="1847"/>
      <c r="B3" s="2036" t="s">
        <v>1171</v>
      </c>
      <c r="C3" s="2036"/>
      <c r="D3" s="2036"/>
      <c r="E3" s="2036"/>
    </row>
    <row r="4" spans="1:5" ht="16.5" customHeight="1">
      <c r="D4" s="2037" t="s">
        <v>0</v>
      </c>
      <c r="E4" s="2037"/>
    </row>
    <row r="5" spans="1:5" ht="16.5" customHeight="1" thickBot="1">
      <c r="A5" s="1848"/>
      <c r="B5" s="1849" t="s">
        <v>1</v>
      </c>
      <c r="C5" s="12" t="s">
        <v>2</v>
      </c>
      <c r="D5" s="12" t="s">
        <v>72</v>
      </c>
      <c r="E5" s="12" t="s">
        <v>73</v>
      </c>
    </row>
    <row r="6" spans="1:5" ht="31.5" thickBot="1">
      <c r="A6" s="1850"/>
      <c r="B6" s="1851" t="s">
        <v>3</v>
      </c>
      <c r="C6" s="1852" t="s">
        <v>1038</v>
      </c>
      <c r="D6" s="1852" t="s">
        <v>1039</v>
      </c>
      <c r="E6" s="1853" t="s">
        <v>1040</v>
      </c>
    </row>
    <row r="7" spans="1:5" ht="24.65" customHeight="1">
      <c r="A7" s="1850">
        <v>1</v>
      </c>
      <c r="B7" s="1854" t="s">
        <v>1041</v>
      </c>
      <c r="C7" s="1855"/>
      <c r="D7" s="1855"/>
      <c r="E7" s="1856"/>
    </row>
    <row r="8" spans="1:5" ht="16.5" customHeight="1">
      <c r="A8" s="1850">
        <v>2</v>
      </c>
      <c r="B8" s="1857" t="s">
        <v>1042</v>
      </c>
      <c r="C8" s="1858">
        <f>93651</f>
        <v>93651</v>
      </c>
      <c r="D8" s="1858"/>
      <c r="E8" s="1859">
        <v>81405</v>
      </c>
    </row>
    <row r="9" spans="1:5" ht="16.5" customHeight="1">
      <c r="A9" s="1850">
        <v>3</v>
      </c>
      <c r="B9" s="1857" t="s">
        <v>1043</v>
      </c>
      <c r="C9" s="1858">
        <v>128701</v>
      </c>
      <c r="D9" s="1858"/>
      <c r="E9" s="1859">
        <v>301389</v>
      </c>
    </row>
    <row r="10" spans="1:5" ht="16.5" customHeight="1">
      <c r="A10" s="1850">
        <v>4</v>
      </c>
      <c r="B10" s="1857" t="s">
        <v>1044</v>
      </c>
      <c r="C10" s="1858"/>
      <c r="D10" s="1858"/>
      <c r="E10" s="1859"/>
    </row>
    <row r="11" spans="1:5" s="10" customFormat="1" ht="24.75" customHeight="1">
      <c r="A11" s="1850">
        <v>5</v>
      </c>
      <c r="B11" s="1860" t="s">
        <v>1045</v>
      </c>
      <c r="C11" s="1861">
        <f>SUM(C7:C10)</f>
        <v>222352</v>
      </c>
      <c r="D11" s="1861"/>
      <c r="E11" s="1862">
        <f>SUM(E7:E10)</f>
        <v>382794</v>
      </c>
    </row>
    <row r="12" spans="1:5" ht="16.5" customHeight="1">
      <c r="A12" s="1850">
        <v>6</v>
      </c>
      <c r="B12" s="1857" t="s">
        <v>1046</v>
      </c>
      <c r="C12" s="1858">
        <v>96538582</v>
      </c>
      <c r="D12" s="1858"/>
      <c r="E12" s="1859">
        <v>105359309</v>
      </c>
    </row>
    <row r="13" spans="1:5" ht="16.5" customHeight="1">
      <c r="A13" s="1850">
        <v>7</v>
      </c>
      <c r="B13" s="1857" t="s">
        <v>1047</v>
      </c>
      <c r="C13" s="1858">
        <v>2293650</v>
      </c>
      <c r="D13" s="1858"/>
      <c r="E13" s="1859">
        <v>2311853</v>
      </c>
    </row>
    <row r="14" spans="1:5" ht="16.5" customHeight="1">
      <c r="A14" s="1850">
        <v>8</v>
      </c>
      <c r="B14" s="1857" t="s">
        <v>1048</v>
      </c>
      <c r="C14" s="1858"/>
      <c r="D14" s="1858"/>
      <c r="E14" s="1859"/>
    </row>
    <row r="15" spans="1:5" ht="16.5" customHeight="1">
      <c r="A15" s="1850">
        <v>9</v>
      </c>
      <c r="B15" s="1857" t="s">
        <v>1049</v>
      </c>
      <c r="C15" s="1858">
        <v>7608789</v>
      </c>
      <c r="D15" s="1858"/>
      <c r="E15" s="1859">
        <v>765805</v>
      </c>
    </row>
    <row r="16" spans="1:5" ht="16.5" customHeight="1">
      <c r="A16" s="1850">
        <v>10</v>
      </c>
      <c r="B16" s="1857" t="s">
        <v>1050</v>
      </c>
      <c r="C16" s="1858"/>
      <c r="D16" s="1858"/>
      <c r="E16" s="1859"/>
    </row>
    <row r="17" spans="1:7" s="10" customFormat="1" ht="24.75" customHeight="1">
      <c r="A17" s="1850">
        <v>11</v>
      </c>
      <c r="B17" s="1860" t="s">
        <v>1051</v>
      </c>
      <c r="C17" s="1861">
        <f>SUM(C12:C16)</f>
        <v>106441021</v>
      </c>
      <c r="D17" s="1861">
        <f>SUM(D12:D16)</f>
        <v>0</v>
      </c>
      <c r="E17" s="1862">
        <f>SUM(E12:E16)</f>
        <v>108436967</v>
      </c>
    </row>
    <row r="18" spans="1:7" ht="16.5" customHeight="1">
      <c r="A18" s="1850">
        <v>12</v>
      </c>
      <c r="B18" s="1857" t="s">
        <v>1052</v>
      </c>
      <c r="C18" s="1858">
        <v>6509552</v>
      </c>
      <c r="D18" s="1858"/>
      <c r="E18" s="1859">
        <v>5823362</v>
      </c>
      <c r="F18" s="9"/>
    </row>
    <row r="19" spans="1:7" ht="16.5" customHeight="1">
      <c r="A19" s="1850">
        <v>13</v>
      </c>
      <c r="B19" s="1857" t="s">
        <v>1053</v>
      </c>
      <c r="C19" s="1858"/>
      <c r="D19" s="1858"/>
      <c r="E19" s="1859"/>
    </row>
    <row r="20" spans="1:7" ht="16.5" customHeight="1">
      <c r="A20" s="1850">
        <v>14</v>
      </c>
      <c r="B20" s="1857" t="s">
        <v>1054</v>
      </c>
      <c r="C20" s="1858"/>
      <c r="D20" s="1858"/>
      <c r="E20" s="1859"/>
    </row>
    <row r="21" spans="1:7" s="10" customFormat="1" ht="24.75" customHeight="1">
      <c r="A21" s="1850">
        <v>15</v>
      </c>
      <c r="B21" s="1860" t="s">
        <v>1055</v>
      </c>
      <c r="C21" s="1861">
        <f>SUM(C18:C20)</f>
        <v>6509552</v>
      </c>
      <c r="D21" s="1861">
        <f>SUM(D18:D20)</f>
        <v>0</v>
      </c>
      <c r="E21" s="1862">
        <f>SUM(E18:E20)</f>
        <v>5823362</v>
      </c>
      <c r="F21" s="55"/>
      <c r="G21" s="55"/>
    </row>
    <row r="22" spans="1:7" ht="16.5" customHeight="1">
      <c r="A22" s="1850">
        <v>16</v>
      </c>
      <c r="B22" s="1857" t="s">
        <v>1056</v>
      </c>
      <c r="C22" s="1858">
        <v>4266761</v>
      </c>
      <c r="D22" s="1858"/>
      <c r="E22" s="1859">
        <v>4576086</v>
      </c>
    </row>
    <row r="23" spans="1:7" ht="16.5" customHeight="1">
      <c r="A23" s="1850">
        <v>17</v>
      </c>
      <c r="B23" s="1857" t="s">
        <v>1057</v>
      </c>
      <c r="C23" s="1858"/>
      <c r="D23" s="1858"/>
      <c r="E23" s="1859"/>
    </row>
    <row r="24" spans="1:7" s="10" customFormat="1" ht="24.75" customHeight="1">
      <c r="A24" s="1850">
        <v>18</v>
      </c>
      <c r="B24" s="1860" t="s">
        <v>1058</v>
      </c>
      <c r="C24" s="1861">
        <f>SUM(C22:C23)</f>
        <v>4266761</v>
      </c>
      <c r="D24" s="1861"/>
      <c r="E24" s="1862">
        <f>SUM(E22:E23)</f>
        <v>4576086</v>
      </c>
    </row>
    <row r="25" spans="1:7" s="10" customFormat="1" ht="24.75" customHeight="1" thickBot="1">
      <c r="A25" s="1850">
        <v>19</v>
      </c>
      <c r="B25" s="1863" t="s">
        <v>1059</v>
      </c>
      <c r="C25" s="1864">
        <f>SUM(C11,C17,C21,C24)</f>
        <v>117439686</v>
      </c>
      <c r="D25" s="1864">
        <f>SUM(D11,D17,D21,D24)</f>
        <v>0</v>
      </c>
      <c r="E25" s="1865">
        <f>SUM(E11,E17,E21,E24)</f>
        <v>119219209</v>
      </c>
    </row>
    <row r="26" spans="1:7" ht="16.5" customHeight="1" thickTop="1">
      <c r="A26" s="1850">
        <v>20</v>
      </c>
      <c r="B26" s="1857" t="s">
        <v>1060</v>
      </c>
      <c r="C26" s="1858">
        <v>24525</v>
      </c>
      <c r="D26" s="1858"/>
      <c r="E26" s="1859">
        <v>33434</v>
      </c>
    </row>
    <row r="27" spans="1:7" ht="16.5" customHeight="1">
      <c r="A27" s="1850">
        <v>21</v>
      </c>
      <c r="B27" s="1857" t="s">
        <v>1061</v>
      </c>
      <c r="C27" s="1858">
        <v>567</v>
      </c>
      <c r="D27" s="1858"/>
      <c r="E27" s="1859">
        <v>567</v>
      </c>
    </row>
    <row r="28" spans="1:7" ht="16.5" customHeight="1">
      <c r="A28" s="1850">
        <v>22</v>
      </c>
      <c r="B28" s="1857" t="s">
        <v>1062</v>
      </c>
      <c r="C28" s="1858"/>
      <c r="D28" s="1858"/>
      <c r="E28" s="1859"/>
    </row>
    <row r="29" spans="1:7" ht="16.5" customHeight="1">
      <c r="A29" s="1850">
        <v>23</v>
      </c>
      <c r="B29" s="1857" t="s">
        <v>1063</v>
      </c>
      <c r="C29" s="1858">
        <v>139256</v>
      </c>
      <c r="D29" s="1858"/>
      <c r="E29" s="1859">
        <v>156507</v>
      </c>
    </row>
    <row r="30" spans="1:7" ht="16.5" customHeight="1">
      <c r="A30" s="1850">
        <v>24</v>
      </c>
      <c r="B30" s="1857" t="s">
        <v>1064</v>
      </c>
      <c r="C30" s="1858"/>
      <c r="D30" s="1858"/>
      <c r="E30" s="1859"/>
    </row>
    <row r="31" spans="1:7" s="10" customFormat="1" ht="24.75" customHeight="1">
      <c r="A31" s="1850">
        <v>25</v>
      </c>
      <c r="B31" s="1860" t="s">
        <v>1065</v>
      </c>
      <c r="C31" s="1861">
        <f>SUM(C26:C30)</f>
        <v>164348</v>
      </c>
      <c r="D31" s="1861"/>
      <c r="E31" s="1862">
        <f>SUM(E26:E30)</f>
        <v>190508</v>
      </c>
    </row>
    <row r="32" spans="1:7" ht="16.5" customHeight="1">
      <c r="A32" s="1850">
        <v>26</v>
      </c>
      <c r="B32" s="1857" t="s">
        <v>1066</v>
      </c>
      <c r="C32" s="1858"/>
      <c r="D32" s="1858"/>
      <c r="E32" s="1859"/>
    </row>
    <row r="33" spans="1:7" ht="16.5" customHeight="1">
      <c r="A33" s="1850">
        <v>27</v>
      </c>
      <c r="B33" s="1857" t="s">
        <v>1067</v>
      </c>
      <c r="C33" s="1858"/>
      <c r="D33" s="1858"/>
      <c r="E33" s="1859">
        <v>1500000</v>
      </c>
    </row>
    <row r="34" spans="1:7" s="10" customFormat="1" ht="24.75" customHeight="1">
      <c r="A34" s="1850">
        <v>28</v>
      </c>
      <c r="B34" s="1860" t="s">
        <v>1068</v>
      </c>
      <c r="C34" s="1861">
        <f>SUM(C32:C33)</f>
        <v>0</v>
      </c>
      <c r="D34" s="1861"/>
      <c r="E34" s="1862">
        <f>SUM(E32:E33)</f>
        <v>1500000</v>
      </c>
    </row>
    <row r="35" spans="1:7" s="10" customFormat="1" ht="24.75" customHeight="1" thickBot="1">
      <c r="A35" s="1850">
        <v>29</v>
      </c>
      <c r="B35" s="1866" t="s">
        <v>1069</v>
      </c>
      <c r="C35" s="1864">
        <f>SUM(C31,C34)</f>
        <v>164348</v>
      </c>
      <c r="D35" s="1864">
        <f>SUM(D31,D34)</f>
        <v>0</v>
      </c>
      <c r="E35" s="1865">
        <f>SUM(E31,E34)</f>
        <v>1690508</v>
      </c>
    </row>
    <row r="36" spans="1:7" ht="16.5" customHeight="1" thickTop="1">
      <c r="A36" s="1850">
        <v>30</v>
      </c>
      <c r="B36" s="1857" t="s">
        <v>1070</v>
      </c>
      <c r="C36" s="1858"/>
      <c r="D36" s="1858"/>
      <c r="E36" s="1859"/>
    </row>
    <row r="37" spans="1:7" ht="16.5" customHeight="1">
      <c r="A37" s="1850">
        <v>31</v>
      </c>
      <c r="B37" s="1857" t="s">
        <v>1071</v>
      </c>
      <c r="C37" s="1858">
        <v>3352</v>
      </c>
      <c r="D37" s="1858"/>
      <c r="E37" s="1859">
        <v>6518</v>
      </c>
      <c r="F37" s="9"/>
    </row>
    <row r="38" spans="1:7" ht="16.5" customHeight="1">
      <c r="A38" s="1850">
        <v>32</v>
      </c>
      <c r="B38" s="1857" t="s">
        <v>1072</v>
      </c>
      <c r="C38" s="1858">
        <v>16433614</v>
      </c>
      <c r="D38" s="1858"/>
      <c r="E38" s="1859">
        <v>13796640</v>
      </c>
      <c r="F38" s="9"/>
    </row>
    <row r="39" spans="1:7" ht="16.5" customHeight="1">
      <c r="A39" s="1850">
        <v>33</v>
      </c>
      <c r="B39" s="1857" t="s">
        <v>1073</v>
      </c>
      <c r="C39" s="1858">
        <v>82919</v>
      </c>
      <c r="D39" s="1858"/>
      <c r="E39" s="1859">
        <v>119037</v>
      </c>
    </row>
    <row r="40" spans="1:7" s="10" customFormat="1" ht="24.65" customHeight="1" thickBot="1">
      <c r="A40" s="1850">
        <v>34</v>
      </c>
      <c r="B40" s="1866" t="s">
        <v>1074</v>
      </c>
      <c r="C40" s="1864">
        <f>SUM(C36:C39)</f>
        <v>16519885</v>
      </c>
      <c r="D40" s="1864">
        <f>SUM(D36:D39)</f>
        <v>0</v>
      </c>
      <c r="E40" s="1865">
        <f>SUM(E36:E39)</f>
        <v>13922195</v>
      </c>
      <c r="F40" s="55"/>
      <c r="G40" s="55"/>
    </row>
    <row r="41" spans="1:7" ht="16.5" customHeight="1" thickTop="1">
      <c r="A41" s="1850">
        <v>35</v>
      </c>
      <c r="B41" s="1867" t="s">
        <v>1075</v>
      </c>
      <c r="C41" s="1858"/>
      <c r="D41" s="1858"/>
      <c r="E41" s="1859"/>
    </row>
    <row r="42" spans="1:7" ht="16.5" customHeight="1">
      <c r="A42" s="1850">
        <v>36</v>
      </c>
      <c r="B42" s="1867" t="s">
        <v>1076</v>
      </c>
      <c r="C42" s="1858"/>
      <c r="D42" s="1858"/>
      <c r="E42" s="1859"/>
    </row>
    <row r="43" spans="1:7" ht="16.5" customHeight="1">
      <c r="A43" s="1850">
        <v>37</v>
      </c>
      <c r="B43" s="1868" t="s">
        <v>1077</v>
      </c>
      <c r="C43" s="1858">
        <v>139517</v>
      </c>
      <c r="D43" s="1858"/>
      <c r="E43" s="1859">
        <v>136222</v>
      </c>
    </row>
    <row r="44" spans="1:7" ht="16.5" customHeight="1">
      <c r="A44" s="1850">
        <v>38</v>
      </c>
      <c r="B44" s="1868" t="s">
        <v>1078</v>
      </c>
      <c r="C44" s="1858">
        <v>447510</v>
      </c>
      <c r="D44" s="1858"/>
      <c r="E44" s="1859">
        <v>256350</v>
      </c>
    </row>
    <row r="45" spans="1:7" ht="16.5" customHeight="1">
      <c r="A45" s="1850">
        <v>39</v>
      </c>
      <c r="B45" s="1868" t="s">
        <v>1079</v>
      </c>
      <c r="C45" s="1858">
        <v>331</v>
      </c>
      <c r="D45" s="1858"/>
      <c r="E45" s="1859">
        <v>344</v>
      </c>
    </row>
    <row r="46" spans="1:7" ht="16.5" customHeight="1">
      <c r="A46" s="1850">
        <v>40</v>
      </c>
      <c r="B46" s="1868" t="s">
        <v>1080</v>
      </c>
      <c r="C46" s="1858">
        <v>724</v>
      </c>
      <c r="D46" s="1858"/>
      <c r="E46" s="1859">
        <v>743</v>
      </c>
    </row>
    <row r="47" spans="1:7" ht="16.5" customHeight="1">
      <c r="A47" s="1850">
        <v>41</v>
      </c>
      <c r="B47" s="1868" t="s">
        <v>1081</v>
      </c>
      <c r="C47" s="1858">
        <v>125</v>
      </c>
      <c r="D47" s="1858"/>
      <c r="E47" s="1859">
        <v>97</v>
      </c>
    </row>
    <row r="48" spans="1:7" ht="16.5" customHeight="1">
      <c r="A48" s="1850">
        <v>42</v>
      </c>
      <c r="B48" s="1867" t="s">
        <v>1082</v>
      </c>
      <c r="C48" s="1858">
        <v>125</v>
      </c>
      <c r="D48" s="1858"/>
      <c r="E48" s="1859">
        <v>97</v>
      </c>
    </row>
    <row r="49" spans="1:5" ht="16.5" customHeight="1">
      <c r="A49" s="1850">
        <v>43</v>
      </c>
      <c r="B49" s="1868" t="s">
        <v>1083</v>
      </c>
      <c r="C49" s="1858"/>
      <c r="D49" s="1858"/>
      <c r="E49" s="1859"/>
    </row>
    <row r="50" spans="1:5" s="10" customFormat="1" ht="24.65" customHeight="1">
      <c r="A50" s="1850">
        <v>44</v>
      </c>
      <c r="B50" s="1860" t="s">
        <v>1084</v>
      </c>
      <c r="C50" s="1861">
        <f>SUM(C41:C49)-C48</f>
        <v>588207</v>
      </c>
      <c r="D50" s="1861">
        <f>SUM(D41:D49)-D48</f>
        <v>0</v>
      </c>
      <c r="E50" s="1862">
        <f>SUM(E41:E49)-E48</f>
        <v>393756</v>
      </c>
    </row>
    <row r="51" spans="1:5" ht="16.5" customHeight="1">
      <c r="A51" s="1850">
        <v>45</v>
      </c>
      <c r="B51" s="1867" t="s">
        <v>1085</v>
      </c>
      <c r="C51" s="1858"/>
      <c r="D51" s="1858"/>
      <c r="E51" s="1859"/>
    </row>
    <row r="52" spans="1:5" ht="16.5" customHeight="1">
      <c r="A52" s="1850">
        <v>46</v>
      </c>
      <c r="B52" s="1867" t="s">
        <v>1086</v>
      </c>
      <c r="C52" s="1858"/>
      <c r="D52" s="1858"/>
      <c r="E52" s="1859"/>
    </row>
    <row r="53" spans="1:5" ht="16.5" customHeight="1">
      <c r="A53" s="1850">
        <v>47</v>
      </c>
      <c r="B53" s="1868" t="s">
        <v>1087</v>
      </c>
      <c r="C53" s="1858">
        <v>5520596</v>
      </c>
      <c r="D53" s="1858"/>
      <c r="E53" s="1859">
        <v>5906341</v>
      </c>
    </row>
    <row r="54" spans="1:5" ht="16.5" customHeight="1">
      <c r="A54" s="1850">
        <v>48</v>
      </c>
      <c r="B54" s="1868" t="s">
        <v>1088</v>
      </c>
      <c r="C54" s="1858">
        <v>45125</v>
      </c>
      <c r="D54" s="1858"/>
      <c r="E54" s="1859">
        <v>91140</v>
      </c>
    </row>
    <row r="55" spans="1:5" ht="16.5" customHeight="1">
      <c r="A55" s="1850">
        <v>49</v>
      </c>
      <c r="B55" s="1868" t="s">
        <v>1089</v>
      </c>
      <c r="C55" s="1858">
        <v>4388</v>
      </c>
      <c r="D55" s="1858"/>
      <c r="E55" s="1859">
        <v>3622</v>
      </c>
    </row>
    <row r="56" spans="1:5" ht="16.5" customHeight="1">
      <c r="A56" s="1850">
        <v>50</v>
      </c>
      <c r="B56" s="1867" t="s">
        <v>1090</v>
      </c>
      <c r="C56" s="1858"/>
      <c r="D56" s="1858"/>
      <c r="E56" s="1859"/>
    </row>
    <row r="57" spans="1:5" ht="16.5" customHeight="1">
      <c r="A57" s="1850">
        <v>51</v>
      </c>
      <c r="B57" s="1868" t="s">
        <v>1091</v>
      </c>
      <c r="C57" s="1858"/>
      <c r="D57" s="1858"/>
      <c r="E57" s="1859"/>
    </row>
    <row r="58" spans="1:5" ht="16.5" customHeight="1">
      <c r="A58" s="1850">
        <v>52</v>
      </c>
      <c r="B58" s="1867" t="s">
        <v>1092</v>
      </c>
      <c r="C58" s="1858"/>
      <c r="D58" s="1858"/>
      <c r="E58" s="1859"/>
    </row>
    <row r="59" spans="1:5" ht="16.5" customHeight="1">
      <c r="A59" s="1850">
        <v>53</v>
      </c>
      <c r="B59" s="1868" t="s">
        <v>1093</v>
      </c>
      <c r="C59" s="1858"/>
      <c r="D59" s="1858"/>
      <c r="E59" s="1859"/>
    </row>
    <row r="60" spans="1:5" s="10" customFormat="1" ht="24.65" customHeight="1">
      <c r="A60" s="1850">
        <v>54</v>
      </c>
      <c r="B60" s="1860" t="s">
        <v>1094</v>
      </c>
      <c r="C60" s="1861">
        <f>SUM(C51:C57,C59)</f>
        <v>5570109</v>
      </c>
      <c r="D60" s="1861"/>
      <c r="E60" s="1862">
        <f>SUM(E51:E57,E59)</f>
        <v>6001103</v>
      </c>
    </row>
    <row r="61" spans="1:5" ht="16.5" customHeight="1">
      <c r="A61" s="1850">
        <v>55</v>
      </c>
      <c r="B61" s="1868" t="s">
        <v>1095</v>
      </c>
      <c r="C61" s="1858">
        <f>SUM(C62:C67)</f>
        <v>536732</v>
      </c>
      <c r="D61" s="1858"/>
      <c r="E61" s="1859">
        <f>SUM(E62:E67)</f>
        <v>127397</v>
      </c>
    </row>
    <row r="62" spans="1:5" ht="16.5" customHeight="1">
      <c r="A62" s="1850">
        <v>56</v>
      </c>
      <c r="B62" s="1868" t="s">
        <v>1096</v>
      </c>
      <c r="C62" s="1858"/>
      <c r="D62" s="1858"/>
      <c r="E62" s="1859"/>
    </row>
    <row r="63" spans="1:5" ht="16.5" customHeight="1">
      <c r="A63" s="1850">
        <v>57</v>
      </c>
      <c r="B63" s="1868" t="s">
        <v>1097</v>
      </c>
      <c r="C63" s="1858">
        <v>531590</v>
      </c>
      <c r="D63" s="1858"/>
      <c r="E63" s="1859">
        <v>114854</v>
      </c>
    </row>
    <row r="64" spans="1:5" ht="16.5" customHeight="1">
      <c r="A64" s="1850">
        <v>58</v>
      </c>
      <c r="B64" s="1868" t="s">
        <v>1098</v>
      </c>
      <c r="C64" s="1858"/>
      <c r="D64" s="1858"/>
      <c r="E64" s="1859"/>
    </row>
    <row r="65" spans="1:5" ht="16.5" customHeight="1">
      <c r="A65" s="1850">
        <v>59</v>
      </c>
      <c r="B65" s="1868" t="s">
        <v>1099</v>
      </c>
      <c r="C65" s="1858">
        <v>4812</v>
      </c>
      <c r="D65" s="1858"/>
      <c r="E65" s="1859">
        <v>11412</v>
      </c>
    </row>
    <row r="66" spans="1:5" ht="16.5" customHeight="1">
      <c r="A66" s="1850">
        <v>60</v>
      </c>
      <c r="B66" s="1868" t="s">
        <v>1100</v>
      </c>
      <c r="C66" s="1858">
        <v>85</v>
      </c>
      <c r="D66" s="1858"/>
      <c r="E66" s="1859">
        <v>30</v>
      </c>
    </row>
    <row r="67" spans="1:5" ht="16.5" customHeight="1">
      <c r="A67" s="1850">
        <v>61</v>
      </c>
      <c r="B67" s="1868" t="s">
        <v>1101</v>
      </c>
      <c r="C67" s="1858">
        <f>245</f>
        <v>245</v>
      </c>
      <c r="D67" s="1858"/>
      <c r="E67" s="1859">
        <v>1101</v>
      </c>
    </row>
    <row r="68" spans="1:5" ht="16.5" customHeight="1">
      <c r="A68" s="1850">
        <v>62</v>
      </c>
      <c r="B68" s="1868" t="s">
        <v>1102</v>
      </c>
      <c r="C68" s="1858"/>
      <c r="D68" s="1858"/>
      <c r="E68" s="1859"/>
    </row>
    <row r="69" spans="1:5" ht="16.5" customHeight="1">
      <c r="A69" s="1850">
        <v>63</v>
      </c>
      <c r="B69" s="1868" t="s">
        <v>1103</v>
      </c>
      <c r="C69" s="1858"/>
      <c r="D69" s="1858"/>
      <c r="E69" s="1859"/>
    </row>
    <row r="70" spans="1:5" ht="16.5" customHeight="1">
      <c r="A70" s="1850">
        <v>64</v>
      </c>
      <c r="B70" s="1868" t="s">
        <v>1104</v>
      </c>
      <c r="C70" s="1858">
        <v>3040</v>
      </c>
      <c r="D70" s="1858"/>
      <c r="E70" s="1859">
        <v>3040</v>
      </c>
    </row>
    <row r="71" spans="1:5" ht="16.5" customHeight="1">
      <c r="A71" s="1850">
        <v>65</v>
      </c>
      <c r="B71" s="1867" t="s">
        <v>1105</v>
      </c>
      <c r="C71" s="1858">
        <v>30166</v>
      </c>
      <c r="D71" s="1858"/>
      <c r="E71" s="1859">
        <v>45667</v>
      </c>
    </row>
    <row r="72" spans="1:5" ht="16.5" customHeight="1">
      <c r="A72" s="1850">
        <v>66</v>
      </c>
      <c r="B72" s="1867" t="s">
        <v>1106</v>
      </c>
      <c r="C72" s="1858"/>
      <c r="D72" s="1858"/>
      <c r="E72" s="1859"/>
    </row>
    <row r="73" spans="1:5" ht="16.5" customHeight="1">
      <c r="A73" s="1850">
        <v>67</v>
      </c>
      <c r="B73" s="1867" t="s">
        <v>1107</v>
      </c>
      <c r="C73" s="1858">
        <v>322</v>
      </c>
      <c r="D73" s="1858"/>
      <c r="E73" s="1859">
        <v>3046</v>
      </c>
    </row>
    <row r="74" spans="1:5" ht="16.5" customHeight="1">
      <c r="A74" s="1850">
        <v>68</v>
      </c>
      <c r="B74" s="1868" t="s">
        <v>1108</v>
      </c>
      <c r="C74" s="1858"/>
      <c r="D74" s="1858"/>
      <c r="E74" s="1859"/>
    </row>
    <row r="75" spans="1:5" ht="16.5" customHeight="1">
      <c r="A75" s="1850">
        <v>69</v>
      </c>
      <c r="B75" s="1868" t="s">
        <v>1109</v>
      </c>
      <c r="C75" s="1858"/>
      <c r="D75" s="1858"/>
      <c r="E75" s="1859">
        <v>40835</v>
      </c>
    </row>
    <row r="76" spans="1:5" s="10" customFormat="1" ht="24.65" customHeight="1">
      <c r="A76" s="1850">
        <v>70</v>
      </c>
      <c r="B76" s="1860" t="s">
        <v>1110</v>
      </c>
      <c r="C76" s="1861">
        <f>SUM(C68:C75,C61)</f>
        <v>570260</v>
      </c>
      <c r="D76" s="1861">
        <f>SUM(D68:D75,D61)</f>
        <v>0</v>
      </c>
      <c r="E76" s="1862">
        <f>SUM(E68:E75,E61)</f>
        <v>219985</v>
      </c>
    </row>
    <row r="77" spans="1:5" s="10" customFormat="1" ht="24.65" customHeight="1" thickBot="1">
      <c r="A77" s="1850">
        <v>71</v>
      </c>
      <c r="B77" s="1866" t="s">
        <v>1111</v>
      </c>
      <c r="C77" s="1864">
        <f>SUM(C50,C60,C76)</f>
        <v>6728576</v>
      </c>
      <c r="D77" s="1864">
        <f>SUM(D50,D60,D76)</f>
        <v>0</v>
      </c>
      <c r="E77" s="1865">
        <f>SUM(E50,E60,E76)</f>
        <v>6614844</v>
      </c>
    </row>
    <row r="78" spans="1:5" ht="16.5" customHeight="1" thickTop="1">
      <c r="A78" s="1850">
        <v>72</v>
      </c>
      <c r="B78" s="1868" t="s">
        <v>1112</v>
      </c>
      <c r="C78" s="1858">
        <v>372958</v>
      </c>
      <c r="D78" s="1858"/>
      <c r="E78" s="1859">
        <v>228093</v>
      </c>
    </row>
    <row r="79" spans="1:5" ht="16.5" customHeight="1">
      <c r="A79" s="1850">
        <v>73</v>
      </c>
      <c r="B79" s="1868" t="s">
        <v>1113</v>
      </c>
      <c r="C79" s="1858">
        <v>-154752</v>
      </c>
      <c r="D79" s="1858"/>
      <c r="E79" s="1859">
        <v>-114102</v>
      </c>
    </row>
    <row r="80" spans="1:5" ht="16.5" customHeight="1" thickBot="1">
      <c r="A80" s="1850">
        <v>74</v>
      </c>
      <c r="B80" s="1868" t="s">
        <v>1114</v>
      </c>
      <c r="C80" s="1858">
        <v>2586</v>
      </c>
      <c r="D80" s="1858"/>
      <c r="E80" s="1859">
        <v>58</v>
      </c>
    </row>
    <row r="81" spans="1:5" s="10" customFormat="1" ht="24.65" customHeight="1" thickTop="1" thickBot="1">
      <c r="A81" s="1850">
        <v>75</v>
      </c>
      <c r="B81" s="1869" t="s">
        <v>1115</v>
      </c>
      <c r="C81" s="1870">
        <f>SUM(C78:C80)</f>
        <v>220792</v>
      </c>
      <c r="D81" s="1870">
        <f>SUM(D78:D80)</f>
        <v>0</v>
      </c>
      <c r="E81" s="1871">
        <f>SUM(E78:E80)</f>
        <v>114049</v>
      </c>
    </row>
    <row r="82" spans="1:5" ht="16.5" customHeight="1" thickTop="1">
      <c r="A82" s="1850">
        <v>76</v>
      </c>
      <c r="B82" s="1857" t="s">
        <v>1116</v>
      </c>
      <c r="C82" s="1858">
        <v>61374</v>
      </c>
      <c r="D82" s="1858"/>
      <c r="E82" s="1859">
        <v>112617</v>
      </c>
    </row>
    <row r="83" spans="1:5" ht="16.5" customHeight="1">
      <c r="A83" s="1850">
        <v>77</v>
      </c>
      <c r="B83" s="1857" t="s">
        <v>1117</v>
      </c>
      <c r="C83" s="1858">
        <v>33277</v>
      </c>
      <c r="D83" s="1858"/>
      <c r="E83" s="1859">
        <v>34245</v>
      </c>
    </row>
    <row r="84" spans="1:5" ht="16.5" customHeight="1">
      <c r="A84" s="1850">
        <v>78</v>
      </c>
      <c r="B84" s="1857" t="s">
        <v>1118</v>
      </c>
      <c r="C84" s="1858"/>
      <c r="D84" s="1858"/>
      <c r="E84" s="1859"/>
    </row>
    <row r="85" spans="1:5" s="10" customFormat="1" ht="24.65" customHeight="1" thickBot="1">
      <c r="A85" s="1850">
        <v>79</v>
      </c>
      <c r="B85" s="1866" t="s">
        <v>1119</v>
      </c>
      <c r="C85" s="1864">
        <f>SUM(C82:C84)</f>
        <v>94651</v>
      </c>
      <c r="D85" s="1864"/>
      <c r="E85" s="1865">
        <f>SUM(E82:E84)</f>
        <v>146862</v>
      </c>
    </row>
    <row r="86" spans="1:5" s="10" customFormat="1" ht="24.65" customHeight="1" thickTop="1" thickBot="1">
      <c r="A86" s="1850">
        <v>80</v>
      </c>
      <c r="B86" s="1872" t="s">
        <v>1120</v>
      </c>
      <c r="C86" s="1873">
        <f>SUM(C25,C35,C40,C77,C81,C85)</f>
        <v>141167938</v>
      </c>
      <c r="D86" s="1873">
        <f>SUM(D25,D35,D40,D77,D81,D85)</f>
        <v>0</v>
      </c>
      <c r="E86" s="1874">
        <f>SUM(E25,E35,E40,E77,E81,E85)</f>
        <v>141707667</v>
      </c>
    </row>
    <row r="87" spans="1:5" s="10" customFormat="1" ht="24.65" customHeight="1">
      <c r="A87" s="1850">
        <v>81</v>
      </c>
      <c r="B87" s="1854" t="s">
        <v>1121</v>
      </c>
      <c r="C87" s="1875"/>
      <c r="D87" s="1875"/>
      <c r="E87" s="1876"/>
    </row>
    <row r="88" spans="1:5" ht="16.5" customHeight="1">
      <c r="A88" s="1850">
        <v>82</v>
      </c>
      <c r="B88" s="1857" t="s">
        <v>1122</v>
      </c>
      <c r="C88" s="1858">
        <v>83998213</v>
      </c>
      <c r="D88" s="1858"/>
      <c r="E88" s="1859">
        <v>83998213</v>
      </c>
    </row>
    <row r="89" spans="1:5" ht="16.5" customHeight="1">
      <c r="A89" s="1850">
        <v>83</v>
      </c>
      <c r="B89" s="1857" t="s">
        <v>1123</v>
      </c>
      <c r="C89" s="1858">
        <v>972039</v>
      </c>
      <c r="D89" s="1858"/>
      <c r="E89" s="1859">
        <v>941871</v>
      </c>
    </row>
    <row r="90" spans="1:5" ht="16.5" customHeight="1">
      <c r="A90" s="1850">
        <v>84</v>
      </c>
      <c r="B90" s="1857" t="s">
        <v>1124</v>
      </c>
      <c r="C90" s="1858">
        <v>999741</v>
      </c>
      <c r="D90" s="1858"/>
      <c r="E90" s="1859">
        <v>999741</v>
      </c>
    </row>
    <row r="91" spans="1:5" ht="16.5" customHeight="1">
      <c r="A91" s="1850">
        <v>85</v>
      </c>
      <c r="B91" s="1857" t="s">
        <v>1125</v>
      </c>
      <c r="C91" s="1858">
        <v>-8389995</v>
      </c>
      <c r="D91" s="1858">
        <v>-211989</v>
      </c>
      <c r="E91" s="1859">
        <v>-12475448</v>
      </c>
    </row>
    <row r="92" spans="1:5" ht="16.5" customHeight="1">
      <c r="A92" s="1850">
        <v>86</v>
      </c>
      <c r="B92" s="1857" t="s">
        <v>1126</v>
      </c>
      <c r="C92" s="1858"/>
      <c r="D92" s="1858"/>
      <c r="E92" s="1859"/>
    </row>
    <row r="93" spans="1:5" ht="16.5" customHeight="1">
      <c r="A93" s="1850">
        <v>87</v>
      </c>
      <c r="B93" s="1857" t="s">
        <v>1127</v>
      </c>
      <c r="C93" s="1858">
        <v>-3873463</v>
      </c>
      <c r="D93" s="1858"/>
      <c r="E93" s="1859">
        <v>-1971140</v>
      </c>
    </row>
    <row r="94" spans="1:5" s="10" customFormat="1" ht="24.65" customHeight="1" thickBot="1">
      <c r="A94" s="1850">
        <v>88</v>
      </c>
      <c r="B94" s="1866" t="s">
        <v>1128</v>
      </c>
      <c r="C94" s="1864">
        <f>SUM(C87:C93)</f>
        <v>73706535</v>
      </c>
      <c r="D94" s="1864">
        <f>SUM(D87:D93)</f>
        <v>-211989</v>
      </c>
      <c r="E94" s="1865">
        <f>SUM(E87:E93)</f>
        <v>71493237</v>
      </c>
    </row>
    <row r="95" spans="1:5" ht="16.5" customHeight="1" thickTop="1">
      <c r="A95" s="1850">
        <v>89</v>
      </c>
      <c r="B95" s="1868" t="s">
        <v>1129</v>
      </c>
      <c r="C95" s="1858"/>
      <c r="D95" s="1858"/>
      <c r="E95" s="1859"/>
    </row>
    <row r="96" spans="1:5" ht="16.5" customHeight="1">
      <c r="A96" s="1850">
        <v>90</v>
      </c>
      <c r="B96" s="1868" t="s">
        <v>1130</v>
      </c>
      <c r="C96" s="1858"/>
      <c r="D96" s="1858"/>
      <c r="E96" s="1859"/>
    </row>
    <row r="97" spans="1:5" ht="16.5" customHeight="1">
      <c r="A97" s="1850">
        <v>91</v>
      </c>
      <c r="B97" s="1868" t="s">
        <v>1131</v>
      </c>
      <c r="C97" s="1858">
        <v>355935</v>
      </c>
      <c r="D97" s="1858"/>
      <c r="E97" s="1859">
        <v>6069</v>
      </c>
    </row>
    <row r="98" spans="1:5" ht="16.5" customHeight="1">
      <c r="A98" s="1850">
        <v>92</v>
      </c>
      <c r="B98" s="1868" t="s">
        <v>1132</v>
      </c>
      <c r="C98" s="1858"/>
      <c r="D98" s="1858"/>
      <c r="E98" s="1859"/>
    </row>
    <row r="99" spans="1:5" ht="16.5" customHeight="1">
      <c r="A99" s="1850">
        <v>93</v>
      </c>
      <c r="B99" s="1868" t="s">
        <v>1133</v>
      </c>
      <c r="C99" s="1858"/>
      <c r="D99" s="1858"/>
      <c r="E99" s="1859"/>
    </row>
    <row r="100" spans="1:5" ht="16.5" customHeight="1">
      <c r="A100" s="1850">
        <v>94</v>
      </c>
      <c r="B100" s="1868" t="s">
        <v>1134</v>
      </c>
      <c r="C100" s="1858">
        <f>1036094</f>
        <v>1036094</v>
      </c>
      <c r="D100" s="1858"/>
      <c r="E100" s="1859">
        <v>26879</v>
      </c>
    </row>
    <row r="101" spans="1:5" ht="16.5" customHeight="1">
      <c r="A101" s="1850">
        <v>95</v>
      </c>
      <c r="B101" s="1868" t="s">
        <v>1135</v>
      </c>
      <c r="C101" s="1858">
        <v>47978</v>
      </c>
      <c r="D101" s="1858"/>
      <c r="E101" s="1859"/>
    </row>
    <row r="102" spans="1:5" ht="16.5" customHeight="1">
      <c r="A102" s="1850">
        <v>96</v>
      </c>
      <c r="B102" s="1868" t="s">
        <v>1136</v>
      </c>
      <c r="C102" s="1858">
        <v>121342</v>
      </c>
      <c r="D102" s="1858"/>
      <c r="E102" s="1859"/>
    </row>
    <row r="103" spans="1:5" ht="16.5" customHeight="1">
      <c r="A103" s="1850">
        <v>97</v>
      </c>
      <c r="B103" s="1868" t="s">
        <v>1137</v>
      </c>
      <c r="C103" s="1858"/>
      <c r="D103" s="1858"/>
      <c r="E103" s="1859"/>
    </row>
    <row r="104" spans="1:5" ht="16.5" customHeight="1">
      <c r="A104" s="1850">
        <v>98</v>
      </c>
      <c r="B104" s="1867" t="s">
        <v>1138</v>
      </c>
      <c r="C104" s="1858"/>
      <c r="D104" s="1858"/>
      <c r="E104" s="1859"/>
    </row>
    <row r="105" spans="1:5" s="10" customFormat="1" ht="24.65" customHeight="1">
      <c r="A105" s="1850">
        <v>99</v>
      </c>
      <c r="B105" s="1860" t="s">
        <v>1139</v>
      </c>
      <c r="C105" s="1861">
        <f>SUM(C95:C104)</f>
        <v>1561349</v>
      </c>
      <c r="D105" s="1861"/>
      <c r="E105" s="1862">
        <f>SUM(E95:E104)</f>
        <v>32948</v>
      </c>
    </row>
    <row r="106" spans="1:5" ht="16.5" customHeight="1">
      <c r="A106" s="1850">
        <v>100</v>
      </c>
      <c r="B106" s="1868" t="s">
        <v>1140</v>
      </c>
      <c r="C106" s="1858"/>
      <c r="D106" s="1858"/>
      <c r="E106" s="1859"/>
    </row>
    <row r="107" spans="1:5" ht="16.5" customHeight="1">
      <c r="A107" s="1850">
        <v>101</v>
      </c>
      <c r="B107" s="1867" t="s">
        <v>1141</v>
      </c>
      <c r="C107" s="1858"/>
      <c r="D107" s="1858"/>
      <c r="E107" s="1859"/>
    </row>
    <row r="108" spans="1:5" ht="16.5" customHeight="1">
      <c r="A108" s="1850">
        <v>102</v>
      </c>
      <c r="B108" s="1868" t="s">
        <v>1142</v>
      </c>
      <c r="C108" s="1858">
        <v>147272</v>
      </c>
      <c r="D108" s="1858"/>
      <c r="E108" s="1859">
        <v>479356</v>
      </c>
    </row>
    <row r="109" spans="1:5" ht="16.5" customHeight="1">
      <c r="A109" s="1850">
        <v>103</v>
      </c>
      <c r="B109" s="1868" t="s">
        <v>1143</v>
      </c>
      <c r="C109" s="1858"/>
      <c r="D109" s="1858"/>
      <c r="E109" s="1859">
        <v>174</v>
      </c>
    </row>
    <row r="110" spans="1:5" ht="16.5" customHeight="1">
      <c r="A110" s="1850">
        <v>104</v>
      </c>
      <c r="B110" s="1867" t="s">
        <v>1144</v>
      </c>
      <c r="C110" s="1858">
        <v>41576</v>
      </c>
      <c r="D110" s="1858"/>
      <c r="E110" s="1859"/>
    </row>
    <row r="111" spans="1:5" ht="16.5" customHeight="1">
      <c r="A111" s="1850">
        <v>105</v>
      </c>
      <c r="B111" s="1868" t="s">
        <v>1145</v>
      </c>
      <c r="C111" s="1858"/>
      <c r="D111" s="1858"/>
      <c r="E111" s="1859">
        <v>71216</v>
      </c>
    </row>
    <row r="112" spans="1:5" ht="16.5" customHeight="1">
      <c r="A112" s="1850">
        <v>106</v>
      </c>
      <c r="B112" s="1868" t="s">
        <v>1146</v>
      </c>
      <c r="C112" s="1858"/>
      <c r="D112" s="1858"/>
      <c r="E112" s="1859">
        <v>33779</v>
      </c>
    </row>
    <row r="113" spans="1:5" ht="16.5" customHeight="1">
      <c r="A113" s="1850">
        <v>107</v>
      </c>
      <c r="B113" s="1867" t="s">
        <v>1147</v>
      </c>
      <c r="C113" s="1858"/>
      <c r="D113" s="1858"/>
      <c r="E113" s="1859"/>
    </row>
    <row r="114" spans="1:5" ht="16.5" customHeight="1">
      <c r="A114" s="1850">
        <v>108</v>
      </c>
      <c r="B114" s="1868" t="s">
        <v>1148</v>
      </c>
      <c r="C114" s="1858">
        <v>1568672</v>
      </c>
      <c r="D114" s="1858"/>
      <c r="E114" s="1859">
        <v>1333330</v>
      </c>
    </row>
    <row r="115" spans="1:5" ht="16.5" customHeight="1">
      <c r="A115" s="1850">
        <v>109</v>
      </c>
      <c r="B115" s="1868" t="s">
        <v>1149</v>
      </c>
      <c r="C115" s="1858">
        <v>1348775</v>
      </c>
      <c r="D115" s="1858"/>
      <c r="E115" s="1859">
        <v>1110936</v>
      </c>
    </row>
    <row r="116" spans="1:5" s="10" customFormat="1" ht="24.65" customHeight="1">
      <c r="A116" s="1850">
        <v>110</v>
      </c>
      <c r="B116" s="1860" t="s">
        <v>1150</v>
      </c>
      <c r="C116" s="1861">
        <f>SUM(C106:C115)-C115</f>
        <v>1757520</v>
      </c>
      <c r="D116" s="1861">
        <f>SUM(D106:D115)-D115</f>
        <v>0</v>
      </c>
      <c r="E116" s="1862">
        <f>SUM(E106:E115)-E115</f>
        <v>1917855</v>
      </c>
    </row>
    <row r="117" spans="1:5" ht="16.5" customHeight="1">
      <c r="A117" s="1850">
        <v>111</v>
      </c>
      <c r="B117" s="1857" t="s">
        <v>1151</v>
      </c>
      <c r="C117" s="1858">
        <v>504243</v>
      </c>
      <c r="D117" s="1858"/>
      <c r="E117" s="1859">
        <v>602933</v>
      </c>
    </row>
    <row r="118" spans="1:5" ht="16.5" customHeight="1">
      <c r="A118" s="1850">
        <v>112</v>
      </c>
      <c r="B118" s="1857" t="s">
        <v>1152</v>
      </c>
      <c r="C118" s="1858"/>
      <c r="D118" s="1858"/>
      <c r="E118" s="1859"/>
    </row>
    <row r="119" spans="1:5" ht="16.5" customHeight="1">
      <c r="A119" s="1850">
        <v>113</v>
      </c>
      <c r="B119" s="1857" t="s">
        <v>1153</v>
      </c>
      <c r="C119" s="1858">
        <v>4605</v>
      </c>
      <c r="D119" s="1858"/>
      <c r="E119" s="1859">
        <v>3779</v>
      </c>
    </row>
    <row r="120" spans="1:5" ht="16.5" customHeight="1">
      <c r="A120" s="1850">
        <v>114</v>
      </c>
      <c r="B120" s="1857" t="s">
        <v>1154</v>
      </c>
      <c r="C120" s="1858"/>
      <c r="D120" s="1858"/>
      <c r="E120" s="1859"/>
    </row>
    <row r="121" spans="1:5" ht="16.5" customHeight="1">
      <c r="A121" s="1850">
        <v>115</v>
      </c>
      <c r="B121" s="1857" t="s">
        <v>1155</v>
      </c>
      <c r="C121" s="1858">
        <v>163169</v>
      </c>
      <c r="D121" s="1858"/>
      <c r="E121" s="1859">
        <v>157787</v>
      </c>
    </row>
    <row r="122" spans="1:5" ht="16.5" customHeight="1">
      <c r="A122" s="1850">
        <v>116</v>
      </c>
      <c r="B122" s="1857" t="s">
        <v>1156</v>
      </c>
      <c r="C122" s="1858"/>
      <c r="D122" s="1858"/>
      <c r="E122" s="1859"/>
    </row>
    <row r="123" spans="1:5" ht="16.5" customHeight="1">
      <c r="A123" s="1850">
        <v>117</v>
      </c>
      <c r="B123" s="1857" t="s">
        <v>1157</v>
      </c>
      <c r="C123" s="1858"/>
      <c r="D123" s="1858"/>
      <c r="E123" s="1859"/>
    </row>
    <row r="124" spans="1:5" ht="16.5" customHeight="1">
      <c r="A124" s="1850">
        <v>118</v>
      </c>
      <c r="B124" s="1857" t="s">
        <v>1158</v>
      </c>
      <c r="C124" s="1858">
        <v>61284</v>
      </c>
      <c r="D124" s="1858"/>
      <c r="E124" s="1859">
        <v>80409</v>
      </c>
    </row>
    <row r="125" spans="1:5" ht="16.5" customHeight="1">
      <c r="A125" s="1850">
        <v>119</v>
      </c>
      <c r="B125" s="1857" t="s">
        <v>1159</v>
      </c>
      <c r="C125" s="1858"/>
      <c r="D125" s="1858"/>
      <c r="E125" s="1859"/>
    </row>
    <row r="126" spans="1:5" ht="16.5" customHeight="1">
      <c r="A126" s="1850">
        <v>120</v>
      </c>
      <c r="B126" s="1857" t="s">
        <v>1160</v>
      </c>
      <c r="C126" s="1858"/>
      <c r="D126" s="1858"/>
      <c r="E126" s="1859"/>
    </row>
    <row r="127" spans="1:5" s="10" customFormat="1" ht="24.65" customHeight="1">
      <c r="A127" s="1850">
        <v>121</v>
      </c>
      <c r="B127" s="1860" t="s">
        <v>1161</v>
      </c>
      <c r="C127" s="1861">
        <f>SUM(C117:C126)</f>
        <v>733301</v>
      </c>
      <c r="D127" s="1861">
        <f>SUM(D117:D126)</f>
        <v>0</v>
      </c>
      <c r="E127" s="1862">
        <f>SUM(E117:E126)</f>
        <v>844908</v>
      </c>
    </row>
    <row r="128" spans="1:5" s="10" customFormat="1" ht="24.65" customHeight="1" thickBot="1">
      <c r="A128" s="1850">
        <v>122</v>
      </c>
      <c r="B128" s="1866" t="s">
        <v>1162</v>
      </c>
      <c r="C128" s="1864">
        <f>SUM(C105,C116,C127)</f>
        <v>4052170</v>
      </c>
      <c r="D128" s="1864">
        <f>SUM(D105,D116,D127)</f>
        <v>0</v>
      </c>
      <c r="E128" s="1865">
        <f>SUM(E105,E116,E127)</f>
        <v>2795711</v>
      </c>
    </row>
    <row r="129" spans="1:5" s="10" customFormat="1" ht="24.65" customHeight="1" thickTop="1" thickBot="1">
      <c r="A129" s="1850">
        <v>123</v>
      </c>
      <c r="B129" s="1877" t="s">
        <v>1163</v>
      </c>
      <c r="C129" s="1878"/>
      <c r="D129" s="1878"/>
      <c r="E129" s="1879"/>
    </row>
    <row r="130" spans="1:5" ht="16.5" customHeight="1" thickTop="1">
      <c r="A130" s="1850">
        <v>124</v>
      </c>
      <c r="B130" s="1857" t="s">
        <v>1164</v>
      </c>
      <c r="C130" s="1858">
        <v>6901939</v>
      </c>
      <c r="D130" s="1858">
        <v>4139</v>
      </c>
      <c r="E130" s="1859">
        <v>6549042</v>
      </c>
    </row>
    <row r="131" spans="1:5" ht="16.5" customHeight="1">
      <c r="A131" s="1850">
        <v>125</v>
      </c>
      <c r="B131" s="1857" t="s">
        <v>1165</v>
      </c>
      <c r="C131" s="1858">
        <v>913731</v>
      </c>
      <c r="D131" s="1858"/>
      <c r="E131" s="1859">
        <v>828895</v>
      </c>
    </row>
    <row r="132" spans="1:5" ht="16.5" customHeight="1">
      <c r="A132" s="1850">
        <v>126</v>
      </c>
      <c r="B132" s="1857" t="s">
        <v>1166</v>
      </c>
      <c r="C132" s="1858">
        <v>55593563</v>
      </c>
      <c r="D132" s="1858">
        <v>207850</v>
      </c>
      <c r="E132" s="1859">
        <v>60040782</v>
      </c>
    </row>
    <row r="133" spans="1:5" s="10" customFormat="1" ht="24.65" customHeight="1" thickBot="1">
      <c r="A133" s="1850">
        <v>127</v>
      </c>
      <c r="B133" s="1866" t="s">
        <v>1167</v>
      </c>
      <c r="C133" s="1864">
        <f>SUM(C130:C132)</f>
        <v>63409233</v>
      </c>
      <c r="D133" s="1864">
        <f>SUM(D130:D132)</f>
        <v>211989</v>
      </c>
      <c r="E133" s="1865">
        <f>SUM(E130:E132)</f>
        <v>67418719</v>
      </c>
    </row>
    <row r="134" spans="1:5" s="10" customFormat="1" ht="24.65" customHeight="1" thickTop="1" thickBot="1">
      <c r="A134" s="1850">
        <v>128</v>
      </c>
      <c r="B134" s="1872" t="s">
        <v>1168</v>
      </c>
      <c r="C134" s="1873">
        <f>SUM(C94,C128,C129,C133)</f>
        <v>141167938</v>
      </c>
      <c r="D134" s="1873">
        <f>SUM(D94,D128,D129,D133)</f>
        <v>0</v>
      </c>
      <c r="E134" s="1874">
        <f>SUM(E94,E128,E129,E133)</f>
        <v>141707667</v>
      </c>
    </row>
    <row r="135" spans="1:5">
      <c r="B135" s="8" t="s">
        <v>1169</v>
      </c>
      <c r="C135" s="9"/>
      <c r="D135" s="9"/>
      <c r="E135" s="9"/>
    </row>
    <row r="136" spans="1:5">
      <c r="C136" s="9"/>
      <c r="D136" s="9"/>
      <c r="E136" s="9"/>
    </row>
  </sheetData>
  <mergeCells count="4">
    <mergeCell ref="B1:C1"/>
    <mergeCell ref="B2:E2"/>
    <mergeCell ref="B3:E3"/>
    <mergeCell ref="D4:E4"/>
  </mergeCells>
  <printOptions horizontalCentered="1"/>
  <pageMargins left="0.19685039370078741" right="0.19685039370078741" top="0.59055118110236227" bottom="0.59055118110236227" header="0.51181102362204722" footer="0.51181102362204722"/>
  <pageSetup paperSize="9" scale="74" fitToHeight="0" orientation="portrait" r:id="rId1"/>
  <headerFooter>
    <oddFooter>&amp;C- &amp;P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7"/>
  <sheetViews>
    <sheetView view="pageBreakPreview" topLeftCell="E40" zoomScaleNormal="100" workbookViewId="0">
      <selection activeCell="A4" sqref="A4:L46"/>
    </sheetView>
  </sheetViews>
  <sheetFormatPr defaultColWidth="9.26953125" defaultRowHeight="15.5"/>
  <cols>
    <col min="1" max="1" width="3.7265625" style="111" customWidth="1"/>
    <col min="2" max="2" width="5.7265625" style="112" customWidth="1"/>
    <col min="3" max="5" width="5.7265625" style="113" customWidth="1"/>
    <col min="6" max="6" width="59.7265625" style="41" customWidth="1"/>
    <col min="7" max="9" width="13.7265625" style="41" customWidth="1"/>
    <col min="10" max="11" width="15.7265625" style="41" customWidth="1"/>
    <col min="12" max="12" width="15.7265625" style="114" customWidth="1"/>
    <col min="13" max="16384" width="9.26953125" style="41"/>
  </cols>
  <sheetData>
    <row r="1" spans="1:12">
      <c r="B1" s="1893" t="s">
        <v>1187</v>
      </c>
      <c r="C1" s="1893"/>
      <c r="D1" s="1893"/>
      <c r="E1" s="1893"/>
      <c r="F1" s="1893"/>
      <c r="H1" s="115"/>
    </row>
    <row r="2" spans="1:12" s="116" customFormat="1" ht="24.75" customHeight="1">
      <c r="A2" s="111"/>
      <c r="B2" s="1895" t="s">
        <v>70</v>
      </c>
      <c r="C2" s="1895"/>
      <c r="D2" s="1895"/>
      <c r="E2" s="1895"/>
      <c r="F2" s="1895"/>
      <c r="G2" s="1895"/>
      <c r="H2" s="1895"/>
      <c r="I2" s="1895"/>
      <c r="J2" s="1895"/>
      <c r="K2" s="1895"/>
      <c r="L2" s="1895"/>
    </row>
    <row r="3" spans="1:12" s="116" customFormat="1" ht="24.75" customHeight="1">
      <c r="A3" s="111"/>
      <c r="B3" s="1895" t="s">
        <v>153</v>
      </c>
      <c r="C3" s="1895"/>
      <c r="D3" s="1895"/>
      <c r="E3" s="1895"/>
      <c r="F3" s="1895"/>
      <c r="G3" s="1895"/>
      <c r="H3" s="1895"/>
      <c r="I3" s="1895"/>
      <c r="J3" s="1895"/>
      <c r="K3" s="1895"/>
      <c r="L3" s="1895"/>
    </row>
    <row r="4" spans="1:12">
      <c r="C4" s="117"/>
      <c r="E4" s="117"/>
      <c r="F4" s="117"/>
      <c r="G4" s="117"/>
      <c r="H4" s="115"/>
      <c r="J4" s="118"/>
      <c r="K4" s="118"/>
      <c r="L4" s="118" t="s">
        <v>0</v>
      </c>
    </row>
    <row r="5" spans="1:12" s="113" customFormat="1" ht="16" thickBot="1">
      <c r="A5" s="111"/>
      <c r="B5" s="112" t="s">
        <v>1</v>
      </c>
      <c r="C5" s="113" t="s">
        <v>2</v>
      </c>
      <c r="D5" s="113" t="s">
        <v>72</v>
      </c>
      <c r="E5" s="113" t="s">
        <v>73</v>
      </c>
      <c r="F5" s="113" t="s">
        <v>74</v>
      </c>
      <c r="G5" s="113" t="s">
        <v>75</v>
      </c>
      <c r="H5" s="113" t="s">
        <v>76</v>
      </c>
      <c r="I5" s="119" t="s">
        <v>77</v>
      </c>
      <c r="J5" s="119" t="s">
        <v>78</v>
      </c>
      <c r="K5" s="113" t="s">
        <v>79</v>
      </c>
      <c r="L5" s="120" t="s">
        <v>80</v>
      </c>
    </row>
    <row r="6" spans="1:12" s="125" customFormat="1" ht="79.5" customHeight="1" thickBot="1">
      <c r="A6" s="111"/>
      <c r="B6" s="121" t="s">
        <v>154</v>
      </c>
      <c r="C6" s="122" t="s">
        <v>83</v>
      </c>
      <c r="D6" s="35" t="s">
        <v>84</v>
      </c>
      <c r="E6" s="35" t="s">
        <v>155</v>
      </c>
      <c r="F6" s="123" t="s">
        <v>3</v>
      </c>
      <c r="G6" s="38" t="s">
        <v>86</v>
      </c>
      <c r="H6" s="38" t="s">
        <v>87</v>
      </c>
      <c r="I6" s="124" t="s">
        <v>88</v>
      </c>
      <c r="J6" s="40" t="s">
        <v>89</v>
      </c>
      <c r="K6" s="36" t="s">
        <v>764</v>
      </c>
      <c r="L6" s="1354" t="s">
        <v>1020</v>
      </c>
    </row>
    <row r="7" spans="1:12" s="132" customFormat="1" ht="30" customHeight="1">
      <c r="A7" s="111">
        <v>1</v>
      </c>
      <c r="B7" s="126" t="s">
        <v>103</v>
      </c>
      <c r="C7" s="127"/>
      <c r="D7" s="128"/>
      <c r="E7" s="127"/>
      <c r="F7" s="129" t="s">
        <v>156</v>
      </c>
      <c r="G7" s="130">
        <f t="shared" ref="G7:L7" si="0">SUM(G8:G9)</f>
        <v>10261489</v>
      </c>
      <c r="H7" s="130">
        <f t="shared" si="0"/>
        <v>11771027</v>
      </c>
      <c r="I7" s="130">
        <f t="shared" si="0"/>
        <v>12380731</v>
      </c>
      <c r="J7" s="131">
        <f t="shared" si="0"/>
        <v>13111714</v>
      </c>
      <c r="K7" s="130">
        <f t="shared" si="0"/>
        <v>15811193</v>
      </c>
      <c r="L7" s="1355">
        <f t="shared" si="0"/>
        <v>13552260</v>
      </c>
    </row>
    <row r="8" spans="1:12" ht="25.5" customHeight="1">
      <c r="A8" s="111">
        <v>2</v>
      </c>
      <c r="B8" s="133"/>
      <c r="D8" s="113">
        <v>1</v>
      </c>
      <c r="F8" s="41" t="s">
        <v>21</v>
      </c>
      <c r="G8" s="41">
        <v>9939303</v>
      </c>
      <c r="H8" s="41">
        <v>11485514</v>
      </c>
      <c r="I8" s="41">
        <v>11919140</v>
      </c>
      <c r="J8" s="134">
        <v>12737090</v>
      </c>
      <c r="K8" s="41">
        <v>15121372</v>
      </c>
      <c r="L8" s="145">
        <f>'4.Inki'!K233+'4.Inki'!L233+'4.Inki'!M233+'4.Inki'!N233+'4.Inki'!O233</f>
        <v>13083406</v>
      </c>
    </row>
    <row r="9" spans="1:12" ht="25.5" customHeight="1">
      <c r="A9" s="111">
        <v>3</v>
      </c>
      <c r="B9" s="133"/>
      <c r="D9" s="113">
        <v>2</v>
      </c>
      <c r="F9" s="41" t="s">
        <v>157</v>
      </c>
      <c r="G9" s="41">
        <f t="shared" ref="G9:L9" si="1">SUM(G10:G12)</f>
        <v>322186</v>
      </c>
      <c r="H9" s="41">
        <f t="shared" si="1"/>
        <v>285513</v>
      </c>
      <c r="I9" s="41">
        <f t="shared" si="1"/>
        <v>461591</v>
      </c>
      <c r="J9" s="134">
        <f t="shared" si="1"/>
        <v>374624</v>
      </c>
      <c r="K9" s="114">
        <f t="shared" si="1"/>
        <v>689821</v>
      </c>
      <c r="L9" s="145">
        <f t="shared" si="1"/>
        <v>468854</v>
      </c>
    </row>
    <row r="10" spans="1:12">
      <c r="A10" s="111">
        <v>4</v>
      </c>
      <c r="B10" s="133"/>
      <c r="E10" s="113">
        <v>7</v>
      </c>
      <c r="F10" s="1356" t="s">
        <v>36</v>
      </c>
      <c r="G10" s="41">
        <v>321576</v>
      </c>
      <c r="H10" s="41">
        <v>285513</v>
      </c>
      <c r="I10" s="41">
        <v>460547</v>
      </c>
      <c r="J10" s="134">
        <v>374624</v>
      </c>
      <c r="K10" s="41">
        <v>687846</v>
      </c>
      <c r="L10" s="145">
        <f>'4.Inki'!P233</f>
        <v>466880</v>
      </c>
    </row>
    <row r="11" spans="1:12">
      <c r="A11" s="111">
        <v>5</v>
      </c>
      <c r="B11" s="133"/>
      <c r="E11" s="113">
        <v>8</v>
      </c>
      <c r="F11" s="1356" t="s">
        <v>158</v>
      </c>
      <c r="I11" s="41">
        <v>20</v>
      </c>
      <c r="J11" s="134"/>
      <c r="K11" s="41">
        <v>1975</v>
      </c>
      <c r="L11" s="145">
        <f>'4.Inki'!R233</f>
        <v>1974</v>
      </c>
    </row>
    <row r="12" spans="1:12">
      <c r="A12" s="111">
        <v>6</v>
      </c>
      <c r="B12" s="133"/>
      <c r="E12" s="113">
        <v>9</v>
      </c>
      <c r="F12" s="1356" t="s">
        <v>159</v>
      </c>
      <c r="G12" s="41">
        <v>610</v>
      </c>
      <c r="I12" s="41">
        <v>1024</v>
      </c>
      <c r="J12" s="134"/>
      <c r="L12" s="145"/>
    </row>
    <row r="13" spans="1:12" s="132" customFormat="1" ht="30" customHeight="1">
      <c r="A13" s="111">
        <v>7</v>
      </c>
      <c r="B13" s="135" t="s">
        <v>160</v>
      </c>
      <c r="C13" s="136"/>
      <c r="D13" s="137"/>
      <c r="E13" s="137"/>
      <c r="F13" s="138" t="s">
        <v>146</v>
      </c>
      <c r="G13" s="138">
        <f t="shared" ref="G13:L13" si="2">SUM(G14:G15,G30,G31)</f>
        <v>32247135</v>
      </c>
      <c r="H13" s="138">
        <f t="shared" si="2"/>
        <v>37398577</v>
      </c>
      <c r="I13" s="138">
        <f t="shared" si="2"/>
        <v>39673417</v>
      </c>
      <c r="J13" s="139">
        <f t="shared" si="2"/>
        <v>29978320</v>
      </c>
      <c r="K13" s="138">
        <f t="shared" si="2"/>
        <v>31094058</v>
      </c>
      <c r="L13" s="1357">
        <f t="shared" si="2"/>
        <v>20194264</v>
      </c>
    </row>
    <row r="14" spans="1:12" s="132" customFormat="1" ht="25.5" customHeight="1">
      <c r="A14" s="111">
        <v>8</v>
      </c>
      <c r="B14" s="133"/>
      <c r="C14" s="117"/>
      <c r="D14" s="113">
        <v>1</v>
      </c>
      <c r="E14" s="117"/>
      <c r="F14" s="132" t="s">
        <v>21</v>
      </c>
      <c r="G14" s="132">
        <v>8933964</v>
      </c>
      <c r="H14" s="132">
        <v>12306536</v>
      </c>
      <c r="I14" s="132">
        <v>13413343</v>
      </c>
      <c r="J14" s="141">
        <v>14604135</v>
      </c>
      <c r="K14" s="132">
        <v>16540973</v>
      </c>
      <c r="L14" s="1358">
        <f>'6.Önk.műk.'!I858+'9.Projekt'!I83+'9.Projekt'!J83+'9.Projekt'!K83+'9.Projekt'!L83+'10.MVP és hazai'!I39+'10.MVP és hazai'!J39+'10.MVP és hazai'!K39+'10.MVP és hazai'!L39+'11.EKF'!I174+'11.EKF'!J174+'11.EKF'!K174+'11.EKF'!L174+'7.Beruh.'!I552+'8.Felúj.'!I221</f>
        <v>13385531</v>
      </c>
    </row>
    <row r="15" spans="1:12" ht="25.5" customHeight="1">
      <c r="A15" s="111">
        <v>9</v>
      </c>
      <c r="B15" s="133"/>
      <c r="C15" s="117"/>
      <c r="D15" s="117"/>
      <c r="E15" s="117"/>
      <c r="F15" s="132" t="s">
        <v>66</v>
      </c>
      <c r="G15" s="132">
        <f t="shared" ref="G15:L15" si="3">SUM(G16,G25)</f>
        <v>0</v>
      </c>
      <c r="H15" s="132">
        <f t="shared" si="3"/>
        <v>516363</v>
      </c>
      <c r="I15" s="132">
        <f t="shared" si="3"/>
        <v>0</v>
      </c>
      <c r="J15" s="141">
        <f t="shared" si="3"/>
        <v>1445988</v>
      </c>
      <c r="K15" s="132">
        <f t="shared" si="3"/>
        <v>82519</v>
      </c>
      <c r="L15" s="1358">
        <f t="shared" si="3"/>
        <v>0</v>
      </c>
    </row>
    <row r="16" spans="1:12" s="114" customFormat="1" ht="25.5" customHeight="1">
      <c r="A16" s="111">
        <v>10</v>
      </c>
      <c r="B16" s="143"/>
      <c r="C16" s="120"/>
      <c r="D16" s="113">
        <v>1</v>
      </c>
      <c r="E16" s="113">
        <v>6</v>
      </c>
      <c r="F16" s="1359" t="s">
        <v>161</v>
      </c>
      <c r="G16" s="114">
        <f t="shared" ref="G16:L16" si="4">SUM(G17:G24)</f>
        <v>0</v>
      </c>
      <c r="H16" s="114">
        <f t="shared" si="4"/>
        <v>503367</v>
      </c>
      <c r="I16" s="114">
        <f t="shared" si="4"/>
        <v>0</v>
      </c>
      <c r="J16" s="144">
        <f t="shared" si="4"/>
        <v>871488</v>
      </c>
      <c r="K16" s="114">
        <f t="shared" si="4"/>
        <v>81519</v>
      </c>
      <c r="L16" s="145">
        <f t="shared" si="4"/>
        <v>0</v>
      </c>
    </row>
    <row r="17" spans="1:12">
      <c r="A17" s="111">
        <v>11</v>
      </c>
      <c r="B17" s="133"/>
      <c r="F17" s="1360" t="s">
        <v>162</v>
      </c>
      <c r="H17" s="41">
        <v>140721</v>
      </c>
      <c r="J17" s="134">
        <v>218415</v>
      </c>
      <c r="K17" s="41">
        <v>41107</v>
      </c>
      <c r="L17" s="145"/>
    </row>
    <row r="18" spans="1:12">
      <c r="A18" s="111">
        <v>12</v>
      </c>
      <c r="B18" s="133"/>
      <c r="F18" s="1360" t="s">
        <v>163</v>
      </c>
      <c r="H18" s="41">
        <v>24000</v>
      </c>
      <c r="J18" s="134">
        <v>36000</v>
      </c>
      <c r="K18" s="41">
        <v>0</v>
      </c>
      <c r="L18" s="145"/>
    </row>
    <row r="19" spans="1:12">
      <c r="A19" s="111">
        <v>13</v>
      </c>
      <c r="B19" s="133"/>
      <c r="F19" s="1360" t="s">
        <v>164</v>
      </c>
      <c r="H19" s="41">
        <v>75492</v>
      </c>
      <c r="J19" s="134">
        <v>15128</v>
      </c>
      <c r="K19" s="41">
        <v>0</v>
      </c>
      <c r="L19" s="145"/>
    </row>
    <row r="20" spans="1:12">
      <c r="A20" s="111">
        <v>14</v>
      </c>
      <c r="B20" s="133"/>
      <c r="F20" s="1360" t="s">
        <v>165</v>
      </c>
      <c r="H20" s="41">
        <v>150000</v>
      </c>
      <c r="J20" s="134">
        <v>150000</v>
      </c>
      <c r="K20" s="41">
        <v>0</v>
      </c>
      <c r="L20" s="145"/>
    </row>
    <row r="21" spans="1:12">
      <c r="A21" s="111">
        <v>15</v>
      </c>
      <c r="B21" s="133"/>
      <c r="F21" s="1360" t="s">
        <v>166</v>
      </c>
      <c r="H21" s="41">
        <v>101168</v>
      </c>
      <c r="J21" s="134">
        <v>418802</v>
      </c>
      <c r="K21" s="41">
        <v>0</v>
      </c>
      <c r="L21" s="145"/>
    </row>
    <row r="22" spans="1:12">
      <c r="A22" s="111">
        <v>16</v>
      </c>
      <c r="B22" s="133"/>
      <c r="F22" s="1360" t="s">
        <v>167</v>
      </c>
      <c r="H22" s="41">
        <v>11736</v>
      </c>
      <c r="J22" s="134">
        <v>15293</v>
      </c>
      <c r="K22" s="41">
        <v>21912</v>
      </c>
      <c r="L22" s="145"/>
    </row>
    <row r="23" spans="1:12">
      <c r="A23" s="111">
        <v>17</v>
      </c>
      <c r="B23" s="133"/>
      <c r="F23" s="1360" t="s">
        <v>168</v>
      </c>
      <c r="H23" s="41">
        <v>250</v>
      </c>
      <c r="J23" s="134">
        <v>7850</v>
      </c>
      <c r="K23" s="41">
        <v>8500</v>
      </c>
      <c r="L23" s="145"/>
    </row>
    <row r="24" spans="1:12">
      <c r="A24" s="111">
        <v>18</v>
      </c>
      <c r="B24" s="133"/>
      <c r="F24" s="1360" t="s">
        <v>169</v>
      </c>
      <c r="J24" s="134">
        <v>10000</v>
      </c>
      <c r="K24" s="41">
        <v>10000</v>
      </c>
      <c r="L24" s="145"/>
    </row>
    <row r="25" spans="1:12" s="114" customFormat="1" ht="25.5" customHeight="1">
      <c r="A25" s="111">
        <v>19</v>
      </c>
      <c r="B25" s="143"/>
      <c r="C25" s="120"/>
      <c r="D25" s="113">
        <v>2</v>
      </c>
      <c r="E25" s="113">
        <v>10</v>
      </c>
      <c r="F25" s="1359" t="s">
        <v>170</v>
      </c>
      <c r="G25" s="114">
        <f>SUM(G26:G29)</f>
        <v>0</v>
      </c>
      <c r="H25" s="114">
        <f>SUM(H26:H29)</f>
        <v>12996</v>
      </c>
      <c r="J25" s="144">
        <f>SUM(J26:J29)</f>
        <v>574500</v>
      </c>
      <c r="K25" s="114">
        <f>SUM(K26:K29)</f>
        <v>1000</v>
      </c>
      <c r="L25" s="145">
        <f>SUM(L26:L29)</f>
        <v>0</v>
      </c>
    </row>
    <row r="26" spans="1:12">
      <c r="A26" s="111">
        <v>20</v>
      </c>
      <c r="B26" s="133"/>
      <c r="D26" s="120"/>
      <c r="F26" s="1360" t="s">
        <v>171</v>
      </c>
      <c r="J26" s="134"/>
      <c r="L26" s="145"/>
    </row>
    <row r="27" spans="1:12">
      <c r="A27" s="111">
        <v>21</v>
      </c>
      <c r="B27" s="133"/>
      <c r="D27" s="120"/>
      <c r="F27" s="1361" t="s">
        <v>172</v>
      </c>
      <c r="H27" s="116">
        <v>5315</v>
      </c>
      <c r="I27" s="116"/>
      <c r="J27" s="146">
        <v>6000</v>
      </c>
      <c r="K27" s="116">
        <v>1000</v>
      </c>
      <c r="L27" s="145"/>
    </row>
    <row r="28" spans="1:12">
      <c r="A28" s="111">
        <v>22</v>
      </c>
      <c r="B28" s="133"/>
      <c r="D28" s="120"/>
      <c r="F28" s="1361" t="s">
        <v>173</v>
      </c>
      <c r="H28" s="116"/>
      <c r="I28" s="116"/>
      <c r="J28" s="146">
        <v>568500</v>
      </c>
      <c r="K28" s="116">
        <v>0</v>
      </c>
      <c r="L28" s="145"/>
    </row>
    <row r="29" spans="1:12">
      <c r="A29" s="111">
        <v>23</v>
      </c>
      <c r="B29" s="133"/>
      <c r="D29" s="120"/>
      <c r="F29" s="1360" t="s">
        <v>174</v>
      </c>
      <c r="H29" s="41">
        <v>7681</v>
      </c>
      <c r="J29" s="134"/>
      <c r="L29" s="145"/>
    </row>
    <row r="30" spans="1:12" s="116" customFormat="1" ht="25.5" customHeight="1">
      <c r="A30" s="111">
        <v>24</v>
      </c>
      <c r="B30" s="147"/>
      <c r="C30" s="1345"/>
      <c r="D30" s="1345"/>
      <c r="E30" s="1345"/>
      <c r="F30" s="148" t="s">
        <v>67</v>
      </c>
      <c r="G30" s="148"/>
      <c r="H30" s="148">
        <v>150000</v>
      </c>
      <c r="I30" s="148"/>
      <c r="J30" s="149">
        <v>150000</v>
      </c>
      <c r="K30" s="148">
        <v>0</v>
      </c>
      <c r="L30" s="1362"/>
    </row>
    <row r="31" spans="1:12" s="132" customFormat="1" ht="25.5" customHeight="1">
      <c r="A31" s="111">
        <v>25</v>
      </c>
      <c r="B31" s="133"/>
      <c r="C31" s="117"/>
      <c r="D31" s="113">
        <v>2</v>
      </c>
      <c r="E31" s="117"/>
      <c r="F31" s="132" t="s">
        <v>157</v>
      </c>
      <c r="G31" s="132">
        <f t="shared" ref="G31:L31" si="5">SUM(G32:G34)</f>
        <v>23313171</v>
      </c>
      <c r="H31" s="132">
        <f t="shared" si="5"/>
        <v>24425678</v>
      </c>
      <c r="I31" s="132">
        <f t="shared" si="5"/>
        <v>26260074</v>
      </c>
      <c r="J31" s="141">
        <f t="shared" si="5"/>
        <v>13778197</v>
      </c>
      <c r="K31" s="132">
        <f t="shared" si="5"/>
        <v>14470566</v>
      </c>
      <c r="L31" s="1358">
        <f t="shared" si="5"/>
        <v>6808733</v>
      </c>
    </row>
    <row r="32" spans="1:12">
      <c r="A32" s="111">
        <v>26</v>
      </c>
      <c r="B32" s="133"/>
      <c r="C32" s="117"/>
      <c r="E32" s="113">
        <v>7</v>
      </c>
      <c r="F32" s="1356" t="s">
        <v>36</v>
      </c>
      <c r="G32" s="41">
        <v>22857882</v>
      </c>
      <c r="H32" s="41">
        <v>23919413</v>
      </c>
      <c r="I32" s="41">
        <v>23451890</v>
      </c>
      <c r="J32" s="134">
        <v>11055791</v>
      </c>
      <c r="K32" s="41">
        <v>12672442</v>
      </c>
      <c r="L32" s="145">
        <f>'9.Projekt'!M83+'10.MVP és hazai'!M39+'11.EKF'!M174+'7.Beruh.'!J552</f>
        <v>5665878</v>
      </c>
    </row>
    <row r="33" spans="1:12">
      <c r="A33" s="111">
        <v>27</v>
      </c>
      <c r="B33" s="133"/>
      <c r="C33" s="117"/>
      <c r="E33" s="113">
        <v>8</v>
      </c>
      <c r="F33" s="1356" t="s">
        <v>158</v>
      </c>
      <c r="G33" s="41">
        <v>379909</v>
      </c>
      <c r="H33" s="41">
        <v>403061</v>
      </c>
      <c r="I33" s="41">
        <v>2531852</v>
      </c>
      <c r="J33" s="134">
        <v>1837575</v>
      </c>
      <c r="K33" s="41">
        <v>632579</v>
      </c>
      <c r="L33" s="145">
        <f>'9.Projekt'!N83+'11.EKF'!O174+'7.Beruh.'!K552</f>
        <v>632216</v>
      </c>
    </row>
    <row r="34" spans="1:12">
      <c r="A34" s="111">
        <v>28</v>
      </c>
      <c r="B34" s="133"/>
      <c r="C34" s="117"/>
      <c r="E34" s="113">
        <v>9</v>
      </c>
      <c r="F34" s="1356" t="s">
        <v>159</v>
      </c>
      <c r="G34" s="41">
        <v>75380</v>
      </c>
      <c r="H34" s="41">
        <v>103204</v>
      </c>
      <c r="I34" s="41">
        <v>276332</v>
      </c>
      <c r="J34" s="134">
        <f>884831</f>
        <v>884831</v>
      </c>
      <c r="K34" s="41">
        <v>1165545</v>
      </c>
      <c r="L34" s="145">
        <f>'11.EKF'!N174+'8.Felúj.'!J221</f>
        <v>510639</v>
      </c>
    </row>
    <row r="35" spans="1:12" s="132" customFormat="1" ht="30" customHeight="1">
      <c r="A35" s="111">
        <v>29</v>
      </c>
      <c r="B35" s="135" t="s">
        <v>160</v>
      </c>
      <c r="C35" s="136"/>
      <c r="D35" s="137"/>
      <c r="E35" s="136"/>
      <c r="F35" s="138" t="s">
        <v>175</v>
      </c>
      <c r="G35" s="138">
        <f t="shared" ref="G35:L35" si="6">SUM(G36:G37)</f>
        <v>0</v>
      </c>
      <c r="H35" s="138">
        <f t="shared" si="6"/>
        <v>0</v>
      </c>
      <c r="I35" s="138">
        <f t="shared" si="6"/>
        <v>0</v>
      </c>
      <c r="J35" s="139">
        <f t="shared" si="6"/>
        <v>0</v>
      </c>
      <c r="K35" s="140">
        <f t="shared" si="6"/>
        <v>0</v>
      </c>
      <c r="L35" s="1357">
        <f t="shared" si="6"/>
        <v>0</v>
      </c>
    </row>
    <row r="36" spans="1:12" ht="24" customHeight="1">
      <c r="A36" s="111">
        <v>30</v>
      </c>
      <c r="B36" s="133"/>
      <c r="D36" s="113">
        <v>1</v>
      </c>
      <c r="F36" s="1" t="s">
        <v>21</v>
      </c>
      <c r="J36" s="134"/>
      <c r="L36" s="145"/>
    </row>
    <row r="37" spans="1:12" ht="24" customHeight="1" thickBot="1">
      <c r="A37" s="111">
        <v>31</v>
      </c>
      <c r="B37" s="133"/>
      <c r="D37" s="113">
        <v>2</v>
      </c>
      <c r="F37" s="1363" t="s">
        <v>157</v>
      </c>
      <c r="J37" s="134"/>
      <c r="L37" s="145"/>
    </row>
    <row r="38" spans="1:12" s="148" customFormat="1" ht="39.75" customHeight="1" thickBot="1">
      <c r="A38" s="111">
        <v>32</v>
      </c>
      <c r="B38" s="150"/>
      <c r="C38" s="151"/>
      <c r="D38" s="152"/>
      <c r="E38" s="151"/>
      <c r="F38" s="153" t="s">
        <v>176</v>
      </c>
      <c r="G38" s="153">
        <f t="shared" ref="G38:L38" si="7">SUM(G7,G13,G35)</f>
        <v>42508624</v>
      </c>
      <c r="H38" s="153">
        <f t="shared" si="7"/>
        <v>49169604</v>
      </c>
      <c r="I38" s="153">
        <f t="shared" si="7"/>
        <v>52054148</v>
      </c>
      <c r="J38" s="154">
        <f t="shared" si="7"/>
        <v>43090034</v>
      </c>
      <c r="K38" s="153">
        <f t="shared" si="7"/>
        <v>46905251</v>
      </c>
      <c r="L38" s="1364">
        <f t="shared" si="7"/>
        <v>33746524</v>
      </c>
    </row>
    <row r="39" spans="1:12" ht="30" customHeight="1">
      <c r="A39" s="111">
        <v>33</v>
      </c>
      <c r="B39" s="133" t="s">
        <v>160</v>
      </c>
      <c r="F39" s="132" t="s">
        <v>68</v>
      </c>
      <c r="G39" s="132">
        <f>SUM(G44:G45,G40:G41)</f>
        <v>516318</v>
      </c>
      <c r="H39" s="132">
        <f>SUM(H44:H45,H40:H41)</f>
        <v>432995</v>
      </c>
      <c r="I39" s="132">
        <f>SUM(I44:I45,I40:I41)</f>
        <v>636829</v>
      </c>
      <c r="J39" s="141">
        <f>SUM(J44:J45,J40:J41)</f>
        <v>457737</v>
      </c>
      <c r="K39" s="142">
        <f>SUM(K44:K45,K40:K41)+K42</f>
        <v>2527085</v>
      </c>
      <c r="L39" s="1358">
        <f>SUM(L44:L45,L40:L41)+L42</f>
        <v>2304689</v>
      </c>
    </row>
    <row r="40" spans="1:12">
      <c r="A40" s="111">
        <v>34</v>
      </c>
      <c r="B40" s="133"/>
      <c r="D40" s="113">
        <v>1</v>
      </c>
      <c r="F40" s="41" t="s">
        <v>177</v>
      </c>
      <c r="J40" s="134"/>
      <c r="L40" s="145"/>
    </row>
    <row r="41" spans="1:12">
      <c r="A41" s="111">
        <v>35</v>
      </c>
      <c r="B41" s="133"/>
      <c r="E41" s="113">
        <v>11</v>
      </c>
      <c r="F41" s="41" t="s">
        <v>178</v>
      </c>
      <c r="G41" s="41">
        <v>298556</v>
      </c>
      <c r="H41" s="41">
        <v>196121</v>
      </c>
      <c r="I41" s="41">
        <v>354955</v>
      </c>
      <c r="J41" s="134">
        <v>219898</v>
      </c>
      <c r="K41" s="41">
        <v>789246</v>
      </c>
      <c r="L41" s="145">
        <f>566849+1</f>
        <v>566850</v>
      </c>
    </row>
    <row r="42" spans="1:12">
      <c r="A42" s="111">
        <v>36</v>
      </c>
      <c r="B42" s="133"/>
      <c r="E42" s="113">
        <v>13</v>
      </c>
      <c r="F42" s="41" t="s">
        <v>69</v>
      </c>
      <c r="J42" s="134"/>
      <c r="K42" s="41">
        <v>1500000</v>
      </c>
      <c r="L42" s="145">
        <v>1500000</v>
      </c>
    </row>
    <row r="43" spans="1:12">
      <c r="A43" s="111">
        <v>37</v>
      </c>
      <c r="B43" s="133"/>
      <c r="D43" s="113">
        <v>2</v>
      </c>
      <c r="F43" s="41" t="s">
        <v>179</v>
      </c>
      <c r="J43" s="134"/>
      <c r="L43" s="145"/>
    </row>
    <row r="44" spans="1:12">
      <c r="A44" s="111">
        <v>38</v>
      </c>
      <c r="B44" s="133"/>
      <c r="E44" s="113">
        <v>12</v>
      </c>
      <c r="F44" s="1365" t="s">
        <v>180</v>
      </c>
      <c r="G44" s="41">
        <v>217762</v>
      </c>
      <c r="H44" s="41">
        <v>236874</v>
      </c>
      <c r="I44" s="41">
        <v>281874</v>
      </c>
      <c r="J44" s="134">
        <v>237839</v>
      </c>
      <c r="K44" s="41">
        <v>237839</v>
      </c>
      <c r="L44" s="145">
        <v>237839</v>
      </c>
    </row>
    <row r="45" spans="1:12" s="156" customFormat="1" ht="18" customHeight="1" thickBot="1">
      <c r="A45" s="111">
        <v>39</v>
      </c>
      <c r="B45" s="155"/>
      <c r="C45" s="1366"/>
      <c r="D45" s="1366"/>
      <c r="E45" s="1366">
        <v>12</v>
      </c>
      <c r="F45" s="1367" t="s">
        <v>181</v>
      </c>
      <c r="J45" s="157"/>
      <c r="L45" s="1368"/>
    </row>
    <row r="46" spans="1:12" ht="36" customHeight="1" thickBot="1">
      <c r="A46" s="111">
        <v>40</v>
      </c>
      <c r="B46" s="158"/>
      <c r="C46" s="159"/>
      <c r="D46" s="159"/>
      <c r="E46" s="159"/>
      <c r="F46" s="153" t="s">
        <v>182</v>
      </c>
      <c r="G46" s="153">
        <f t="shared" ref="G46:L46" si="8">SUM(G38:G39)</f>
        <v>43024942</v>
      </c>
      <c r="H46" s="153">
        <f t="shared" si="8"/>
        <v>49602599</v>
      </c>
      <c r="I46" s="153">
        <f t="shared" si="8"/>
        <v>52690977</v>
      </c>
      <c r="J46" s="154">
        <f t="shared" si="8"/>
        <v>43547771</v>
      </c>
      <c r="K46" s="153">
        <f>SUM(K38:K39)</f>
        <v>49432336</v>
      </c>
      <c r="L46" s="1364">
        <f t="shared" si="8"/>
        <v>36051213</v>
      </c>
    </row>
    <row r="49" spans="1:12">
      <c r="C49" s="117"/>
      <c r="E49" s="117"/>
      <c r="F49" s="132"/>
      <c r="G49" s="132"/>
      <c r="H49" s="132"/>
      <c r="I49" s="132"/>
    </row>
    <row r="60" spans="1:12" s="132" customFormat="1">
      <c r="A60" s="160"/>
      <c r="B60" s="112"/>
      <c r="C60" s="117"/>
      <c r="D60" s="113"/>
      <c r="E60" s="117"/>
      <c r="L60" s="142"/>
    </row>
    <row r="65" spans="1:12" s="132" customFormat="1">
      <c r="A65" s="160"/>
      <c r="B65" s="112"/>
      <c r="C65" s="117"/>
      <c r="D65" s="113"/>
      <c r="E65" s="117"/>
      <c r="L65" s="142"/>
    </row>
    <row r="67" spans="1:12" s="132" customFormat="1">
      <c r="A67" s="160"/>
      <c r="B67" s="112"/>
      <c r="C67" s="117"/>
      <c r="D67" s="113"/>
      <c r="E67" s="117"/>
      <c r="L67" s="142"/>
    </row>
  </sheetData>
  <mergeCells count="3">
    <mergeCell ref="B1:F1"/>
    <mergeCell ref="B2:L2"/>
    <mergeCell ref="B3:L3"/>
  </mergeCells>
  <printOptions horizontalCentered="1"/>
  <pageMargins left="0.196527777777778" right="0.196527777777778" top="0.59027777777777801" bottom="0.59027777777777801" header="0.511811023622047" footer="0.51180555555555596"/>
  <pageSetup paperSize="9" scale="53" orientation="portrait" verticalDpi="300" r:id="rId1"/>
  <headerFooter>
    <oddFooter>&amp;C-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12"/>
  <sheetViews>
    <sheetView view="pageBreakPreview" topLeftCell="F98" zoomScaleNormal="100" workbookViewId="0">
      <selection activeCell="A4" sqref="A4:R112"/>
    </sheetView>
  </sheetViews>
  <sheetFormatPr defaultColWidth="9.26953125" defaultRowHeight="13"/>
  <cols>
    <col min="1" max="1" width="3.7265625" style="1845" customWidth="1"/>
    <col min="2" max="3" width="5.7265625" customWidth="1"/>
    <col min="4" max="4" width="4.7265625" customWidth="1"/>
    <col min="5" max="5" width="51.7265625" customWidth="1"/>
    <col min="6" max="8" width="10.54296875" customWidth="1"/>
    <col min="9" max="9" width="13.54296875" customWidth="1"/>
    <col min="10" max="10" width="10" customWidth="1"/>
    <col min="11" max="11" width="14" customWidth="1"/>
    <col min="12" max="12" width="11.7265625" customWidth="1"/>
    <col min="13" max="13" width="12.453125" customWidth="1"/>
    <col min="14" max="14" width="14" customWidth="1"/>
    <col min="15" max="16" width="12.7265625" customWidth="1"/>
    <col min="17" max="17" width="10.7265625" customWidth="1"/>
    <col min="18" max="18" width="12.7265625" style="1814" customWidth="1"/>
  </cols>
  <sheetData>
    <row r="1" spans="1:19" s="1750" customFormat="1" ht="18" customHeight="1">
      <c r="A1" s="1470"/>
      <c r="B1" s="1893" t="s">
        <v>1188</v>
      </c>
      <c r="C1" s="1893"/>
      <c r="D1" s="1893"/>
      <c r="E1" s="1893"/>
      <c r="F1" s="1893"/>
      <c r="G1" s="55"/>
      <c r="H1" s="55"/>
      <c r="I1" s="55"/>
      <c r="J1" s="55"/>
      <c r="K1" s="55"/>
      <c r="L1" s="55"/>
      <c r="M1" s="55"/>
      <c r="N1" s="55"/>
      <c r="O1" s="55"/>
      <c r="P1" s="55"/>
      <c r="Q1" s="55"/>
      <c r="R1" s="1749"/>
      <c r="S1" s="55"/>
    </row>
    <row r="2" spans="1:19" s="1750" customFormat="1" ht="22.5" customHeight="1">
      <c r="A2" s="1470"/>
      <c r="B2" s="1909" t="s">
        <v>183</v>
      </c>
      <c r="C2" s="1909"/>
      <c r="D2" s="1909"/>
      <c r="E2" s="1909"/>
      <c r="F2" s="1909"/>
      <c r="G2" s="1909"/>
      <c r="H2" s="1909"/>
      <c r="I2" s="1909"/>
      <c r="J2" s="1909"/>
      <c r="K2" s="1909"/>
      <c r="L2" s="1909"/>
      <c r="M2" s="1909"/>
      <c r="N2" s="1909"/>
      <c r="O2" s="1909"/>
      <c r="P2" s="1909"/>
      <c r="Q2" s="1909"/>
      <c r="R2" s="1909"/>
      <c r="S2" s="55"/>
    </row>
    <row r="3" spans="1:19" s="1750" customFormat="1" ht="24.75" customHeight="1">
      <c r="A3" s="1470"/>
      <c r="B3" s="1909" t="s">
        <v>71</v>
      </c>
      <c r="C3" s="1909"/>
      <c r="D3" s="1909"/>
      <c r="E3" s="1909"/>
      <c r="F3" s="1909"/>
      <c r="G3" s="1909"/>
      <c r="H3" s="1909"/>
      <c r="I3" s="1909"/>
      <c r="J3" s="1909"/>
      <c r="K3" s="1909"/>
      <c r="L3" s="1909"/>
      <c r="M3" s="1909"/>
      <c r="N3" s="1909"/>
      <c r="O3" s="1909"/>
      <c r="P3" s="1909"/>
      <c r="Q3" s="1909"/>
      <c r="R3" s="1909"/>
      <c r="S3" s="55"/>
    </row>
    <row r="4" spans="1:19" ht="9" customHeight="1">
      <c r="A4" s="1470"/>
      <c r="B4" s="1751"/>
      <c r="C4" s="23"/>
      <c r="D4" s="23"/>
      <c r="E4" s="23"/>
      <c r="F4" s="1513"/>
      <c r="G4" s="1513"/>
      <c r="H4" s="1513"/>
      <c r="I4" s="1513"/>
      <c r="J4" s="1513"/>
      <c r="K4" s="1513"/>
      <c r="L4" s="1513"/>
      <c r="M4" s="1513"/>
      <c r="N4" s="1513"/>
      <c r="O4" s="1513"/>
      <c r="P4" s="1513"/>
      <c r="Q4" s="1513"/>
      <c r="R4" s="1517" t="s">
        <v>0</v>
      </c>
      <c r="S4" s="1513"/>
    </row>
    <row r="5" spans="1:19" s="1470" customFormat="1" ht="18" customHeight="1" thickBot="1">
      <c r="B5" s="1470" t="s">
        <v>1</v>
      </c>
      <c r="C5" s="1470" t="s">
        <v>2</v>
      </c>
      <c r="D5" s="1910" t="s">
        <v>72</v>
      </c>
      <c r="E5" s="1910"/>
      <c r="F5" s="1470" t="s">
        <v>73</v>
      </c>
      <c r="G5" s="1470" t="s">
        <v>74</v>
      </c>
      <c r="H5" s="1470" t="s">
        <v>75</v>
      </c>
      <c r="I5" s="1470" t="s">
        <v>76</v>
      </c>
      <c r="J5" s="1470" t="s">
        <v>77</v>
      </c>
      <c r="K5" s="1470" t="s">
        <v>78</v>
      </c>
      <c r="L5" s="1470" t="s">
        <v>79</v>
      </c>
      <c r="M5" s="1470" t="s">
        <v>80</v>
      </c>
      <c r="N5" s="1470" t="s">
        <v>81</v>
      </c>
      <c r="O5" s="1470" t="s">
        <v>184</v>
      </c>
      <c r="P5" s="1470" t="s">
        <v>185</v>
      </c>
      <c r="Q5" s="1470" t="s">
        <v>186</v>
      </c>
      <c r="R5" s="1470" t="s">
        <v>187</v>
      </c>
    </row>
    <row r="6" spans="1:19" s="1751" customFormat="1" ht="30" customHeight="1" thickBot="1">
      <c r="A6" s="1470"/>
      <c r="B6" s="1911" t="s">
        <v>82</v>
      </c>
      <c r="C6" s="1912" t="s">
        <v>83</v>
      </c>
      <c r="D6" s="1913" t="s">
        <v>3</v>
      </c>
      <c r="E6" s="1913"/>
      <c r="F6" s="1898" t="s">
        <v>188</v>
      </c>
      <c r="G6" s="1898" t="s">
        <v>87</v>
      </c>
      <c r="H6" s="1899" t="s">
        <v>88</v>
      </c>
      <c r="I6" s="1900" t="s">
        <v>189</v>
      </c>
      <c r="J6" s="1901" t="s">
        <v>90</v>
      </c>
      <c r="K6" s="1901"/>
      <c r="L6" s="1901"/>
      <c r="M6" s="1897" t="s">
        <v>124</v>
      </c>
      <c r="N6" s="1897"/>
      <c r="O6" s="1897"/>
      <c r="P6" s="1896" t="s">
        <v>190</v>
      </c>
      <c r="Q6" s="1897" t="s">
        <v>191</v>
      </c>
      <c r="R6" s="1897"/>
    </row>
    <row r="7" spans="1:19" ht="44" thickBot="1">
      <c r="A7" s="1470"/>
      <c r="B7" s="1911"/>
      <c r="C7" s="1912"/>
      <c r="D7" s="1913"/>
      <c r="E7" s="1913"/>
      <c r="F7" s="1898"/>
      <c r="G7" s="1898"/>
      <c r="H7" s="1899"/>
      <c r="I7" s="1900"/>
      <c r="J7" s="1474" t="s">
        <v>115</v>
      </c>
      <c r="K7" s="1474" t="s">
        <v>192</v>
      </c>
      <c r="L7" s="1474" t="s">
        <v>193</v>
      </c>
      <c r="M7" s="1474" t="s">
        <v>194</v>
      </c>
      <c r="N7" s="1474" t="s">
        <v>1204</v>
      </c>
      <c r="O7" s="1474" t="s">
        <v>195</v>
      </c>
      <c r="P7" s="1896"/>
      <c r="Q7" s="1474" t="s">
        <v>4</v>
      </c>
      <c r="R7" s="1752" t="s">
        <v>196</v>
      </c>
      <c r="S7" s="1513"/>
    </row>
    <row r="8" spans="1:19" s="23" customFormat="1" ht="22.5" customHeight="1">
      <c r="A8" s="1470">
        <v>1</v>
      </c>
      <c r="B8" s="1476">
        <v>1</v>
      </c>
      <c r="C8" s="1753"/>
      <c r="D8" s="1754" t="s">
        <v>22</v>
      </c>
      <c r="E8" s="1755"/>
      <c r="F8" s="1480">
        <v>258704</v>
      </c>
      <c r="G8" s="1480">
        <v>302590</v>
      </c>
      <c r="H8" s="1548">
        <v>322340</v>
      </c>
      <c r="I8" s="1756"/>
      <c r="J8" s="1480"/>
      <c r="K8" s="1480"/>
      <c r="L8" s="1480"/>
      <c r="M8" s="1480"/>
      <c r="N8" s="1480"/>
      <c r="O8" s="1480"/>
      <c r="P8" s="1480"/>
      <c r="Q8" s="1480"/>
      <c r="R8" s="1757"/>
    </row>
    <row r="9" spans="1:19" s="23" customFormat="1" ht="18" customHeight="1">
      <c r="A9" s="1470">
        <v>2</v>
      </c>
      <c r="B9" s="1484"/>
      <c r="C9" s="1624"/>
      <c r="D9" s="1758" t="s">
        <v>197</v>
      </c>
      <c r="E9" s="1759"/>
      <c r="F9" s="161"/>
      <c r="G9" s="161"/>
      <c r="H9" s="1507"/>
      <c r="I9" s="1760"/>
      <c r="J9" s="161"/>
      <c r="K9" s="161"/>
      <c r="L9" s="161"/>
      <c r="M9" s="161"/>
      <c r="N9" s="161"/>
      <c r="O9" s="161"/>
      <c r="P9" s="161"/>
      <c r="Q9" s="161"/>
      <c r="R9" s="162"/>
    </row>
    <row r="10" spans="1:19" s="1765" customFormat="1" ht="18" customHeight="1">
      <c r="A10" s="1470">
        <v>3</v>
      </c>
      <c r="B10" s="1490"/>
      <c r="C10" s="1690"/>
      <c r="D10" s="1761"/>
      <c r="E10" s="1492" t="s">
        <v>198</v>
      </c>
      <c r="F10" s="1762"/>
      <c r="G10" s="1762"/>
      <c r="H10" s="1763"/>
      <c r="I10" s="1509">
        <f>SUM(J10:Q10)</f>
        <v>373089</v>
      </c>
      <c r="J10" s="1762">
        <v>8334</v>
      </c>
      <c r="K10" s="1762"/>
      <c r="L10" s="1762"/>
      <c r="M10" s="1762"/>
      <c r="N10" s="1762"/>
      <c r="O10" s="1762"/>
      <c r="P10" s="1762"/>
      <c r="Q10" s="1762">
        <v>364755</v>
      </c>
      <c r="R10" s="1764">
        <v>274305</v>
      </c>
      <c r="S10" s="1499"/>
    </row>
    <row r="11" spans="1:19" s="1765" customFormat="1" ht="18" customHeight="1">
      <c r="A11" s="1470">
        <v>4</v>
      </c>
      <c r="B11" s="1490"/>
      <c r="C11" s="1690"/>
      <c r="D11" s="1761"/>
      <c r="E11" s="1892" t="s">
        <v>765</v>
      </c>
      <c r="F11" s="1762"/>
      <c r="G11" s="1762"/>
      <c r="H11" s="1763"/>
      <c r="I11" s="1508">
        <f>SUM(J11:Q11)</f>
        <v>407527</v>
      </c>
      <c r="J11" s="164">
        <v>17820</v>
      </c>
      <c r="K11" s="164"/>
      <c r="L11" s="164"/>
      <c r="M11" s="164"/>
      <c r="N11" s="164"/>
      <c r="O11" s="164"/>
      <c r="P11" s="164">
        <v>12424</v>
      </c>
      <c r="Q11" s="164">
        <v>377283</v>
      </c>
      <c r="R11" s="1766">
        <v>274745</v>
      </c>
      <c r="S11" s="1499"/>
    </row>
    <row r="12" spans="1:19" s="1765" customFormat="1" ht="18" customHeight="1">
      <c r="A12" s="1470">
        <v>5</v>
      </c>
      <c r="B12" s="1490"/>
      <c r="C12" s="1690"/>
      <c r="D12" s="1761"/>
      <c r="E12" s="165" t="s">
        <v>1021</v>
      </c>
      <c r="F12" s="1762"/>
      <c r="G12" s="1762"/>
      <c r="H12" s="1763"/>
      <c r="I12" s="1501">
        <f>SUM(J12:Q12)</f>
        <v>407643</v>
      </c>
      <c r="J12" s="166">
        <v>17819</v>
      </c>
      <c r="K12" s="166">
        <v>117</v>
      </c>
      <c r="L12" s="166"/>
      <c r="M12" s="166"/>
      <c r="N12" s="166"/>
      <c r="O12" s="166"/>
      <c r="P12" s="166">
        <v>12424</v>
      </c>
      <c r="Q12" s="166">
        <v>377283</v>
      </c>
      <c r="R12" s="162">
        <v>273292</v>
      </c>
      <c r="S12" s="1499"/>
    </row>
    <row r="13" spans="1:19" s="1768" customFormat="1" ht="22.5" customHeight="1">
      <c r="A13" s="1470">
        <v>6</v>
      </c>
      <c r="B13" s="1484">
        <v>2</v>
      </c>
      <c r="C13" s="1624"/>
      <c r="D13" s="1767" t="s">
        <v>199</v>
      </c>
      <c r="E13" s="1767"/>
      <c r="F13" s="161">
        <v>419339</v>
      </c>
      <c r="G13" s="161">
        <v>500303</v>
      </c>
      <c r="H13" s="1507">
        <v>525927</v>
      </c>
      <c r="I13" s="1760"/>
      <c r="J13" s="161"/>
      <c r="K13" s="161"/>
      <c r="L13" s="161"/>
      <c r="M13" s="161"/>
      <c r="N13" s="161"/>
      <c r="O13" s="161"/>
      <c r="P13" s="161"/>
      <c r="Q13" s="161"/>
      <c r="R13" s="162"/>
    </row>
    <row r="14" spans="1:19" s="1768" customFormat="1" ht="18" customHeight="1">
      <c r="A14" s="1470">
        <v>7</v>
      </c>
      <c r="B14" s="1484"/>
      <c r="C14" s="1624"/>
      <c r="D14" s="1759" t="s">
        <v>200</v>
      </c>
      <c r="E14" s="1759"/>
      <c r="F14" s="161"/>
      <c r="G14" s="161"/>
      <c r="H14" s="1507"/>
      <c r="I14" s="1760"/>
      <c r="J14" s="161"/>
      <c r="K14" s="161"/>
      <c r="L14" s="161"/>
      <c r="M14" s="161"/>
      <c r="N14" s="161"/>
      <c r="O14" s="161"/>
      <c r="P14" s="161"/>
      <c r="Q14" s="161"/>
      <c r="R14" s="162"/>
    </row>
    <row r="15" spans="1:19" s="1769" customFormat="1" ht="18" customHeight="1">
      <c r="A15" s="1470">
        <v>8</v>
      </c>
      <c r="B15" s="1490"/>
      <c r="C15" s="1690"/>
      <c r="D15" s="1761"/>
      <c r="E15" s="1492" t="s">
        <v>198</v>
      </c>
      <c r="F15" s="1762"/>
      <c r="G15" s="1762"/>
      <c r="H15" s="1763"/>
      <c r="I15" s="1509">
        <f>SUM(J15:Q15)</f>
        <v>612920</v>
      </c>
      <c r="J15" s="1762">
        <v>15944</v>
      </c>
      <c r="K15" s="1762"/>
      <c r="L15" s="1762"/>
      <c r="M15" s="1762"/>
      <c r="N15" s="1762"/>
      <c r="O15" s="1762"/>
      <c r="P15" s="1762">
        <v>1900</v>
      </c>
      <c r="Q15" s="1762">
        <v>595076</v>
      </c>
      <c r="R15" s="1764">
        <v>416995</v>
      </c>
    </row>
    <row r="16" spans="1:19" s="1769" customFormat="1" ht="18" customHeight="1">
      <c r="A16" s="1470">
        <v>9</v>
      </c>
      <c r="B16" s="1490"/>
      <c r="C16" s="1690"/>
      <c r="D16" s="1761"/>
      <c r="E16" s="1892" t="s">
        <v>765</v>
      </c>
      <c r="F16" s="1762"/>
      <c r="G16" s="1762"/>
      <c r="H16" s="1763"/>
      <c r="I16" s="1508">
        <f>SUM(J16:Q16)</f>
        <v>648477</v>
      </c>
      <c r="J16" s="164">
        <v>15944</v>
      </c>
      <c r="K16" s="164"/>
      <c r="L16" s="164"/>
      <c r="M16" s="164"/>
      <c r="N16" s="164"/>
      <c r="O16" s="164"/>
      <c r="P16" s="164">
        <v>18038</v>
      </c>
      <c r="Q16" s="164">
        <v>614495</v>
      </c>
      <c r="R16" s="1766">
        <v>416612</v>
      </c>
    </row>
    <row r="17" spans="1:19" s="1769" customFormat="1" ht="18" customHeight="1">
      <c r="A17" s="1470">
        <v>10</v>
      </c>
      <c r="B17" s="1490"/>
      <c r="C17" s="1690"/>
      <c r="D17" s="1761"/>
      <c r="E17" s="165" t="s">
        <v>1021</v>
      </c>
      <c r="F17" s="1762"/>
      <c r="G17" s="1762"/>
      <c r="H17" s="1763"/>
      <c r="I17" s="1501">
        <f>SUM(J17:Q17)</f>
        <v>645806</v>
      </c>
      <c r="J17" s="166">
        <v>13253</v>
      </c>
      <c r="K17" s="166">
        <v>20</v>
      </c>
      <c r="L17" s="1762"/>
      <c r="M17" s="1762"/>
      <c r="N17" s="1762"/>
      <c r="O17" s="1762"/>
      <c r="P17" s="166">
        <v>18038</v>
      </c>
      <c r="Q17" s="166">
        <v>614495</v>
      </c>
      <c r="R17" s="162">
        <v>412271</v>
      </c>
    </row>
    <row r="18" spans="1:19" s="1613" customFormat="1" ht="22.5" customHeight="1">
      <c r="A18" s="1470">
        <v>11</v>
      </c>
      <c r="B18" s="1484">
        <v>3</v>
      </c>
      <c r="C18" s="1624"/>
      <c r="D18" s="1767" t="s">
        <v>24</v>
      </c>
      <c r="E18" s="1767"/>
      <c r="F18" s="161">
        <v>497621</v>
      </c>
      <c r="G18" s="161">
        <v>527697</v>
      </c>
      <c r="H18" s="1507">
        <v>557357</v>
      </c>
      <c r="I18" s="1760"/>
      <c r="J18" s="161"/>
      <c r="K18" s="161"/>
      <c r="L18" s="161"/>
      <c r="M18" s="161"/>
      <c r="N18" s="161"/>
      <c r="O18" s="161"/>
      <c r="P18" s="161"/>
      <c r="Q18" s="161"/>
      <c r="R18" s="162"/>
    </row>
    <row r="19" spans="1:19" s="23" customFormat="1" ht="18" customHeight="1">
      <c r="A19" s="1470">
        <v>12</v>
      </c>
      <c r="B19" s="1770"/>
      <c r="C19" s="1624"/>
      <c r="D19" s="1771" t="s">
        <v>201</v>
      </c>
      <c r="E19" s="1771"/>
      <c r="F19" s="1772"/>
      <c r="G19" s="1772"/>
      <c r="H19" s="1773"/>
      <c r="I19" s="1774"/>
      <c r="J19" s="1772"/>
      <c r="K19" s="1772"/>
      <c r="L19" s="1772"/>
      <c r="M19" s="1772"/>
      <c r="N19" s="1772"/>
      <c r="O19" s="1772"/>
      <c r="P19" s="1772"/>
      <c r="Q19" s="1772"/>
      <c r="R19" s="1775"/>
    </row>
    <row r="20" spans="1:19" s="1765" customFormat="1" ht="18" customHeight="1">
      <c r="A20" s="1470">
        <v>13</v>
      </c>
      <c r="B20" s="1490"/>
      <c r="C20" s="1690"/>
      <c r="D20" s="1761"/>
      <c r="E20" s="1492" t="s">
        <v>198</v>
      </c>
      <c r="F20" s="1762"/>
      <c r="G20" s="1762"/>
      <c r="H20" s="1763"/>
      <c r="I20" s="1509">
        <f>SUM(J20:Q20)</f>
        <v>616909</v>
      </c>
      <c r="J20" s="1762">
        <v>11445</v>
      </c>
      <c r="K20" s="1762"/>
      <c r="L20" s="1762"/>
      <c r="M20" s="1762"/>
      <c r="N20" s="1762"/>
      <c r="O20" s="1762"/>
      <c r="P20" s="1762">
        <v>24600</v>
      </c>
      <c r="Q20" s="1762">
        <v>580864</v>
      </c>
      <c r="R20" s="1764">
        <v>427571</v>
      </c>
      <c r="S20" s="1499"/>
    </row>
    <row r="21" spans="1:19" s="1765" customFormat="1" ht="18" customHeight="1">
      <c r="A21" s="1470">
        <v>14</v>
      </c>
      <c r="B21" s="1490"/>
      <c r="C21" s="1690"/>
      <c r="D21" s="1761"/>
      <c r="E21" s="1892" t="s">
        <v>765</v>
      </c>
      <c r="F21" s="1762"/>
      <c r="G21" s="1762"/>
      <c r="H21" s="1763"/>
      <c r="I21" s="1508">
        <f>SUM(J21:Q21)</f>
        <v>653897</v>
      </c>
      <c r="J21" s="164">
        <v>11445</v>
      </c>
      <c r="K21" s="164"/>
      <c r="L21" s="164"/>
      <c r="M21" s="164"/>
      <c r="N21" s="164"/>
      <c r="O21" s="164"/>
      <c r="P21" s="164">
        <v>49843</v>
      </c>
      <c r="Q21" s="164">
        <v>592609</v>
      </c>
      <c r="R21" s="1766">
        <v>427222</v>
      </c>
      <c r="S21" s="1499"/>
    </row>
    <row r="22" spans="1:19" s="1765" customFormat="1" ht="18" customHeight="1">
      <c r="A22" s="1470">
        <v>15</v>
      </c>
      <c r="B22" s="1490"/>
      <c r="C22" s="1690"/>
      <c r="D22" s="1761"/>
      <c r="E22" s="1776" t="s">
        <v>1021</v>
      </c>
      <c r="F22" s="1762"/>
      <c r="G22" s="1762"/>
      <c r="H22" s="1763"/>
      <c r="I22" s="1501">
        <f>SUM(J22:Q22)</f>
        <v>656186</v>
      </c>
      <c r="J22" s="166">
        <f>13546+1</f>
        <v>13547</v>
      </c>
      <c r="K22" s="166">
        <v>187</v>
      </c>
      <c r="L22" s="1762"/>
      <c r="M22" s="1762"/>
      <c r="N22" s="1762"/>
      <c r="O22" s="1762"/>
      <c r="P22" s="166">
        <v>49843</v>
      </c>
      <c r="Q22" s="166">
        <v>592609</v>
      </c>
      <c r="R22" s="162">
        <v>428306</v>
      </c>
      <c r="S22" s="1499"/>
    </row>
    <row r="23" spans="1:19" s="1768" customFormat="1" ht="22.5" customHeight="1">
      <c r="A23" s="1470">
        <v>16</v>
      </c>
      <c r="B23" s="1484">
        <v>4</v>
      </c>
      <c r="C23" s="1624"/>
      <c r="D23" s="1777" t="s">
        <v>202</v>
      </c>
      <c r="E23" s="1777"/>
      <c r="F23" s="161">
        <v>409039</v>
      </c>
      <c r="G23" s="161">
        <v>441720</v>
      </c>
      <c r="H23" s="1507">
        <v>485238</v>
      </c>
      <c r="I23" s="1760"/>
      <c r="J23" s="161"/>
      <c r="K23" s="161"/>
      <c r="L23" s="161"/>
      <c r="M23" s="161"/>
      <c r="N23" s="161"/>
      <c r="O23" s="161"/>
      <c r="P23" s="161"/>
      <c r="Q23" s="161"/>
      <c r="R23" s="162"/>
    </row>
    <row r="24" spans="1:19" s="1613" customFormat="1" ht="18" customHeight="1">
      <c r="A24" s="1470">
        <v>17</v>
      </c>
      <c r="B24" s="1770"/>
      <c r="C24" s="1624"/>
      <c r="D24" s="1771" t="s">
        <v>203</v>
      </c>
      <c r="E24" s="1771"/>
      <c r="F24" s="1772"/>
      <c r="G24" s="1772"/>
      <c r="H24" s="1773"/>
      <c r="I24" s="1774"/>
      <c r="J24" s="1772"/>
      <c r="K24" s="1772"/>
      <c r="L24" s="1772"/>
      <c r="M24" s="1772"/>
      <c r="N24" s="1772"/>
      <c r="O24" s="1772"/>
      <c r="P24" s="1772"/>
      <c r="Q24" s="1772"/>
      <c r="R24" s="1775"/>
    </row>
    <row r="25" spans="1:19" s="1511" customFormat="1" ht="18" customHeight="1">
      <c r="A25" s="1470">
        <v>18</v>
      </c>
      <c r="B25" s="1490"/>
      <c r="C25" s="1690"/>
      <c r="D25" s="1761"/>
      <c r="E25" s="1492" t="s">
        <v>198</v>
      </c>
      <c r="F25" s="1762"/>
      <c r="G25" s="1762"/>
      <c r="H25" s="1763"/>
      <c r="I25" s="1509">
        <f>SUM(J25:Q25)</f>
        <v>539457</v>
      </c>
      <c r="J25" s="1762">
        <v>19526</v>
      </c>
      <c r="K25" s="1762"/>
      <c r="L25" s="1762"/>
      <c r="M25" s="1762"/>
      <c r="N25" s="1762"/>
      <c r="O25" s="1762"/>
      <c r="P25" s="1762">
        <v>6500</v>
      </c>
      <c r="Q25" s="1762">
        <v>513431</v>
      </c>
      <c r="R25" s="1764">
        <v>445576</v>
      </c>
    </row>
    <row r="26" spans="1:19" s="1511" customFormat="1" ht="18" customHeight="1">
      <c r="A26" s="1470">
        <v>19</v>
      </c>
      <c r="B26" s="1490"/>
      <c r="C26" s="1690"/>
      <c r="D26" s="1761"/>
      <c r="E26" s="1892" t="s">
        <v>765</v>
      </c>
      <c r="F26" s="1762"/>
      <c r="G26" s="1762"/>
      <c r="H26" s="1763"/>
      <c r="I26" s="1508">
        <f>SUM(J26:Q26)</f>
        <v>578675</v>
      </c>
      <c r="J26" s="164">
        <v>19526</v>
      </c>
      <c r="K26" s="164">
        <v>200</v>
      </c>
      <c r="L26" s="164"/>
      <c r="M26" s="164"/>
      <c r="N26" s="164"/>
      <c r="O26" s="164"/>
      <c r="P26" s="164">
        <v>27854</v>
      </c>
      <c r="Q26" s="164">
        <v>531095</v>
      </c>
      <c r="R26" s="1766">
        <v>445725</v>
      </c>
    </row>
    <row r="27" spans="1:19" s="1511" customFormat="1" ht="18" customHeight="1">
      <c r="A27" s="1470">
        <v>20</v>
      </c>
      <c r="B27" s="1490"/>
      <c r="C27" s="1690"/>
      <c r="D27" s="1761"/>
      <c r="E27" s="165" t="s">
        <v>1021</v>
      </c>
      <c r="F27" s="1762"/>
      <c r="G27" s="1762"/>
      <c r="H27" s="1763"/>
      <c r="I27" s="1501">
        <f>SUM(J27:Q27)</f>
        <v>580767</v>
      </c>
      <c r="J27" s="166">
        <v>21618</v>
      </c>
      <c r="K27" s="166">
        <v>200</v>
      </c>
      <c r="L27" s="1762"/>
      <c r="M27" s="1762"/>
      <c r="N27" s="1762"/>
      <c r="O27" s="1762"/>
      <c r="P27" s="166">
        <v>27854</v>
      </c>
      <c r="Q27" s="166">
        <v>531095</v>
      </c>
      <c r="R27" s="162">
        <v>445807</v>
      </c>
    </row>
    <row r="28" spans="1:19" s="1595" customFormat="1" ht="22.5" customHeight="1">
      <c r="A28" s="1470">
        <v>21</v>
      </c>
      <c r="B28" s="1484">
        <v>5</v>
      </c>
      <c r="C28" s="1624"/>
      <c r="D28" s="1777" t="s">
        <v>204</v>
      </c>
      <c r="E28" s="1777"/>
      <c r="F28" s="161">
        <v>429889</v>
      </c>
      <c r="G28" s="161">
        <v>444365</v>
      </c>
      <c r="H28" s="1507">
        <v>480053</v>
      </c>
      <c r="I28" s="1760"/>
      <c r="J28" s="161"/>
      <c r="K28" s="161"/>
      <c r="L28" s="161"/>
      <c r="M28" s="161"/>
      <c r="N28" s="161"/>
      <c r="O28" s="161"/>
      <c r="P28" s="161"/>
      <c r="Q28" s="161"/>
      <c r="R28" s="162"/>
    </row>
    <row r="29" spans="1:19" s="1768" customFormat="1" ht="18" customHeight="1">
      <c r="A29" s="1470">
        <v>22</v>
      </c>
      <c r="B29" s="1770"/>
      <c r="C29" s="1624"/>
      <c r="D29" s="1771" t="s">
        <v>205</v>
      </c>
      <c r="E29" s="1771"/>
      <c r="F29" s="1772"/>
      <c r="G29" s="1772"/>
      <c r="H29" s="1773"/>
      <c r="I29" s="1774"/>
      <c r="J29" s="1772"/>
      <c r="K29" s="1772"/>
      <c r="L29" s="1772"/>
      <c r="M29" s="1772"/>
      <c r="N29" s="1772"/>
      <c r="O29" s="1772"/>
      <c r="P29" s="1772"/>
      <c r="Q29" s="1772"/>
      <c r="R29" s="1775"/>
    </row>
    <row r="30" spans="1:19" s="1769" customFormat="1" ht="18" customHeight="1">
      <c r="A30" s="1470">
        <v>23</v>
      </c>
      <c r="B30" s="1490"/>
      <c r="C30" s="1690"/>
      <c r="D30" s="1761"/>
      <c r="E30" s="1492" t="s">
        <v>198</v>
      </c>
      <c r="F30" s="1762"/>
      <c r="G30" s="1762"/>
      <c r="H30" s="1763"/>
      <c r="I30" s="1509">
        <f>SUM(J30:Q30)</f>
        <v>579932</v>
      </c>
      <c r="J30" s="1762">
        <v>20828</v>
      </c>
      <c r="K30" s="1762"/>
      <c r="L30" s="1762"/>
      <c r="M30" s="1762"/>
      <c r="N30" s="1762"/>
      <c r="O30" s="1762"/>
      <c r="P30" s="1762"/>
      <c r="Q30" s="1762">
        <v>559104</v>
      </c>
      <c r="R30" s="1764">
        <v>440360</v>
      </c>
    </row>
    <row r="31" spans="1:19" s="1769" customFormat="1" ht="18" customHeight="1">
      <c r="A31" s="1470">
        <v>24</v>
      </c>
      <c r="B31" s="1490"/>
      <c r="C31" s="1690"/>
      <c r="D31" s="1761"/>
      <c r="E31" s="1892" t="s">
        <v>765</v>
      </c>
      <c r="F31" s="1762"/>
      <c r="G31" s="1762"/>
      <c r="H31" s="1763"/>
      <c r="I31" s="1508">
        <f>SUM(J31:Q31)</f>
        <v>619318</v>
      </c>
      <c r="J31" s="164">
        <v>21947</v>
      </c>
      <c r="K31" s="164"/>
      <c r="L31" s="164"/>
      <c r="M31" s="164"/>
      <c r="N31" s="164"/>
      <c r="O31" s="164"/>
      <c r="P31" s="164">
        <v>27401</v>
      </c>
      <c r="Q31" s="164">
        <v>569970</v>
      </c>
      <c r="R31" s="1766">
        <v>440528</v>
      </c>
    </row>
    <row r="32" spans="1:19" s="1769" customFormat="1" ht="18" customHeight="1">
      <c r="A32" s="1470">
        <v>25</v>
      </c>
      <c r="B32" s="1490"/>
      <c r="C32" s="1690"/>
      <c r="D32" s="1761"/>
      <c r="E32" s="1776" t="s">
        <v>1021</v>
      </c>
      <c r="F32" s="1762"/>
      <c r="G32" s="1762"/>
      <c r="H32" s="1763"/>
      <c r="I32" s="1501">
        <f>SUM(J32:Q32)</f>
        <v>619336</v>
      </c>
      <c r="J32" s="166">
        <v>21945</v>
      </c>
      <c r="K32" s="166">
        <v>20</v>
      </c>
      <c r="L32" s="1762"/>
      <c r="M32" s="1762"/>
      <c r="N32" s="1762"/>
      <c r="O32" s="1762"/>
      <c r="P32" s="166">
        <v>27401</v>
      </c>
      <c r="Q32" s="166">
        <v>569970</v>
      </c>
      <c r="R32" s="162">
        <v>439541</v>
      </c>
    </row>
    <row r="33" spans="1:19" s="1595" customFormat="1" ht="22.5" customHeight="1">
      <c r="A33" s="1470">
        <v>26</v>
      </c>
      <c r="B33" s="1484">
        <v>6</v>
      </c>
      <c r="C33" s="1624"/>
      <c r="D33" s="1777" t="s">
        <v>25</v>
      </c>
      <c r="E33" s="1777"/>
      <c r="F33" s="161">
        <v>248691</v>
      </c>
      <c r="G33" s="161">
        <v>270159</v>
      </c>
      <c r="H33" s="1507">
        <v>298808</v>
      </c>
      <c r="I33" s="1760"/>
      <c r="J33" s="161"/>
      <c r="K33" s="161"/>
      <c r="L33" s="161"/>
      <c r="M33" s="161"/>
      <c r="N33" s="161"/>
      <c r="O33" s="161"/>
      <c r="P33" s="161"/>
      <c r="Q33" s="161"/>
      <c r="R33" s="162"/>
    </row>
    <row r="34" spans="1:19" s="1595" customFormat="1" ht="18" customHeight="1">
      <c r="A34" s="1470">
        <v>27</v>
      </c>
      <c r="B34" s="1770"/>
      <c r="C34" s="1624"/>
      <c r="D34" s="1771" t="s">
        <v>206</v>
      </c>
      <c r="E34" s="1771"/>
      <c r="F34" s="1772"/>
      <c r="G34" s="1772"/>
      <c r="H34" s="1773"/>
      <c r="I34" s="1774"/>
      <c r="J34" s="1772"/>
      <c r="K34" s="1772"/>
      <c r="L34" s="1772"/>
      <c r="M34" s="1772"/>
      <c r="N34" s="1772"/>
      <c r="O34" s="1772"/>
      <c r="P34" s="1772"/>
      <c r="Q34" s="1772"/>
      <c r="R34" s="1775"/>
    </row>
    <row r="35" spans="1:19" s="1778" customFormat="1" ht="18" customHeight="1">
      <c r="A35" s="1470">
        <v>28</v>
      </c>
      <c r="B35" s="1490"/>
      <c r="C35" s="1690"/>
      <c r="D35" s="1761"/>
      <c r="E35" s="1492" t="s">
        <v>198</v>
      </c>
      <c r="F35" s="1762"/>
      <c r="G35" s="1762"/>
      <c r="H35" s="1763"/>
      <c r="I35" s="1509">
        <f>SUM(J35:Q35)</f>
        <v>339398</v>
      </c>
      <c r="J35" s="1762">
        <v>11283</v>
      </c>
      <c r="K35" s="1762"/>
      <c r="L35" s="1762"/>
      <c r="M35" s="1762"/>
      <c r="N35" s="1762"/>
      <c r="O35" s="1762"/>
      <c r="P35" s="1762">
        <v>17000</v>
      </c>
      <c r="Q35" s="1762">
        <v>311115</v>
      </c>
      <c r="R35" s="1764">
        <v>241132</v>
      </c>
    </row>
    <row r="36" spans="1:19" s="1778" customFormat="1" ht="18" customHeight="1">
      <c r="A36" s="1470">
        <v>29</v>
      </c>
      <c r="B36" s="1490"/>
      <c r="C36" s="1779"/>
      <c r="D36" s="1690"/>
      <c r="E36" s="1892" t="s">
        <v>765</v>
      </c>
      <c r="F36" s="1780"/>
      <c r="G36" s="1780"/>
      <c r="H36" s="1781"/>
      <c r="I36" s="1508">
        <f>SUM(J36:Q36)</f>
        <v>366113</v>
      </c>
      <c r="J36" s="1647">
        <v>11283</v>
      </c>
      <c r="K36" s="1647"/>
      <c r="L36" s="1647"/>
      <c r="M36" s="1647"/>
      <c r="N36" s="1647"/>
      <c r="O36" s="1647"/>
      <c r="P36" s="1647">
        <v>29092</v>
      </c>
      <c r="Q36" s="1647">
        <v>325738</v>
      </c>
      <c r="R36" s="1782">
        <v>241851</v>
      </c>
    </row>
    <row r="37" spans="1:19" s="1778" customFormat="1" ht="18" customHeight="1" thickBot="1">
      <c r="A37" s="1470">
        <v>30</v>
      </c>
      <c r="B37" s="1490"/>
      <c r="C37" s="1779"/>
      <c r="D37" s="1783"/>
      <c r="E37" s="165" t="s">
        <v>1021</v>
      </c>
      <c r="F37" s="1780"/>
      <c r="G37" s="1780"/>
      <c r="H37" s="1781"/>
      <c r="I37" s="1501">
        <f>SUM(J37:Q37)</f>
        <v>366099</v>
      </c>
      <c r="J37" s="1784">
        <v>11269</v>
      </c>
      <c r="K37" s="1780"/>
      <c r="L37" s="1780"/>
      <c r="M37" s="1780"/>
      <c r="N37" s="1780"/>
      <c r="O37" s="1780"/>
      <c r="P37" s="1784">
        <v>29092</v>
      </c>
      <c r="Q37" s="1784">
        <v>325738</v>
      </c>
      <c r="R37" s="1757">
        <v>244672</v>
      </c>
    </row>
    <row r="38" spans="1:19" s="1513" customFormat="1" ht="22.5" customHeight="1" thickTop="1">
      <c r="A38" s="1470">
        <v>31</v>
      </c>
      <c r="B38" s="1770"/>
      <c r="C38" s="1905" t="s">
        <v>207</v>
      </c>
      <c r="D38" s="1905"/>
      <c r="E38" s="1905"/>
      <c r="F38" s="1785">
        <f>SUM(F8:F35)</f>
        <v>2263283</v>
      </c>
      <c r="G38" s="1785">
        <f>SUM(G8:G35)</f>
        <v>2486834</v>
      </c>
      <c r="H38" s="1786">
        <f>SUM(H8:H35)</f>
        <v>2669723</v>
      </c>
      <c r="I38" s="1787"/>
      <c r="J38" s="1785"/>
      <c r="K38" s="1785"/>
      <c r="L38" s="1785"/>
      <c r="M38" s="1785"/>
      <c r="N38" s="1785"/>
      <c r="O38" s="1785"/>
      <c r="P38" s="1785"/>
      <c r="Q38" s="1785"/>
      <c r="R38" s="1788"/>
    </row>
    <row r="39" spans="1:19" s="1765" customFormat="1" ht="18" customHeight="1">
      <c r="A39" s="1470">
        <v>32</v>
      </c>
      <c r="B39" s="1789"/>
      <c r="C39" s="1680"/>
      <c r="D39" s="1790"/>
      <c r="E39" s="1530" t="s">
        <v>198</v>
      </c>
      <c r="F39" s="1791"/>
      <c r="G39" s="1791"/>
      <c r="H39" s="1792"/>
      <c r="I39" s="167">
        <f t="shared" ref="I39:R39" si="0">SUM(I10,I15,I20,I25,I30,I35,)</f>
        <v>3061705</v>
      </c>
      <c r="J39" s="1791">
        <f t="shared" si="0"/>
        <v>87360</v>
      </c>
      <c r="K39" s="1791">
        <f t="shared" si="0"/>
        <v>0</v>
      </c>
      <c r="L39" s="1791">
        <f t="shared" si="0"/>
        <v>0</v>
      </c>
      <c r="M39" s="1791">
        <f t="shared" si="0"/>
        <v>0</v>
      </c>
      <c r="N39" s="1791">
        <f t="shared" si="0"/>
        <v>0</v>
      </c>
      <c r="O39" s="1791">
        <f t="shared" si="0"/>
        <v>0</v>
      </c>
      <c r="P39" s="1791">
        <f t="shared" si="0"/>
        <v>50000</v>
      </c>
      <c r="Q39" s="1791">
        <f t="shared" si="0"/>
        <v>2924345</v>
      </c>
      <c r="R39" s="1793">
        <f t="shared" si="0"/>
        <v>2245939</v>
      </c>
      <c r="S39" s="1499"/>
    </row>
    <row r="40" spans="1:19" s="1765" customFormat="1" ht="18" customHeight="1">
      <c r="A40" s="1470">
        <v>33</v>
      </c>
      <c r="B40" s="1794"/>
      <c r="C40" s="1680"/>
      <c r="D40" s="1790"/>
      <c r="E40" s="1892" t="s">
        <v>765</v>
      </c>
      <c r="F40" s="1791"/>
      <c r="G40" s="1791"/>
      <c r="H40" s="1792"/>
      <c r="I40" s="168">
        <f t="shared" ref="I40:R40" si="1">SUM(I11,I16,I21,I26,I31,I36,)</f>
        <v>3274007</v>
      </c>
      <c r="J40" s="169">
        <f t="shared" si="1"/>
        <v>97965</v>
      </c>
      <c r="K40" s="169">
        <f t="shared" si="1"/>
        <v>200</v>
      </c>
      <c r="L40" s="169">
        <f t="shared" si="1"/>
        <v>0</v>
      </c>
      <c r="M40" s="169">
        <f t="shared" si="1"/>
        <v>0</v>
      </c>
      <c r="N40" s="169">
        <f t="shared" si="1"/>
        <v>0</v>
      </c>
      <c r="O40" s="169">
        <f t="shared" si="1"/>
        <v>0</v>
      </c>
      <c r="P40" s="169">
        <f t="shared" si="1"/>
        <v>164652</v>
      </c>
      <c r="Q40" s="169">
        <f t="shared" si="1"/>
        <v>3011190</v>
      </c>
      <c r="R40" s="1795">
        <f t="shared" si="1"/>
        <v>2246683</v>
      </c>
      <c r="S40" s="1499"/>
    </row>
    <row r="41" spans="1:19" s="1765" customFormat="1" ht="18" customHeight="1" thickBot="1">
      <c r="A41" s="1470">
        <v>34</v>
      </c>
      <c r="B41" s="1794"/>
      <c r="C41" s="1796"/>
      <c r="D41" s="1797"/>
      <c r="E41" s="1541" t="s">
        <v>1022</v>
      </c>
      <c r="F41" s="1798"/>
      <c r="G41" s="1798"/>
      <c r="H41" s="1799"/>
      <c r="I41" s="1544">
        <f>SUM(J41:Q41)</f>
        <v>3275837</v>
      </c>
      <c r="J41" s="1800">
        <f t="shared" ref="J41:R41" si="2">J37+J32+J27+J22+J17+J12</f>
        <v>99451</v>
      </c>
      <c r="K41" s="1800">
        <f t="shared" si="2"/>
        <v>544</v>
      </c>
      <c r="L41" s="1800">
        <f t="shared" si="2"/>
        <v>0</v>
      </c>
      <c r="M41" s="1800">
        <f t="shared" si="2"/>
        <v>0</v>
      </c>
      <c r="N41" s="1800">
        <f t="shared" si="2"/>
        <v>0</v>
      </c>
      <c r="O41" s="1800">
        <f t="shared" si="2"/>
        <v>0</v>
      </c>
      <c r="P41" s="1800">
        <f t="shared" si="2"/>
        <v>164652</v>
      </c>
      <c r="Q41" s="1800">
        <f t="shared" si="2"/>
        <v>3011190</v>
      </c>
      <c r="R41" s="1801">
        <f t="shared" si="2"/>
        <v>2243889</v>
      </c>
      <c r="S41" s="1499"/>
    </row>
    <row r="42" spans="1:19" s="23" customFormat="1" ht="30" customHeight="1" thickTop="1">
      <c r="A42" s="1470">
        <v>35</v>
      </c>
      <c r="B42" s="1802">
        <v>7</v>
      </c>
      <c r="C42" s="1753"/>
      <c r="D42" s="1908" t="s">
        <v>26</v>
      </c>
      <c r="E42" s="1908"/>
      <c r="F42" s="1480">
        <v>1471300</v>
      </c>
      <c r="G42" s="1480">
        <v>1651476</v>
      </c>
      <c r="H42" s="1548">
        <v>1838188</v>
      </c>
      <c r="I42" s="1756"/>
      <c r="J42" s="1480"/>
      <c r="K42" s="1480"/>
      <c r="L42" s="1480"/>
      <c r="M42" s="1480"/>
      <c r="N42" s="1480"/>
      <c r="O42" s="1480"/>
      <c r="P42" s="1480"/>
      <c r="Q42" s="1480"/>
      <c r="R42" s="1757"/>
    </row>
    <row r="43" spans="1:19" s="1499" customFormat="1" ht="18" customHeight="1">
      <c r="A43" s="1470">
        <v>36</v>
      </c>
      <c r="B43" s="1490"/>
      <c r="C43" s="1690"/>
      <c r="D43" s="1761"/>
      <c r="E43" s="1492" t="s">
        <v>198</v>
      </c>
      <c r="F43" s="1762"/>
      <c r="G43" s="1762"/>
      <c r="H43" s="1763"/>
      <c r="I43" s="1509">
        <f t="shared" ref="I43:I45" si="3">SUM(J43:Q43)</f>
        <v>1825483</v>
      </c>
      <c r="J43" s="1762">
        <v>32514</v>
      </c>
      <c r="K43" s="1762">
        <v>1938</v>
      </c>
      <c r="L43" s="1762"/>
      <c r="M43" s="1762"/>
      <c r="N43" s="1762"/>
      <c r="O43" s="1762"/>
      <c r="P43" s="1762">
        <v>43000</v>
      </c>
      <c r="Q43" s="1762">
        <v>1748031</v>
      </c>
      <c r="R43" s="1764">
        <f>925380+325200</f>
        <v>1250580</v>
      </c>
    </row>
    <row r="44" spans="1:19" s="1499" customFormat="1" ht="18" customHeight="1">
      <c r="A44" s="1470">
        <v>37</v>
      </c>
      <c r="B44" s="1490"/>
      <c r="C44" s="1690"/>
      <c r="D44" s="1761"/>
      <c r="E44" s="1892" t="s">
        <v>765</v>
      </c>
      <c r="F44" s="1762"/>
      <c r="G44" s="1762"/>
      <c r="H44" s="1763"/>
      <c r="I44" s="1508">
        <f t="shared" si="3"/>
        <v>2059423</v>
      </c>
      <c r="J44" s="164">
        <v>58132</v>
      </c>
      <c r="K44" s="164">
        <v>52530</v>
      </c>
      <c r="L44" s="164"/>
      <c r="M44" s="164"/>
      <c r="N44" s="164"/>
      <c r="O44" s="164"/>
      <c r="P44" s="164">
        <v>134700</v>
      </c>
      <c r="Q44" s="164">
        <v>1814061</v>
      </c>
      <c r="R44" s="1766">
        <v>1314687</v>
      </c>
    </row>
    <row r="45" spans="1:19" s="1499" customFormat="1" ht="18" customHeight="1">
      <c r="A45" s="1470">
        <v>38</v>
      </c>
      <c r="B45" s="1490"/>
      <c r="C45" s="1690"/>
      <c r="D45" s="1761"/>
      <c r="E45" s="165" t="s">
        <v>1021</v>
      </c>
      <c r="F45" s="1762"/>
      <c r="G45" s="1762"/>
      <c r="H45" s="1763"/>
      <c r="I45" s="1501">
        <f t="shared" si="3"/>
        <v>2059425</v>
      </c>
      <c r="J45" s="166">
        <v>58133</v>
      </c>
      <c r="K45" s="166">
        <v>52531</v>
      </c>
      <c r="L45" s="1762"/>
      <c r="M45" s="1762"/>
      <c r="N45" s="1762"/>
      <c r="O45" s="1762"/>
      <c r="P45" s="166">
        <v>134700</v>
      </c>
      <c r="Q45" s="166">
        <v>1814061</v>
      </c>
      <c r="R45" s="162">
        <v>1316061</v>
      </c>
    </row>
    <row r="46" spans="1:19" ht="22.5" customHeight="1">
      <c r="A46" s="1470">
        <v>39</v>
      </c>
      <c r="B46" s="1484">
        <v>8</v>
      </c>
      <c r="C46" s="1624"/>
      <c r="D46" s="1777" t="s">
        <v>27</v>
      </c>
      <c r="E46" s="1777"/>
      <c r="F46" s="161">
        <v>118718</v>
      </c>
      <c r="G46" s="161">
        <v>96614</v>
      </c>
      <c r="H46" s="1507">
        <v>146343</v>
      </c>
      <c r="I46" s="1760"/>
      <c r="J46" s="161"/>
      <c r="K46" s="161"/>
      <c r="L46" s="161"/>
      <c r="M46" s="161"/>
      <c r="N46" s="161"/>
      <c r="O46" s="161"/>
      <c r="P46" s="161"/>
      <c r="Q46" s="161"/>
      <c r="R46" s="162"/>
      <c r="S46" s="23"/>
    </row>
    <row r="47" spans="1:19" s="1769" customFormat="1" ht="18" customHeight="1">
      <c r="A47" s="1470">
        <v>40</v>
      </c>
      <c r="B47" s="1490"/>
      <c r="C47" s="1690"/>
      <c r="D47" s="1761"/>
      <c r="E47" s="1492" t="s">
        <v>198</v>
      </c>
      <c r="F47" s="1762"/>
      <c r="G47" s="1762"/>
      <c r="H47" s="1763"/>
      <c r="I47" s="1509">
        <f>SUM(J47:Q47)</f>
        <v>123176</v>
      </c>
      <c r="J47" s="1762">
        <v>15000</v>
      </c>
      <c r="K47" s="1762"/>
      <c r="L47" s="1762"/>
      <c r="M47" s="1762"/>
      <c r="N47" s="1762"/>
      <c r="O47" s="1762"/>
      <c r="P47" s="1762"/>
      <c r="Q47" s="1762">
        <v>108176</v>
      </c>
      <c r="R47" s="1764">
        <v>38044</v>
      </c>
    </row>
    <row r="48" spans="1:19" s="1769" customFormat="1" ht="18" customHeight="1">
      <c r="A48" s="1470">
        <v>41</v>
      </c>
      <c r="B48" s="1490"/>
      <c r="C48" s="1690"/>
      <c r="D48" s="1761"/>
      <c r="E48" s="1892" t="s">
        <v>765</v>
      </c>
      <c r="F48" s="1762"/>
      <c r="G48" s="1762"/>
      <c r="H48" s="1763"/>
      <c r="I48" s="1508">
        <f>SUM(J48:Q48)</f>
        <v>170386</v>
      </c>
      <c r="J48" s="164">
        <v>15000</v>
      </c>
      <c r="K48" s="164"/>
      <c r="L48" s="164"/>
      <c r="M48" s="164"/>
      <c r="N48" s="164"/>
      <c r="O48" s="164"/>
      <c r="P48" s="164">
        <v>22446</v>
      </c>
      <c r="Q48" s="164">
        <v>132940</v>
      </c>
      <c r="R48" s="1766">
        <v>62808</v>
      </c>
    </row>
    <row r="49" spans="1:19" s="1769" customFormat="1" ht="18" customHeight="1">
      <c r="A49" s="1470">
        <v>42</v>
      </c>
      <c r="B49" s="1490"/>
      <c r="C49" s="1690"/>
      <c r="D49" s="1761"/>
      <c r="E49" s="165" t="s">
        <v>1021</v>
      </c>
      <c r="F49" s="1762"/>
      <c r="G49" s="1762"/>
      <c r="H49" s="1763"/>
      <c r="I49" s="1501">
        <f>SUM(J49:Q49)</f>
        <v>175961</v>
      </c>
      <c r="J49" s="166">
        <v>20575</v>
      </c>
      <c r="K49" s="1762"/>
      <c r="L49" s="1762"/>
      <c r="M49" s="1762"/>
      <c r="N49" s="1762"/>
      <c r="O49" s="1762"/>
      <c r="P49" s="166">
        <v>22446</v>
      </c>
      <c r="Q49" s="166">
        <v>132940</v>
      </c>
      <c r="R49" s="162">
        <f>51910+10678</f>
        <v>62588</v>
      </c>
    </row>
    <row r="50" spans="1:19" ht="22.5" customHeight="1">
      <c r="A50" s="1470">
        <v>43</v>
      </c>
      <c r="B50" s="1484">
        <v>9</v>
      </c>
      <c r="C50" s="1624"/>
      <c r="D50" s="1777" t="s">
        <v>28</v>
      </c>
      <c r="E50" s="1777"/>
      <c r="F50" s="161">
        <v>424358</v>
      </c>
      <c r="G50" s="161">
        <v>345822</v>
      </c>
      <c r="H50" s="1507">
        <v>483799</v>
      </c>
      <c r="I50" s="1760"/>
      <c r="J50" s="161"/>
      <c r="K50" s="161"/>
      <c r="L50" s="161"/>
      <c r="M50" s="161"/>
      <c r="N50" s="161"/>
      <c r="O50" s="161"/>
      <c r="P50" s="161"/>
      <c r="Q50" s="161"/>
      <c r="R50" s="162"/>
      <c r="S50" s="23"/>
    </row>
    <row r="51" spans="1:19" s="1769" customFormat="1" ht="18" customHeight="1">
      <c r="A51" s="1470">
        <v>44</v>
      </c>
      <c r="B51" s="1490"/>
      <c r="C51" s="1680"/>
      <c r="D51" s="1790"/>
      <c r="E51" s="1492" t="s">
        <v>198</v>
      </c>
      <c r="F51" s="1791"/>
      <c r="G51" s="1791"/>
      <c r="H51" s="1792"/>
      <c r="I51" s="167">
        <f t="shared" ref="I51:I53" si="4">SUM(J51:Q51)</f>
        <v>417595</v>
      </c>
      <c r="J51" s="1791">
        <v>1800</v>
      </c>
      <c r="K51" s="1791"/>
      <c r="L51" s="1791"/>
      <c r="M51" s="1791"/>
      <c r="N51" s="1791"/>
      <c r="O51" s="1791"/>
      <c r="P51" s="1791">
        <v>2948</v>
      </c>
      <c r="Q51" s="1791">
        <f>409847+3000</f>
        <v>412847</v>
      </c>
      <c r="R51" s="1793">
        <v>241563</v>
      </c>
    </row>
    <row r="52" spans="1:19" s="1769" customFormat="1" ht="18" customHeight="1">
      <c r="A52" s="1470">
        <v>45</v>
      </c>
      <c r="B52" s="1490"/>
      <c r="C52" s="1680"/>
      <c r="D52" s="1790"/>
      <c r="E52" s="1892" t="s">
        <v>765</v>
      </c>
      <c r="F52" s="1791"/>
      <c r="G52" s="1791"/>
      <c r="H52" s="1792"/>
      <c r="I52" s="168">
        <f t="shared" si="4"/>
        <v>563022</v>
      </c>
      <c r="J52" s="169">
        <v>8000</v>
      </c>
      <c r="K52" s="169"/>
      <c r="L52" s="169"/>
      <c r="M52" s="169"/>
      <c r="N52" s="169"/>
      <c r="O52" s="169"/>
      <c r="P52" s="169">
        <v>29207</v>
      </c>
      <c r="Q52" s="169">
        <v>525815</v>
      </c>
      <c r="R52" s="1795">
        <v>347319</v>
      </c>
    </row>
    <row r="53" spans="1:19" s="1769" customFormat="1" ht="18" customHeight="1">
      <c r="A53" s="1470">
        <v>46</v>
      </c>
      <c r="B53" s="1490"/>
      <c r="C53" s="1680"/>
      <c r="D53" s="1790"/>
      <c r="E53" s="165" t="s">
        <v>1021</v>
      </c>
      <c r="F53" s="1791"/>
      <c r="G53" s="1791"/>
      <c r="H53" s="1792"/>
      <c r="I53" s="1501">
        <f t="shared" si="4"/>
        <v>564815</v>
      </c>
      <c r="J53" s="1803">
        <v>9487</v>
      </c>
      <c r="K53" s="1803">
        <v>306</v>
      </c>
      <c r="L53" s="1791"/>
      <c r="M53" s="1791"/>
      <c r="N53" s="1791"/>
      <c r="O53" s="1791"/>
      <c r="P53" s="1803">
        <v>29207</v>
      </c>
      <c r="Q53" s="1803">
        <v>525815</v>
      </c>
      <c r="R53" s="1804">
        <f>329570+10500</f>
        <v>340070</v>
      </c>
    </row>
    <row r="54" spans="1:19" s="1506" customFormat="1" ht="30" customHeight="1" thickBot="1">
      <c r="A54" s="1470">
        <v>47</v>
      </c>
      <c r="B54" s="1484"/>
      <c r="C54" s="1665">
        <v>1</v>
      </c>
      <c r="D54" s="1903" t="s">
        <v>208</v>
      </c>
      <c r="E54" s="1903"/>
      <c r="F54" s="161">
        <v>3539</v>
      </c>
      <c r="G54" s="161"/>
      <c r="H54" s="1507"/>
      <c r="I54" s="1760"/>
      <c r="J54" s="161"/>
      <c r="K54" s="161"/>
      <c r="L54" s="161"/>
      <c r="M54" s="161"/>
      <c r="N54" s="161"/>
      <c r="O54" s="161"/>
      <c r="P54" s="161"/>
      <c r="Q54" s="161"/>
      <c r="R54" s="162"/>
      <c r="S54" s="1513"/>
    </row>
    <row r="55" spans="1:19" s="1595" customFormat="1" ht="22.5" customHeight="1" thickTop="1">
      <c r="A55" s="1470">
        <v>48</v>
      </c>
      <c r="B55" s="1770"/>
      <c r="C55" s="1905" t="s">
        <v>209</v>
      </c>
      <c r="D55" s="1905"/>
      <c r="E55" s="1905"/>
      <c r="F55" s="1785">
        <f>SUM(F42:F54)</f>
        <v>2017915</v>
      </c>
      <c r="G55" s="1785">
        <f>SUM(G42:G54)</f>
        <v>2093912</v>
      </c>
      <c r="H55" s="1786">
        <f>SUM(H42:H54)</f>
        <v>2468330</v>
      </c>
      <c r="I55" s="1787"/>
      <c r="J55" s="1785"/>
      <c r="K55" s="1785"/>
      <c r="L55" s="1785"/>
      <c r="M55" s="1785"/>
      <c r="N55" s="1785"/>
      <c r="O55" s="1785"/>
      <c r="P55" s="1785"/>
      <c r="Q55" s="1785"/>
      <c r="R55" s="1805"/>
    </row>
    <row r="56" spans="1:19" s="1769" customFormat="1" ht="18" customHeight="1">
      <c r="A56" s="1470">
        <v>49</v>
      </c>
      <c r="B56" s="1490"/>
      <c r="C56" s="1680"/>
      <c r="D56" s="1790"/>
      <c r="E56" s="1492" t="s">
        <v>198</v>
      </c>
      <c r="F56" s="1791"/>
      <c r="G56" s="1791"/>
      <c r="H56" s="1792"/>
      <c r="I56" s="167">
        <f t="shared" ref="I56:R56" si="5">SUM(I43,I47,I51)</f>
        <v>2366254</v>
      </c>
      <c r="J56" s="1791">
        <f t="shared" si="5"/>
        <v>49314</v>
      </c>
      <c r="K56" s="1791">
        <f t="shared" si="5"/>
        <v>1938</v>
      </c>
      <c r="L56" s="1791">
        <f t="shared" si="5"/>
        <v>0</v>
      </c>
      <c r="M56" s="1791">
        <f t="shared" si="5"/>
        <v>0</v>
      </c>
      <c r="N56" s="1791">
        <f t="shared" si="5"/>
        <v>0</v>
      </c>
      <c r="O56" s="1791">
        <f t="shared" si="5"/>
        <v>0</v>
      </c>
      <c r="P56" s="1791">
        <f t="shared" si="5"/>
        <v>45948</v>
      </c>
      <c r="Q56" s="1791">
        <f t="shared" si="5"/>
        <v>2269054</v>
      </c>
      <c r="R56" s="1793">
        <f t="shared" si="5"/>
        <v>1530187</v>
      </c>
    </row>
    <row r="57" spans="1:19" s="1769" customFormat="1" ht="18" customHeight="1">
      <c r="A57" s="1470">
        <v>50</v>
      </c>
      <c r="B57" s="1806"/>
      <c r="C57" s="1807"/>
      <c r="D57" s="1690"/>
      <c r="E57" s="1892" t="s">
        <v>765</v>
      </c>
      <c r="F57" s="1791"/>
      <c r="G57" s="1791"/>
      <c r="H57" s="1792"/>
      <c r="I57" s="168">
        <f t="shared" ref="I57:R57" si="6">SUM(I44,I48,I52)</f>
        <v>2792831</v>
      </c>
      <c r="J57" s="169">
        <f t="shared" si="6"/>
        <v>81132</v>
      </c>
      <c r="K57" s="169">
        <f t="shared" si="6"/>
        <v>52530</v>
      </c>
      <c r="L57" s="169">
        <f t="shared" si="6"/>
        <v>0</v>
      </c>
      <c r="M57" s="169">
        <f t="shared" si="6"/>
        <v>0</v>
      </c>
      <c r="N57" s="169">
        <f t="shared" si="6"/>
        <v>0</v>
      </c>
      <c r="O57" s="169">
        <f t="shared" si="6"/>
        <v>0</v>
      </c>
      <c r="P57" s="169">
        <f t="shared" si="6"/>
        <v>186353</v>
      </c>
      <c r="Q57" s="169">
        <f t="shared" si="6"/>
        <v>2472816</v>
      </c>
      <c r="R57" s="1795">
        <f t="shared" si="6"/>
        <v>1724814</v>
      </c>
    </row>
    <row r="58" spans="1:19" s="1769" customFormat="1" ht="18" customHeight="1" thickBot="1">
      <c r="A58" s="1470">
        <v>51</v>
      </c>
      <c r="B58" s="1806"/>
      <c r="C58" s="1808"/>
      <c r="D58" s="1796"/>
      <c r="E58" s="1541" t="s">
        <v>1022</v>
      </c>
      <c r="F58" s="1798"/>
      <c r="G58" s="1798"/>
      <c r="H58" s="1799"/>
      <c r="I58" s="1544">
        <f>SUM(J58:Q58)</f>
        <v>2800201</v>
      </c>
      <c r="J58" s="1800">
        <f t="shared" ref="J58:R58" si="7">J53+J49+J45</f>
        <v>88195</v>
      </c>
      <c r="K58" s="1800">
        <f t="shared" si="7"/>
        <v>52837</v>
      </c>
      <c r="L58" s="1800">
        <f t="shared" si="7"/>
        <v>0</v>
      </c>
      <c r="M58" s="1800">
        <f t="shared" si="7"/>
        <v>0</v>
      </c>
      <c r="N58" s="1800">
        <f t="shared" si="7"/>
        <v>0</v>
      </c>
      <c r="O58" s="1800">
        <f t="shared" si="7"/>
        <v>0</v>
      </c>
      <c r="P58" s="1800">
        <f t="shared" si="7"/>
        <v>186353</v>
      </c>
      <c r="Q58" s="1800">
        <f t="shared" si="7"/>
        <v>2472816</v>
      </c>
      <c r="R58" s="1801">
        <f t="shared" si="7"/>
        <v>1718719</v>
      </c>
    </row>
    <row r="59" spans="1:19" s="1517" customFormat="1" ht="22.5" customHeight="1" thickTop="1">
      <c r="A59" s="1470">
        <v>52</v>
      </c>
      <c r="B59" s="1476">
        <v>10</v>
      </c>
      <c r="C59" s="1753"/>
      <c r="D59" s="1809" t="s">
        <v>210</v>
      </c>
      <c r="E59" s="1810"/>
      <c r="F59" s="1480">
        <v>557354</v>
      </c>
      <c r="G59" s="1480">
        <v>493071</v>
      </c>
      <c r="H59" s="1548">
        <v>619997</v>
      </c>
      <c r="I59" s="1756"/>
      <c r="J59" s="1480"/>
      <c r="K59" s="1480"/>
      <c r="L59" s="1480"/>
      <c r="M59" s="1480"/>
      <c r="N59" s="1480"/>
      <c r="O59" s="1480"/>
      <c r="P59" s="1480"/>
      <c r="Q59" s="1480"/>
      <c r="R59" s="1757"/>
      <c r="S59" s="1513"/>
    </row>
    <row r="60" spans="1:19" s="1499" customFormat="1" ht="18" customHeight="1">
      <c r="A60" s="1470">
        <v>53</v>
      </c>
      <c r="B60" s="1490"/>
      <c r="C60" s="1690"/>
      <c r="D60" s="1761"/>
      <c r="E60" s="1492" t="s">
        <v>198</v>
      </c>
      <c r="F60" s="1762"/>
      <c r="G60" s="1762"/>
      <c r="H60" s="1763"/>
      <c r="I60" s="1509">
        <f t="shared" ref="I60:I62" si="8">SUM(J60:Q60)</f>
        <v>421845</v>
      </c>
      <c r="J60" s="1762">
        <v>49066</v>
      </c>
      <c r="K60" s="1762"/>
      <c r="L60" s="1762"/>
      <c r="M60" s="1762"/>
      <c r="N60" s="1762"/>
      <c r="O60" s="1762"/>
      <c r="P60" s="1762">
        <f>35000+25298</f>
        <v>60298</v>
      </c>
      <c r="Q60" s="1762">
        <v>312481</v>
      </c>
      <c r="R60" s="1764">
        <v>53447</v>
      </c>
    </row>
    <row r="61" spans="1:19" s="1499" customFormat="1" ht="18" customHeight="1">
      <c r="A61" s="1470">
        <v>54</v>
      </c>
      <c r="B61" s="1490"/>
      <c r="C61" s="1690"/>
      <c r="D61" s="1761"/>
      <c r="E61" s="1892" t="s">
        <v>765</v>
      </c>
      <c r="F61" s="1762"/>
      <c r="G61" s="1762"/>
      <c r="H61" s="1763"/>
      <c r="I61" s="1508">
        <f t="shared" si="8"/>
        <v>552463</v>
      </c>
      <c r="J61" s="164">
        <v>63155</v>
      </c>
      <c r="K61" s="164">
        <v>4700</v>
      </c>
      <c r="L61" s="164">
        <v>15</v>
      </c>
      <c r="M61" s="164"/>
      <c r="N61" s="164"/>
      <c r="O61" s="164"/>
      <c r="P61" s="164">
        <v>120140</v>
      </c>
      <c r="Q61" s="164">
        <v>364453</v>
      </c>
      <c r="R61" s="1766">
        <v>68985</v>
      </c>
    </row>
    <row r="62" spans="1:19" s="1499" customFormat="1" ht="18" customHeight="1">
      <c r="A62" s="1470">
        <v>55</v>
      </c>
      <c r="B62" s="1490"/>
      <c r="C62" s="1690"/>
      <c r="D62" s="1761"/>
      <c r="E62" s="165" t="s">
        <v>1021</v>
      </c>
      <c r="F62" s="1811"/>
      <c r="G62" s="1762"/>
      <c r="H62" s="1763"/>
      <c r="I62" s="1501">
        <f t="shared" si="8"/>
        <v>569047</v>
      </c>
      <c r="J62" s="166">
        <v>79731</v>
      </c>
      <c r="K62" s="166">
        <v>4700</v>
      </c>
      <c r="L62" s="166">
        <v>23</v>
      </c>
      <c r="M62" s="1762"/>
      <c r="N62" s="1762"/>
      <c r="O62" s="1762"/>
      <c r="P62" s="166">
        <v>120140</v>
      </c>
      <c r="Q62" s="1812">
        <v>364453</v>
      </c>
      <c r="R62" s="162">
        <v>68985</v>
      </c>
    </row>
    <row r="63" spans="1:19" s="1506" customFormat="1" ht="30" customHeight="1">
      <c r="A63" s="1470">
        <v>56</v>
      </c>
      <c r="B63" s="1484"/>
      <c r="C63" s="1665">
        <v>1</v>
      </c>
      <c r="D63" s="1903" t="s">
        <v>211</v>
      </c>
      <c r="E63" s="1903"/>
      <c r="F63" s="161">
        <v>29483</v>
      </c>
      <c r="G63" s="161">
        <v>38386</v>
      </c>
      <c r="H63" s="1507">
        <v>38386</v>
      </c>
      <c r="I63" s="1760"/>
      <c r="J63" s="161"/>
      <c r="K63" s="161"/>
      <c r="L63" s="161"/>
      <c r="M63" s="161"/>
      <c r="N63" s="161"/>
      <c r="O63" s="161"/>
      <c r="P63" s="161"/>
      <c r="Q63" s="161"/>
      <c r="R63" s="162"/>
      <c r="S63" s="1513"/>
    </row>
    <row r="64" spans="1:19" s="1506" customFormat="1" ht="30" customHeight="1">
      <c r="A64" s="1470">
        <v>57</v>
      </c>
      <c r="B64" s="1484"/>
      <c r="C64" s="1665">
        <v>2</v>
      </c>
      <c r="D64" s="1903" t="s">
        <v>212</v>
      </c>
      <c r="E64" s="1903"/>
      <c r="F64" s="161">
        <v>1173</v>
      </c>
      <c r="G64" s="161"/>
      <c r="H64" s="1507"/>
      <c r="I64" s="1760"/>
      <c r="J64" s="161"/>
      <c r="K64" s="161"/>
      <c r="L64" s="161"/>
      <c r="M64" s="161"/>
      <c r="N64" s="161"/>
      <c r="O64" s="161"/>
      <c r="P64" s="161"/>
      <c r="Q64" s="161"/>
      <c r="R64" s="162"/>
      <c r="S64" s="1513"/>
    </row>
    <row r="65" spans="1:19" s="1506" customFormat="1" ht="22.5" customHeight="1">
      <c r="A65" s="1470">
        <v>58</v>
      </c>
      <c r="B65" s="1484">
        <v>11</v>
      </c>
      <c r="C65" s="1624"/>
      <c r="D65" s="1777" t="s">
        <v>31</v>
      </c>
      <c r="E65" s="1777"/>
      <c r="F65" s="161">
        <v>433654</v>
      </c>
      <c r="G65" s="161">
        <v>629204</v>
      </c>
      <c r="H65" s="1507">
        <v>659994</v>
      </c>
      <c r="I65" s="1760"/>
      <c r="J65" s="161"/>
      <c r="K65" s="161"/>
      <c r="L65" s="161"/>
      <c r="M65" s="161"/>
      <c r="N65" s="161"/>
      <c r="O65" s="161"/>
      <c r="P65" s="161"/>
      <c r="Q65" s="161"/>
      <c r="R65" s="162"/>
      <c r="S65" s="1513"/>
    </row>
    <row r="66" spans="1:19" s="1499" customFormat="1" ht="18" customHeight="1">
      <c r="A66" s="1470">
        <v>59</v>
      </c>
      <c r="B66" s="1490"/>
      <c r="C66" s="1690"/>
      <c r="D66" s="1761"/>
      <c r="E66" s="1492" t="s">
        <v>198</v>
      </c>
      <c r="F66" s="1762"/>
      <c r="G66" s="1762"/>
      <c r="H66" s="1763"/>
      <c r="I66" s="1509">
        <f>SUM(J66:Q66)</f>
        <v>275654</v>
      </c>
      <c r="J66" s="1762">
        <v>29423</v>
      </c>
      <c r="K66" s="1762"/>
      <c r="L66" s="1762"/>
      <c r="M66" s="1762"/>
      <c r="N66" s="1762"/>
      <c r="O66" s="1762"/>
      <c r="P66" s="1762">
        <v>25546</v>
      </c>
      <c r="Q66" s="1762">
        <v>220685</v>
      </c>
      <c r="R66" s="1764">
        <v>48646</v>
      </c>
    </row>
    <row r="67" spans="1:19" s="1499" customFormat="1" ht="18" customHeight="1">
      <c r="A67" s="1470">
        <v>60</v>
      </c>
      <c r="B67" s="1490"/>
      <c r="C67" s="1690"/>
      <c r="D67" s="1761"/>
      <c r="E67" s="163" t="s">
        <v>765</v>
      </c>
      <c r="F67" s="1762"/>
      <c r="G67" s="1762"/>
      <c r="H67" s="1763"/>
      <c r="I67" s="1508">
        <f>SUM(J67:Q67)</f>
        <v>390769</v>
      </c>
      <c r="J67" s="164">
        <v>68556</v>
      </c>
      <c r="K67" s="164">
        <v>6501</v>
      </c>
      <c r="L67" s="164">
        <v>31319</v>
      </c>
      <c r="M67" s="164"/>
      <c r="N67" s="164">
        <v>1850</v>
      </c>
      <c r="O67" s="164"/>
      <c r="P67" s="164">
        <v>28813</v>
      </c>
      <c r="Q67" s="164">
        <v>253730</v>
      </c>
      <c r="R67" s="1766">
        <v>63384</v>
      </c>
    </row>
    <row r="68" spans="1:19" s="1499" customFormat="1" ht="18" customHeight="1">
      <c r="A68" s="1470">
        <v>61</v>
      </c>
      <c r="B68" s="1490"/>
      <c r="C68" s="1690"/>
      <c r="D68" s="1761"/>
      <c r="E68" s="165" t="s">
        <v>1021</v>
      </c>
      <c r="F68" s="1762"/>
      <c r="G68" s="1762"/>
      <c r="H68" s="1763"/>
      <c r="I68" s="1501">
        <f>SUM(J68:Q68)</f>
        <v>377506</v>
      </c>
      <c r="J68" s="166">
        <v>54964</v>
      </c>
      <c r="K68" s="166">
        <v>6700</v>
      </c>
      <c r="L68" s="166">
        <v>31449</v>
      </c>
      <c r="M68" s="1762"/>
      <c r="N68" s="166">
        <v>1850</v>
      </c>
      <c r="O68" s="1762"/>
      <c r="P68" s="166">
        <v>28813</v>
      </c>
      <c r="Q68" s="166">
        <v>253730</v>
      </c>
      <c r="R68" s="162">
        <v>63384</v>
      </c>
    </row>
    <row r="69" spans="1:19" s="1506" customFormat="1" ht="18" customHeight="1">
      <c r="A69" s="1470">
        <v>62</v>
      </c>
      <c r="B69" s="1484"/>
      <c r="C69" s="1624">
        <v>2</v>
      </c>
      <c r="D69" s="1767" t="s">
        <v>213</v>
      </c>
      <c r="E69" s="1759"/>
      <c r="F69" s="161">
        <v>7512</v>
      </c>
      <c r="G69" s="161"/>
      <c r="H69" s="1507"/>
      <c r="I69" s="1760"/>
      <c r="J69" s="161"/>
      <c r="K69" s="161"/>
      <c r="L69" s="161"/>
      <c r="M69" s="161"/>
      <c r="N69" s="161"/>
      <c r="O69" s="161"/>
      <c r="P69" s="161"/>
      <c r="Q69" s="161"/>
      <c r="R69" s="162"/>
      <c r="S69" s="1513"/>
    </row>
    <row r="70" spans="1:19" s="1613" customFormat="1" ht="22.5" customHeight="1">
      <c r="A70" s="1470">
        <v>63</v>
      </c>
      <c r="B70" s="1484">
        <v>12</v>
      </c>
      <c r="C70" s="1624"/>
      <c r="D70" s="1777" t="s">
        <v>10</v>
      </c>
      <c r="E70" s="1813"/>
      <c r="F70" s="161">
        <v>602096</v>
      </c>
      <c r="G70" s="161">
        <v>618266</v>
      </c>
      <c r="H70" s="1507">
        <v>719597</v>
      </c>
      <c r="I70" s="1760"/>
      <c r="J70" s="161"/>
      <c r="K70" s="161"/>
      <c r="L70" s="161"/>
      <c r="M70" s="161"/>
      <c r="N70" s="161"/>
      <c r="O70" s="161"/>
      <c r="P70" s="161"/>
      <c r="Q70" s="161"/>
      <c r="R70" s="162"/>
    </row>
    <row r="71" spans="1:19" s="1511" customFormat="1" ht="18" customHeight="1">
      <c r="A71" s="1470">
        <v>64</v>
      </c>
      <c r="B71" s="1490"/>
      <c r="C71" s="1690"/>
      <c r="D71" s="1761"/>
      <c r="E71" s="1492" t="s">
        <v>198</v>
      </c>
      <c r="F71" s="1762"/>
      <c r="G71" s="1762"/>
      <c r="H71" s="1763"/>
      <c r="I71" s="1509">
        <f>SUM(J71:Q71)</f>
        <v>671116</v>
      </c>
      <c r="J71" s="1762">
        <v>50272</v>
      </c>
      <c r="K71" s="1762"/>
      <c r="L71" s="1762">
        <v>3816</v>
      </c>
      <c r="M71" s="1762"/>
      <c r="N71" s="1762"/>
      <c r="O71" s="1762"/>
      <c r="P71" s="1762">
        <f>10700+12632</f>
        <v>23332</v>
      </c>
      <c r="Q71" s="1762">
        <v>593696</v>
      </c>
      <c r="R71" s="1764">
        <v>327956</v>
      </c>
    </row>
    <row r="72" spans="1:19" s="1511" customFormat="1" ht="18" customHeight="1">
      <c r="A72" s="1470">
        <v>65</v>
      </c>
      <c r="B72" s="1490"/>
      <c r="C72" s="1690"/>
      <c r="D72" s="1761"/>
      <c r="E72" s="163" t="s">
        <v>765</v>
      </c>
      <c r="F72" s="1762"/>
      <c r="G72" s="1762"/>
      <c r="H72" s="1763"/>
      <c r="I72" s="1508">
        <f>SUM(J72:Q72)</f>
        <v>751376</v>
      </c>
      <c r="J72" s="164">
        <v>55199</v>
      </c>
      <c r="K72" s="164">
        <v>3071</v>
      </c>
      <c r="L72" s="164">
        <v>7711</v>
      </c>
      <c r="M72" s="164"/>
      <c r="N72" s="164">
        <v>1434</v>
      </c>
      <c r="O72" s="164">
        <v>2902</v>
      </c>
      <c r="P72" s="164">
        <v>73081</v>
      </c>
      <c r="Q72" s="164">
        <v>607978</v>
      </c>
      <c r="R72" s="1766">
        <v>333679</v>
      </c>
    </row>
    <row r="73" spans="1:19" s="1511" customFormat="1" ht="18" customHeight="1">
      <c r="A73" s="1470">
        <v>66</v>
      </c>
      <c r="B73" s="1490"/>
      <c r="C73" s="1690"/>
      <c r="D73" s="1761"/>
      <c r="E73" s="165" t="s">
        <v>1021</v>
      </c>
      <c r="F73" s="1762"/>
      <c r="G73" s="1762"/>
      <c r="H73" s="1763"/>
      <c r="I73" s="1501">
        <f>SUM(J73:Q73)</f>
        <v>751374</v>
      </c>
      <c r="J73" s="166">
        <v>55198</v>
      </c>
      <c r="K73" s="166">
        <v>3071</v>
      </c>
      <c r="L73" s="166">
        <v>7710</v>
      </c>
      <c r="M73" s="166"/>
      <c r="N73" s="166">
        <v>1434</v>
      </c>
      <c r="O73" s="166">
        <v>2902</v>
      </c>
      <c r="P73" s="166">
        <v>73081</v>
      </c>
      <c r="Q73" s="166">
        <v>607978</v>
      </c>
      <c r="R73" s="162">
        <v>333679</v>
      </c>
    </row>
    <row r="74" spans="1:19" s="1613" customFormat="1" ht="30" customHeight="1">
      <c r="A74" s="1470">
        <v>67</v>
      </c>
      <c r="B74" s="1770"/>
      <c r="C74" s="1665">
        <v>2</v>
      </c>
      <c r="D74" s="1903" t="s">
        <v>211</v>
      </c>
      <c r="E74" s="1903"/>
      <c r="F74" s="161">
        <v>13578</v>
      </c>
      <c r="G74" s="161">
        <v>15126</v>
      </c>
      <c r="H74" s="1507">
        <v>24753</v>
      </c>
      <c r="I74" s="1760"/>
      <c r="J74" s="161"/>
      <c r="K74" s="161"/>
      <c r="L74" s="161"/>
      <c r="M74" s="161"/>
      <c r="N74" s="161"/>
      <c r="O74" s="161"/>
      <c r="P74" s="161"/>
      <c r="Q74" s="161"/>
      <c r="R74" s="162"/>
    </row>
    <row r="75" spans="1:19" s="1613" customFormat="1" ht="22.5" customHeight="1">
      <c r="A75" s="1470">
        <v>68</v>
      </c>
      <c r="B75" s="1484">
        <v>13</v>
      </c>
      <c r="C75" s="1624"/>
      <c r="D75" s="1777" t="s">
        <v>32</v>
      </c>
      <c r="E75" s="1813"/>
      <c r="F75" s="161">
        <v>520566</v>
      </c>
      <c r="G75" s="161">
        <v>469102</v>
      </c>
      <c r="H75" s="1507">
        <v>743638</v>
      </c>
      <c r="I75" s="1760"/>
      <c r="J75" s="161"/>
      <c r="K75" s="161"/>
      <c r="L75" s="161"/>
      <c r="M75" s="161"/>
      <c r="N75" s="161"/>
      <c r="O75" s="161"/>
      <c r="P75" s="161"/>
      <c r="Q75" s="161"/>
      <c r="R75" s="162"/>
    </row>
    <row r="76" spans="1:19" s="1511" customFormat="1" ht="18" customHeight="1">
      <c r="A76" s="1470">
        <v>69</v>
      </c>
      <c r="B76" s="1490"/>
      <c r="C76" s="1690"/>
      <c r="D76" s="1761"/>
      <c r="E76" s="1492" t="s">
        <v>198</v>
      </c>
      <c r="F76" s="1762"/>
      <c r="G76" s="1762"/>
      <c r="H76" s="1763"/>
      <c r="I76" s="1509">
        <f t="shared" ref="I76:I78" si="9">SUM(J76:Q76)</f>
        <v>689496</v>
      </c>
      <c r="J76" s="1762">
        <f>94504+47383</f>
        <v>141887</v>
      </c>
      <c r="K76" s="1762"/>
      <c r="L76" s="1762">
        <f>63161-23994</f>
        <v>39167</v>
      </c>
      <c r="M76" s="1762"/>
      <c r="N76" s="1762"/>
      <c r="O76" s="1762">
        <v>23994</v>
      </c>
      <c r="P76" s="1762">
        <f>9400+122797</f>
        <v>132197</v>
      </c>
      <c r="Q76" s="1762">
        <v>352251</v>
      </c>
      <c r="R76" s="1764">
        <v>159352</v>
      </c>
    </row>
    <row r="77" spans="1:19" s="1511" customFormat="1" ht="18" customHeight="1">
      <c r="A77" s="1470">
        <v>70</v>
      </c>
      <c r="B77" s="1490"/>
      <c r="C77" s="1690"/>
      <c r="D77" s="1761"/>
      <c r="E77" s="163" t="s">
        <v>765</v>
      </c>
      <c r="F77" s="1762"/>
      <c r="G77" s="1762"/>
      <c r="H77" s="1763"/>
      <c r="I77" s="1508">
        <f t="shared" si="9"/>
        <v>856400</v>
      </c>
      <c r="J77" s="164">
        <v>220143</v>
      </c>
      <c r="K77" s="164">
        <v>5589</v>
      </c>
      <c r="L77" s="164">
        <v>36673</v>
      </c>
      <c r="M77" s="164"/>
      <c r="N77" s="164">
        <v>700</v>
      </c>
      <c r="O77" s="164">
        <v>23994</v>
      </c>
      <c r="P77" s="164">
        <v>197931</v>
      </c>
      <c r="Q77" s="164">
        <v>371370</v>
      </c>
      <c r="R77" s="1766">
        <v>159352</v>
      </c>
    </row>
    <row r="78" spans="1:19" s="1511" customFormat="1" ht="18" customHeight="1">
      <c r="A78" s="1470">
        <v>71</v>
      </c>
      <c r="B78" s="1490"/>
      <c r="C78" s="1690"/>
      <c r="D78" s="1761"/>
      <c r="E78" s="165" t="s">
        <v>1021</v>
      </c>
      <c r="F78" s="1762"/>
      <c r="G78" s="1762"/>
      <c r="H78" s="1763"/>
      <c r="I78" s="1501">
        <f t="shared" si="9"/>
        <v>803904</v>
      </c>
      <c r="J78" s="166">
        <v>167648</v>
      </c>
      <c r="K78" s="166">
        <v>5588</v>
      </c>
      <c r="L78" s="166">
        <v>36673</v>
      </c>
      <c r="M78" s="166"/>
      <c r="N78" s="166">
        <v>700</v>
      </c>
      <c r="O78" s="166">
        <v>23994</v>
      </c>
      <c r="P78" s="166">
        <v>197931</v>
      </c>
      <c r="Q78" s="166">
        <v>371370</v>
      </c>
      <c r="R78" s="162">
        <v>159352</v>
      </c>
    </row>
    <row r="79" spans="1:19" s="1506" customFormat="1" ht="18" customHeight="1">
      <c r="A79" s="1470">
        <v>72</v>
      </c>
      <c r="B79" s="1484"/>
      <c r="C79" s="1624">
        <v>1</v>
      </c>
      <c r="D79" s="1767" t="s">
        <v>214</v>
      </c>
      <c r="E79" s="1759"/>
      <c r="F79" s="161">
        <v>8944</v>
      </c>
      <c r="G79" s="161">
        <v>8944</v>
      </c>
      <c r="H79" s="1507">
        <v>8944</v>
      </c>
      <c r="I79" s="1760"/>
      <c r="J79" s="161"/>
      <c r="K79" s="161"/>
      <c r="L79" s="161"/>
      <c r="M79" s="161"/>
      <c r="N79" s="161"/>
      <c r="O79" s="161"/>
      <c r="P79" s="161"/>
      <c r="Q79" s="161"/>
      <c r="R79" s="162"/>
      <c r="S79" s="1513"/>
    </row>
    <row r="80" spans="1:19" s="1506" customFormat="1" ht="30" customHeight="1">
      <c r="A80" s="1470">
        <v>73</v>
      </c>
      <c r="B80" s="1484"/>
      <c r="C80" s="1665">
        <v>2</v>
      </c>
      <c r="D80" s="1903" t="s">
        <v>215</v>
      </c>
      <c r="E80" s="1903"/>
      <c r="F80" s="161">
        <v>25000</v>
      </c>
      <c r="G80" s="161">
        <v>2350</v>
      </c>
      <c r="H80" s="1507">
        <v>2350</v>
      </c>
      <c r="I80" s="1760"/>
      <c r="J80" s="161"/>
      <c r="K80" s="161"/>
      <c r="L80" s="161"/>
      <c r="M80" s="161"/>
      <c r="N80" s="161"/>
      <c r="O80" s="161"/>
      <c r="P80" s="161"/>
      <c r="Q80" s="161"/>
      <c r="R80" s="162"/>
      <c r="S80" s="1513"/>
    </row>
    <row r="81" spans="1:19" s="1506" customFormat="1" ht="18" customHeight="1">
      <c r="A81" s="1470">
        <v>74</v>
      </c>
      <c r="B81" s="1484"/>
      <c r="C81" s="1624">
        <v>3</v>
      </c>
      <c r="D81" s="1904" t="s">
        <v>216</v>
      </c>
      <c r="E81" s="1904"/>
      <c r="F81" s="161"/>
      <c r="G81" s="161">
        <v>4000</v>
      </c>
      <c r="H81" s="1507">
        <v>6250</v>
      </c>
      <c r="I81" s="1760"/>
      <c r="J81" s="161"/>
      <c r="K81" s="161"/>
      <c r="L81" s="161"/>
      <c r="M81" s="161"/>
      <c r="N81" s="161"/>
      <c r="O81" s="161"/>
      <c r="P81" s="161"/>
      <c r="Q81" s="161"/>
      <c r="R81" s="162"/>
      <c r="S81" s="1513"/>
    </row>
    <row r="82" spans="1:19" s="1613" customFormat="1" ht="22.5" customHeight="1">
      <c r="A82" s="1470">
        <v>75</v>
      </c>
      <c r="B82" s="1484">
        <v>14</v>
      </c>
      <c r="C82" s="1624"/>
      <c r="D82" s="1777" t="s">
        <v>33</v>
      </c>
      <c r="E82" s="1777"/>
      <c r="F82" s="161">
        <v>233714</v>
      </c>
      <c r="G82" s="161">
        <v>231644</v>
      </c>
      <c r="H82" s="1507">
        <v>414902</v>
      </c>
      <c r="I82" s="1760"/>
      <c r="J82" s="161"/>
      <c r="K82" s="161"/>
      <c r="L82" s="161"/>
      <c r="M82" s="161"/>
      <c r="N82" s="161"/>
      <c r="O82" s="161"/>
      <c r="P82" s="161"/>
      <c r="Q82" s="161"/>
      <c r="R82" s="162"/>
    </row>
    <row r="83" spans="1:19" s="1511" customFormat="1" ht="18" customHeight="1">
      <c r="A83" s="1470">
        <v>76</v>
      </c>
      <c r="B83" s="1490"/>
      <c r="C83" s="1690"/>
      <c r="D83" s="1761"/>
      <c r="E83" s="1492" t="s">
        <v>198</v>
      </c>
      <c r="F83" s="1762"/>
      <c r="G83" s="1762"/>
      <c r="H83" s="1763"/>
      <c r="I83" s="1509">
        <f>SUM(J83:Q83)</f>
        <v>265743</v>
      </c>
      <c r="J83" s="1762">
        <v>49800</v>
      </c>
      <c r="K83" s="1762"/>
      <c r="L83" s="1762"/>
      <c r="M83" s="1762"/>
      <c r="N83" s="1762"/>
      <c r="O83" s="1762"/>
      <c r="P83" s="1762">
        <v>17210</v>
      </c>
      <c r="Q83" s="1762">
        <v>198733</v>
      </c>
      <c r="R83" s="1764">
        <v>79619</v>
      </c>
    </row>
    <row r="84" spans="1:19" s="1511" customFormat="1" ht="18" customHeight="1">
      <c r="A84" s="1470">
        <v>77</v>
      </c>
      <c r="B84" s="1490"/>
      <c r="C84" s="1690"/>
      <c r="D84" s="1761"/>
      <c r="E84" s="163" t="s">
        <v>765</v>
      </c>
      <c r="F84" s="1762"/>
      <c r="G84" s="1762"/>
      <c r="H84" s="1763"/>
      <c r="I84" s="1508">
        <f>SUM(J84:Q84)</f>
        <v>374416</v>
      </c>
      <c r="J84" s="164">
        <v>78832</v>
      </c>
      <c r="K84" s="164">
        <v>30700</v>
      </c>
      <c r="L84" s="164">
        <v>11255</v>
      </c>
      <c r="M84" s="164">
        <v>197</v>
      </c>
      <c r="N84" s="164"/>
      <c r="O84" s="164"/>
      <c r="P84" s="164">
        <v>18072</v>
      </c>
      <c r="Q84" s="164">
        <v>235360</v>
      </c>
      <c r="R84" s="1766">
        <v>79619</v>
      </c>
    </row>
    <row r="85" spans="1:19" s="1511" customFormat="1" ht="18" customHeight="1">
      <c r="A85" s="1470">
        <v>78</v>
      </c>
      <c r="B85" s="1490"/>
      <c r="C85" s="1690"/>
      <c r="D85" s="1761"/>
      <c r="E85" s="165" t="s">
        <v>1021</v>
      </c>
      <c r="F85" s="1762"/>
      <c r="G85" s="1762"/>
      <c r="H85" s="1763"/>
      <c r="I85" s="1501">
        <f>SUM(J85:Q85)</f>
        <v>374415</v>
      </c>
      <c r="J85" s="166">
        <f>78832-1</f>
        <v>78831</v>
      </c>
      <c r="K85" s="166">
        <v>30700</v>
      </c>
      <c r="L85" s="166">
        <f>11254+1</f>
        <v>11255</v>
      </c>
      <c r="M85" s="166">
        <v>197</v>
      </c>
      <c r="N85" s="1762"/>
      <c r="O85" s="1762"/>
      <c r="P85" s="166">
        <v>18072</v>
      </c>
      <c r="Q85" s="166">
        <v>235360</v>
      </c>
      <c r="R85" s="162">
        <v>79619</v>
      </c>
    </row>
    <row r="86" spans="1:19" s="1814" customFormat="1" ht="18" customHeight="1">
      <c r="A86" s="1470">
        <v>79</v>
      </c>
      <c r="B86" s="1558"/>
      <c r="C86" s="1624">
        <v>1</v>
      </c>
      <c r="D86" s="1759" t="s">
        <v>217</v>
      </c>
      <c r="E86" s="1759"/>
      <c r="F86" s="161">
        <v>623</v>
      </c>
      <c r="G86" s="161"/>
      <c r="H86" s="1507"/>
      <c r="I86" s="1760"/>
      <c r="J86" s="161"/>
      <c r="K86" s="161"/>
      <c r="L86" s="161"/>
      <c r="M86" s="161"/>
      <c r="N86" s="161"/>
      <c r="O86" s="161"/>
      <c r="P86" s="161"/>
      <c r="Q86" s="161"/>
      <c r="R86" s="162"/>
      <c r="S86" s="1517"/>
    </row>
    <row r="87" spans="1:19" s="1506" customFormat="1" ht="18" customHeight="1">
      <c r="A87" s="1470">
        <v>80</v>
      </c>
      <c r="B87" s="1484"/>
      <c r="C87" s="1624">
        <v>2</v>
      </c>
      <c r="D87" s="1767" t="s">
        <v>214</v>
      </c>
      <c r="E87" s="1759"/>
      <c r="F87" s="161">
        <v>2874</v>
      </c>
      <c r="G87" s="161"/>
      <c r="H87" s="1507"/>
      <c r="I87" s="1760"/>
      <c r="J87" s="161"/>
      <c r="K87" s="161"/>
      <c r="L87" s="161"/>
      <c r="M87" s="161"/>
      <c r="N87" s="161"/>
      <c r="O87" s="161"/>
      <c r="P87" s="161"/>
      <c r="Q87" s="161"/>
      <c r="R87" s="162"/>
      <c r="S87" s="1513"/>
    </row>
    <row r="88" spans="1:19" s="1506" customFormat="1" ht="30" customHeight="1">
      <c r="A88" s="1470">
        <v>81</v>
      </c>
      <c r="B88" s="1484"/>
      <c r="C88" s="1665">
        <v>3</v>
      </c>
      <c r="D88" s="1903" t="s">
        <v>218</v>
      </c>
      <c r="E88" s="1903"/>
      <c r="F88" s="161">
        <v>5204</v>
      </c>
      <c r="G88" s="161"/>
      <c r="H88" s="1507"/>
      <c r="I88" s="1760"/>
      <c r="J88" s="161"/>
      <c r="K88" s="161"/>
      <c r="L88" s="161"/>
      <c r="M88" s="161"/>
      <c r="N88" s="161"/>
      <c r="O88" s="161"/>
      <c r="P88" s="161"/>
      <c r="Q88" s="161"/>
      <c r="R88" s="162"/>
      <c r="S88" s="1513"/>
    </row>
    <row r="89" spans="1:19" s="1768" customFormat="1" ht="22.5" customHeight="1">
      <c r="A89" s="1470">
        <v>82</v>
      </c>
      <c r="B89" s="1484">
        <v>15</v>
      </c>
      <c r="C89" s="1624"/>
      <c r="D89" s="1777" t="s">
        <v>34</v>
      </c>
      <c r="E89" s="1813"/>
      <c r="F89" s="161">
        <v>1328135</v>
      </c>
      <c r="G89" s="161">
        <v>961735</v>
      </c>
      <c r="H89" s="1507">
        <v>1371608</v>
      </c>
      <c r="I89" s="1760"/>
      <c r="J89" s="161"/>
      <c r="K89" s="161"/>
      <c r="L89" s="161"/>
      <c r="M89" s="161"/>
      <c r="N89" s="161"/>
      <c r="O89" s="161"/>
      <c r="P89" s="161"/>
      <c r="Q89" s="161"/>
      <c r="R89" s="162"/>
    </row>
    <row r="90" spans="1:19" s="1769" customFormat="1" ht="18" customHeight="1">
      <c r="A90" s="1470">
        <v>83</v>
      </c>
      <c r="B90" s="1490"/>
      <c r="C90" s="1680"/>
      <c r="D90" s="1790"/>
      <c r="E90" s="1492" t="s">
        <v>198</v>
      </c>
      <c r="F90" s="1791"/>
      <c r="G90" s="1791"/>
      <c r="H90" s="1792"/>
      <c r="I90" s="167">
        <f>SUM(J90:Q90)</f>
        <v>950477</v>
      </c>
      <c r="J90" s="1791">
        <v>210554</v>
      </c>
      <c r="K90" s="1791">
        <v>31000</v>
      </c>
      <c r="L90" s="1791"/>
      <c r="M90" s="1791"/>
      <c r="N90" s="1791"/>
      <c r="O90" s="1791"/>
      <c r="P90" s="1791"/>
      <c r="Q90" s="1791">
        <v>708923</v>
      </c>
      <c r="R90" s="1793">
        <v>436728</v>
      </c>
    </row>
    <row r="91" spans="1:19" s="1769" customFormat="1" ht="18" customHeight="1">
      <c r="A91" s="1470">
        <v>84</v>
      </c>
      <c r="B91" s="1490"/>
      <c r="C91" s="1680"/>
      <c r="D91" s="1790"/>
      <c r="E91" s="163" t="s">
        <v>765</v>
      </c>
      <c r="F91" s="1791"/>
      <c r="G91" s="1791"/>
      <c r="H91" s="1792"/>
      <c r="I91" s="168">
        <f>SUM(J91:Q91)</f>
        <v>1311455</v>
      </c>
      <c r="J91" s="169">
        <v>325597</v>
      </c>
      <c r="K91" s="169">
        <v>60368</v>
      </c>
      <c r="L91" s="169">
        <v>17895</v>
      </c>
      <c r="M91" s="169"/>
      <c r="N91" s="169">
        <v>352</v>
      </c>
      <c r="O91" s="169"/>
      <c r="P91" s="169">
        <v>153581</v>
      </c>
      <c r="Q91" s="169">
        <v>753662</v>
      </c>
      <c r="R91" s="1795">
        <v>436728</v>
      </c>
    </row>
    <row r="92" spans="1:19" s="1769" customFormat="1" ht="18" customHeight="1" thickBot="1">
      <c r="A92" s="1470">
        <v>85</v>
      </c>
      <c r="B92" s="1490"/>
      <c r="C92" s="1690"/>
      <c r="D92" s="1761"/>
      <c r="E92" s="165" t="s">
        <v>1021</v>
      </c>
      <c r="F92" s="1762"/>
      <c r="G92" s="1762"/>
      <c r="H92" s="1763"/>
      <c r="I92" s="1501">
        <f>SUM(J92:Q92)</f>
        <v>1311456</v>
      </c>
      <c r="J92" s="166">
        <v>325598</v>
      </c>
      <c r="K92" s="166">
        <v>60368</v>
      </c>
      <c r="L92" s="166">
        <v>17895</v>
      </c>
      <c r="M92" s="1762"/>
      <c r="N92" s="166">
        <v>352</v>
      </c>
      <c r="O92" s="166"/>
      <c r="P92" s="166">
        <v>153581</v>
      </c>
      <c r="Q92" s="166">
        <v>753662</v>
      </c>
      <c r="R92" s="162">
        <v>436728</v>
      </c>
    </row>
    <row r="93" spans="1:19" s="1768" customFormat="1" ht="22.5" customHeight="1" thickTop="1">
      <c r="A93" s="1470">
        <v>86</v>
      </c>
      <c r="B93" s="1770"/>
      <c r="C93" s="1905" t="s">
        <v>219</v>
      </c>
      <c r="D93" s="1905"/>
      <c r="E93" s="1905"/>
      <c r="F93" s="1785">
        <f>SUM(F59:F90)</f>
        <v>3769910</v>
      </c>
      <c r="G93" s="1785">
        <f>SUM(G59:G90)</f>
        <v>3471828</v>
      </c>
      <c r="H93" s="1786">
        <f>SUM(H59:H90)</f>
        <v>4610419</v>
      </c>
      <c r="I93" s="1787"/>
      <c r="J93" s="1785"/>
      <c r="K93" s="1785"/>
      <c r="L93" s="1785"/>
      <c r="M93" s="1785"/>
      <c r="N93" s="1785"/>
      <c r="O93" s="1785"/>
      <c r="P93" s="1785"/>
      <c r="Q93" s="1785"/>
      <c r="R93" s="1805"/>
    </row>
    <row r="94" spans="1:19" s="1769" customFormat="1" ht="18" customHeight="1">
      <c r="A94" s="1470">
        <v>87</v>
      </c>
      <c r="B94" s="1490"/>
      <c r="C94" s="1680"/>
      <c r="D94" s="1790"/>
      <c r="E94" s="1492" t="s">
        <v>198</v>
      </c>
      <c r="F94" s="1791"/>
      <c r="G94" s="1791"/>
      <c r="H94" s="1792"/>
      <c r="I94" s="167">
        <f t="shared" ref="I94:R94" si="10">SUM(I60,I66,I71,I76,I83,I90)</f>
        <v>3274331</v>
      </c>
      <c r="J94" s="1791">
        <f t="shared" si="10"/>
        <v>531002</v>
      </c>
      <c r="K94" s="1791">
        <f t="shared" si="10"/>
        <v>31000</v>
      </c>
      <c r="L94" s="1791">
        <f t="shared" si="10"/>
        <v>42983</v>
      </c>
      <c r="M94" s="1791">
        <f t="shared" si="10"/>
        <v>0</v>
      </c>
      <c r="N94" s="1791">
        <f t="shared" si="10"/>
        <v>0</v>
      </c>
      <c r="O94" s="1791">
        <f t="shared" si="10"/>
        <v>23994</v>
      </c>
      <c r="P94" s="1791">
        <f t="shared" si="10"/>
        <v>258583</v>
      </c>
      <c r="Q94" s="1791">
        <f t="shared" si="10"/>
        <v>2386769</v>
      </c>
      <c r="R94" s="1793">
        <f t="shared" si="10"/>
        <v>1105748</v>
      </c>
    </row>
    <row r="95" spans="1:19" s="1769" customFormat="1" ht="18" customHeight="1">
      <c r="A95" s="1470">
        <v>88</v>
      </c>
      <c r="B95" s="1806"/>
      <c r="C95" s="1680"/>
      <c r="D95" s="1790"/>
      <c r="E95" s="163" t="s">
        <v>765</v>
      </c>
      <c r="F95" s="1791"/>
      <c r="G95" s="1791"/>
      <c r="H95" s="1792"/>
      <c r="I95" s="168">
        <f t="shared" ref="I95:R95" si="11">SUM(I61,I67,I72,I77,I84,I91)</f>
        <v>4236879</v>
      </c>
      <c r="J95" s="169">
        <f t="shared" si="11"/>
        <v>811482</v>
      </c>
      <c r="K95" s="169">
        <f t="shared" si="11"/>
        <v>110929</v>
      </c>
      <c r="L95" s="169">
        <f t="shared" si="11"/>
        <v>104868</v>
      </c>
      <c r="M95" s="169">
        <f t="shared" si="11"/>
        <v>197</v>
      </c>
      <c r="N95" s="169">
        <f t="shared" si="11"/>
        <v>4336</v>
      </c>
      <c r="O95" s="169">
        <f t="shared" si="11"/>
        <v>26896</v>
      </c>
      <c r="P95" s="169">
        <f t="shared" si="11"/>
        <v>591618</v>
      </c>
      <c r="Q95" s="169">
        <f t="shared" si="11"/>
        <v>2586553</v>
      </c>
      <c r="R95" s="1795">
        <f t="shared" si="11"/>
        <v>1141747</v>
      </c>
    </row>
    <row r="96" spans="1:19" s="1769" customFormat="1" ht="18" customHeight="1" thickBot="1">
      <c r="A96" s="1470">
        <v>89</v>
      </c>
      <c r="B96" s="1806"/>
      <c r="C96" s="1796"/>
      <c r="D96" s="1797"/>
      <c r="E96" s="1541" t="s">
        <v>1021</v>
      </c>
      <c r="F96" s="1798"/>
      <c r="G96" s="1798"/>
      <c r="H96" s="1799"/>
      <c r="I96" s="1544">
        <f>SUM(J96:Q96)</f>
        <v>4187702</v>
      </c>
      <c r="J96" s="1800">
        <f t="shared" ref="J96:R96" si="12">J92+J85+J78+J73+J68+J62</f>
        <v>761970</v>
      </c>
      <c r="K96" s="1800">
        <f t="shared" si="12"/>
        <v>111127</v>
      </c>
      <c r="L96" s="1800">
        <f t="shared" si="12"/>
        <v>105005</v>
      </c>
      <c r="M96" s="1800">
        <f t="shared" si="12"/>
        <v>197</v>
      </c>
      <c r="N96" s="1800">
        <f t="shared" si="12"/>
        <v>4336</v>
      </c>
      <c r="O96" s="1800">
        <f t="shared" si="12"/>
        <v>26896</v>
      </c>
      <c r="P96" s="1800">
        <f t="shared" si="12"/>
        <v>591618</v>
      </c>
      <c r="Q96" s="1800">
        <f t="shared" si="12"/>
        <v>2586553</v>
      </c>
      <c r="R96" s="1801">
        <f t="shared" si="12"/>
        <v>1141747</v>
      </c>
    </row>
    <row r="97" spans="1:19" ht="22.5" customHeight="1" thickTop="1">
      <c r="A97" s="1470">
        <v>90</v>
      </c>
      <c r="B97" s="1476">
        <v>16</v>
      </c>
      <c r="C97" s="1753"/>
      <c r="D97" s="1809" t="s">
        <v>35</v>
      </c>
      <c r="E97" s="1809"/>
      <c r="F97" s="1480">
        <v>1598773</v>
      </c>
      <c r="G97" s="1480">
        <v>1425063</v>
      </c>
      <c r="H97" s="1548">
        <v>1728283</v>
      </c>
      <c r="I97" s="1756"/>
      <c r="J97" s="1480"/>
      <c r="K97" s="1480"/>
      <c r="L97" s="1480"/>
      <c r="M97" s="1480"/>
      <c r="N97" s="1480"/>
      <c r="O97" s="1480"/>
      <c r="P97" s="1480"/>
      <c r="Q97" s="1480"/>
      <c r="R97" s="1757"/>
      <c r="S97" s="1513"/>
    </row>
    <row r="98" spans="1:19" s="1815" customFormat="1" ht="18" customHeight="1">
      <c r="A98" s="1470">
        <v>91</v>
      </c>
      <c r="B98" s="1490"/>
      <c r="C98" s="1690"/>
      <c r="D98" s="1690"/>
      <c r="E98" s="1492" t="s">
        <v>198</v>
      </c>
      <c r="F98" s="1762"/>
      <c r="G98" s="1762"/>
      <c r="H98" s="1763"/>
      <c r="I98" s="1509">
        <f>SUM(J98:Q98)</f>
        <v>1824602</v>
      </c>
      <c r="J98" s="1762">
        <v>425293</v>
      </c>
      <c r="K98" s="1762"/>
      <c r="L98" s="1762"/>
      <c r="M98" s="1762"/>
      <c r="N98" s="1762"/>
      <c r="O98" s="1762"/>
      <c r="P98" s="1762">
        <v>76231</v>
      </c>
      <c r="Q98" s="1762">
        <v>1323078</v>
      </c>
      <c r="R98" s="1764">
        <v>594122</v>
      </c>
      <c r="S98" s="1586"/>
    </row>
    <row r="99" spans="1:19" s="1815" customFormat="1" ht="18" customHeight="1">
      <c r="A99" s="1470">
        <v>92</v>
      </c>
      <c r="B99" s="1490"/>
      <c r="C99" s="1690"/>
      <c r="D99" s="1690"/>
      <c r="E99" s="163" t="s">
        <v>765</v>
      </c>
      <c r="F99" s="1762"/>
      <c r="G99" s="1762"/>
      <c r="H99" s="1763"/>
      <c r="I99" s="1508">
        <f>SUM(J99:Q99)</f>
        <v>2068755</v>
      </c>
      <c r="J99" s="164">
        <v>425293</v>
      </c>
      <c r="K99" s="164"/>
      <c r="L99" s="164"/>
      <c r="M99" s="164"/>
      <c r="N99" s="164"/>
      <c r="O99" s="164"/>
      <c r="P99" s="164">
        <v>317907</v>
      </c>
      <c r="Q99" s="164">
        <v>1325555</v>
      </c>
      <c r="R99" s="1766">
        <v>596090</v>
      </c>
      <c r="S99" s="1586"/>
    </row>
    <row r="100" spans="1:19" s="1815" customFormat="1" ht="18" customHeight="1" thickBot="1">
      <c r="A100" s="1470">
        <v>93</v>
      </c>
      <c r="B100" s="1816"/>
      <c r="C100" s="1817"/>
      <c r="D100" s="1817"/>
      <c r="E100" s="1303" t="s">
        <v>1021</v>
      </c>
      <c r="F100" s="1818"/>
      <c r="G100" s="1818"/>
      <c r="H100" s="1819"/>
      <c r="I100" s="1820">
        <f>SUM(J100:Q100)</f>
        <v>2255867</v>
      </c>
      <c r="J100" s="1304">
        <v>612348</v>
      </c>
      <c r="K100" s="1304">
        <v>57</v>
      </c>
      <c r="L100" s="1818"/>
      <c r="M100" s="1818"/>
      <c r="N100" s="1818"/>
      <c r="O100" s="1818"/>
      <c r="P100" s="1304">
        <v>317907</v>
      </c>
      <c r="Q100" s="1304">
        <v>1325555</v>
      </c>
      <c r="R100" s="1821">
        <v>576361</v>
      </c>
      <c r="S100" s="1586"/>
    </row>
    <row r="101" spans="1:19" s="1814" customFormat="1" ht="24" customHeight="1">
      <c r="A101" s="1470">
        <v>94</v>
      </c>
      <c r="B101" s="1906" t="s">
        <v>220</v>
      </c>
      <c r="C101" s="1906"/>
      <c r="D101" s="1906"/>
      <c r="E101" s="1906"/>
      <c r="F101" s="1647">
        <f>SUM(F97,F93,F55,F38)</f>
        <v>9649881</v>
      </c>
      <c r="G101" s="1647">
        <f>SUM(G97,G93,G55,G38)</f>
        <v>9477637</v>
      </c>
      <c r="H101" s="1822">
        <f>SUM(H97,H93,H55,H38)</f>
        <v>11476755</v>
      </c>
      <c r="I101" s="1756"/>
      <c r="J101" s="1480"/>
      <c r="K101" s="1480"/>
      <c r="L101" s="1480"/>
      <c r="M101" s="1480"/>
      <c r="N101" s="1480"/>
      <c r="O101" s="1480"/>
      <c r="P101" s="1480"/>
      <c r="Q101" s="1480"/>
      <c r="R101" s="1757"/>
      <c r="S101" s="1517"/>
    </row>
    <row r="102" spans="1:19" s="1815" customFormat="1" ht="18" customHeight="1">
      <c r="A102" s="1470">
        <v>95</v>
      </c>
      <c r="B102" s="1490"/>
      <c r="C102" s="1690"/>
      <c r="D102" s="1761"/>
      <c r="E102" s="1492" t="s">
        <v>198</v>
      </c>
      <c r="F102" s="1762"/>
      <c r="G102" s="1762"/>
      <c r="H102" s="1763"/>
      <c r="I102" s="1509">
        <f t="shared" ref="I102:R102" si="13">SUM(I98,I94,I56,I39)</f>
        <v>10526892</v>
      </c>
      <c r="J102" s="1762">
        <f t="shared" si="13"/>
        <v>1092969</v>
      </c>
      <c r="K102" s="1762">
        <f t="shared" si="13"/>
        <v>32938</v>
      </c>
      <c r="L102" s="1762">
        <f t="shared" si="13"/>
        <v>42983</v>
      </c>
      <c r="M102" s="1762">
        <f t="shared" si="13"/>
        <v>0</v>
      </c>
      <c r="N102" s="1762">
        <f t="shared" si="13"/>
        <v>0</v>
      </c>
      <c r="O102" s="1762">
        <f t="shared" si="13"/>
        <v>23994</v>
      </c>
      <c r="P102" s="1762">
        <f t="shared" si="13"/>
        <v>430762</v>
      </c>
      <c r="Q102" s="1762">
        <f t="shared" si="13"/>
        <v>8903246</v>
      </c>
      <c r="R102" s="1764">
        <f t="shared" si="13"/>
        <v>5475996</v>
      </c>
      <c r="S102" s="1586"/>
    </row>
    <row r="103" spans="1:19" s="1815" customFormat="1" ht="18" customHeight="1">
      <c r="A103" s="1470">
        <v>96</v>
      </c>
      <c r="B103" s="1490"/>
      <c r="C103" s="1690"/>
      <c r="D103" s="1761"/>
      <c r="E103" s="163" t="s">
        <v>765</v>
      </c>
      <c r="F103" s="1762"/>
      <c r="G103" s="1762"/>
      <c r="H103" s="1763"/>
      <c r="I103" s="1508">
        <f t="shared" ref="I103:R103" si="14">SUM(I99,I95,I57,I40)</f>
        <v>12372472</v>
      </c>
      <c r="J103" s="164">
        <f t="shared" si="14"/>
        <v>1415872</v>
      </c>
      <c r="K103" s="164">
        <f t="shared" si="14"/>
        <v>163659</v>
      </c>
      <c r="L103" s="164">
        <f t="shared" si="14"/>
        <v>104868</v>
      </c>
      <c r="M103" s="164">
        <f t="shared" si="14"/>
        <v>197</v>
      </c>
      <c r="N103" s="164">
        <f t="shared" si="14"/>
        <v>4336</v>
      </c>
      <c r="O103" s="164">
        <f t="shared" si="14"/>
        <v>26896</v>
      </c>
      <c r="P103" s="164">
        <f t="shared" si="14"/>
        <v>1260530</v>
      </c>
      <c r="Q103" s="164">
        <f t="shared" si="14"/>
        <v>9396114</v>
      </c>
      <c r="R103" s="1823">
        <f t="shared" si="14"/>
        <v>5709334</v>
      </c>
      <c r="S103" s="1586"/>
    </row>
    <row r="104" spans="1:19" s="1815" customFormat="1" ht="18" customHeight="1" thickBot="1">
      <c r="A104" s="1470">
        <v>97</v>
      </c>
      <c r="B104" s="1490"/>
      <c r="C104" s="1690"/>
      <c r="D104" s="1761"/>
      <c r="E104" s="165" t="s">
        <v>1022</v>
      </c>
      <c r="F104" s="1762"/>
      <c r="G104" s="1762"/>
      <c r="H104" s="1763"/>
      <c r="I104" s="1501">
        <f>SUM(J104:Q104)</f>
        <v>12519607</v>
      </c>
      <c r="J104" s="166">
        <f t="shared" ref="J104:R104" si="15">J100+J96+J58+J41</f>
        <v>1561964</v>
      </c>
      <c r="K104" s="166">
        <f t="shared" si="15"/>
        <v>164565</v>
      </c>
      <c r="L104" s="166">
        <f t="shared" si="15"/>
        <v>105005</v>
      </c>
      <c r="M104" s="166">
        <f t="shared" si="15"/>
        <v>197</v>
      </c>
      <c r="N104" s="166">
        <f t="shared" si="15"/>
        <v>4336</v>
      </c>
      <c r="O104" s="166">
        <f t="shared" si="15"/>
        <v>26896</v>
      </c>
      <c r="P104" s="166">
        <f t="shared" si="15"/>
        <v>1260530</v>
      </c>
      <c r="Q104" s="166">
        <f t="shared" si="15"/>
        <v>9396114</v>
      </c>
      <c r="R104" s="1824">
        <f t="shared" si="15"/>
        <v>5680716</v>
      </c>
      <c r="S104" s="1586"/>
    </row>
    <row r="105" spans="1:19" ht="30" customHeight="1">
      <c r="A105" s="1470">
        <v>98</v>
      </c>
      <c r="B105" s="1825">
        <v>17</v>
      </c>
      <c r="C105" s="1619"/>
      <c r="D105" s="1907" t="s">
        <v>1205</v>
      </c>
      <c r="E105" s="1907"/>
      <c r="F105" s="1826">
        <v>2581389</v>
      </c>
      <c r="G105" s="1826">
        <v>2293390</v>
      </c>
      <c r="H105" s="1827">
        <v>2865198</v>
      </c>
      <c r="I105" s="1828"/>
      <c r="J105" s="1828"/>
      <c r="K105" s="1829"/>
      <c r="L105" s="1830"/>
      <c r="M105" s="1830"/>
      <c r="N105" s="1830"/>
      <c r="O105" s="1830"/>
      <c r="P105" s="1830"/>
      <c r="Q105" s="1830"/>
      <c r="R105" s="1831"/>
      <c r="S105" s="1513"/>
    </row>
    <row r="106" spans="1:19" s="1815" customFormat="1" ht="18" customHeight="1">
      <c r="A106" s="1470">
        <v>99</v>
      </c>
      <c r="B106" s="1651"/>
      <c r="C106" s="1680"/>
      <c r="D106" s="1680"/>
      <c r="E106" s="1575" t="s">
        <v>198</v>
      </c>
      <c r="F106" s="1791"/>
      <c r="G106" s="1791"/>
      <c r="H106" s="1792"/>
      <c r="I106" s="167">
        <f>SUM(J106:Q106)</f>
        <v>2584822</v>
      </c>
      <c r="J106" s="1791">
        <v>3000</v>
      </c>
      <c r="K106" s="1791"/>
      <c r="L106" s="1791"/>
      <c r="M106" s="1791"/>
      <c r="N106" s="1791"/>
      <c r="O106" s="1791"/>
      <c r="P106" s="1791">
        <v>10712</v>
      </c>
      <c r="Q106" s="1791">
        <v>2571110</v>
      </c>
      <c r="R106" s="1793">
        <v>913168</v>
      </c>
      <c r="S106" s="1586"/>
    </row>
    <row r="107" spans="1:19" s="1815" customFormat="1" ht="18" customHeight="1">
      <c r="A107" s="1470">
        <v>100</v>
      </c>
      <c r="B107" s="1832"/>
      <c r="C107" s="1680"/>
      <c r="D107" s="1790"/>
      <c r="E107" s="163" t="s">
        <v>765</v>
      </c>
      <c r="F107" s="1791"/>
      <c r="G107" s="1791"/>
      <c r="H107" s="1792"/>
      <c r="I107" s="168">
        <f>SUM(J107:Q107)</f>
        <v>3438721</v>
      </c>
      <c r="J107" s="169">
        <v>7970</v>
      </c>
      <c r="K107" s="169">
        <v>39173</v>
      </c>
      <c r="L107" s="169"/>
      <c r="M107" s="169">
        <v>30</v>
      </c>
      <c r="N107" s="169"/>
      <c r="O107" s="169"/>
      <c r="P107" s="169">
        <v>700703</v>
      </c>
      <c r="Q107" s="169">
        <v>2690845</v>
      </c>
      <c r="R107" s="1795">
        <v>913168</v>
      </c>
      <c r="S107" s="1586"/>
    </row>
    <row r="108" spans="1:19" s="1815" customFormat="1" ht="18" customHeight="1" thickBot="1">
      <c r="A108" s="1470">
        <v>101</v>
      </c>
      <c r="B108" s="1833"/>
      <c r="C108" s="1690"/>
      <c r="D108" s="1761"/>
      <c r="E108" s="1834" t="s">
        <v>1023</v>
      </c>
      <c r="F108" s="1811"/>
      <c r="G108" s="1762"/>
      <c r="H108" s="1763"/>
      <c r="I108" s="1501">
        <f>SUM(J108:Q108)</f>
        <v>3446739</v>
      </c>
      <c r="J108" s="166">
        <v>15115</v>
      </c>
      <c r="K108" s="166">
        <v>39173</v>
      </c>
      <c r="L108" s="166"/>
      <c r="M108" s="166">
        <v>903</v>
      </c>
      <c r="N108" s="1762"/>
      <c r="O108" s="1762"/>
      <c r="P108" s="166">
        <v>700703</v>
      </c>
      <c r="Q108" s="166">
        <v>2690845</v>
      </c>
      <c r="R108" s="162">
        <v>913168</v>
      </c>
      <c r="S108" s="1586"/>
    </row>
    <row r="109" spans="1:19" s="1814" customFormat="1" ht="26.25" customHeight="1">
      <c r="A109" s="1470">
        <v>102</v>
      </c>
      <c r="B109" s="1902" t="s">
        <v>221</v>
      </c>
      <c r="C109" s="1902"/>
      <c r="D109" s="1902"/>
      <c r="E109" s="1902"/>
      <c r="F109" s="1835">
        <f>SUM(F101:F106)</f>
        <v>12231270</v>
      </c>
      <c r="G109" s="1835">
        <f>SUM(G101:G106)</f>
        <v>11771027</v>
      </c>
      <c r="H109" s="1836">
        <f>SUM(H101:H106)</f>
        <v>14341953</v>
      </c>
      <c r="I109" s="1837"/>
      <c r="J109" s="1835"/>
      <c r="K109" s="1835"/>
      <c r="L109" s="1835"/>
      <c r="M109" s="1835"/>
      <c r="N109" s="1835"/>
      <c r="O109" s="1835"/>
      <c r="P109" s="1835"/>
      <c r="Q109" s="1835"/>
      <c r="R109" s="1838"/>
      <c r="S109" s="1517"/>
    </row>
    <row r="110" spans="1:19" s="1815" customFormat="1" ht="18" customHeight="1">
      <c r="A110" s="1470">
        <v>103</v>
      </c>
      <c r="B110" s="1651"/>
      <c r="C110" s="1680"/>
      <c r="D110" s="1680"/>
      <c r="E110" s="1839" t="s">
        <v>198</v>
      </c>
      <c r="F110" s="1791"/>
      <c r="G110" s="1791"/>
      <c r="H110" s="1792"/>
      <c r="I110" s="167">
        <f t="shared" ref="I110:R110" si="16">SUM(I102,I106)</f>
        <v>13111714</v>
      </c>
      <c r="J110" s="1791">
        <f t="shared" si="16"/>
        <v>1095969</v>
      </c>
      <c r="K110" s="1791">
        <f t="shared" si="16"/>
        <v>32938</v>
      </c>
      <c r="L110" s="1791">
        <f t="shared" si="16"/>
        <v>42983</v>
      </c>
      <c r="M110" s="1791">
        <f t="shared" si="16"/>
        <v>0</v>
      </c>
      <c r="N110" s="1791">
        <f t="shared" si="16"/>
        <v>0</v>
      </c>
      <c r="O110" s="1791">
        <f t="shared" si="16"/>
        <v>23994</v>
      </c>
      <c r="P110" s="1791">
        <f t="shared" si="16"/>
        <v>441474</v>
      </c>
      <c r="Q110" s="1791">
        <f t="shared" si="16"/>
        <v>11474356</v>
      </c>
      <c r="R110" s="1793">
        <f t="shared" si="16"/>
        <v>6389164</v>
      </c>
      <c r="S110" s="1586"/>
    </row>
    <row r="111" spans="1:19" s="1815" customFormat="1" ht="18" customHeight="1">
      <c r="A111" s="1470">
        <v>104</v>
      </c>
      <c r="B111" s="1651"/>
      <c r="C111" s="1680"/>
      <c r="D111" s="1680"/>
      <c r="E111" s="170" t="s">
        <v>765</v>
      </c>
      <c r="F111" s="1791"/>
      <c r="G111" s="1791"/>
      <c r="H111" s="1792"/>
      <c r="I111" s="168">
        <f t="shared" ref="I111:R111" si="17">SUM(I103,I107)</f>
        <v>15811193</v>
      </c>
      <c r="J111" s="169">
        <f t="shared" si="17"/>
        <v>1423842</v>
      </c>
      <c r="K111" s="169">
        <f t="shared" si="17"/>
        <v>202832</v>
      </c>
      <c r="L111" s="169">
        <f t="shared" si="17"/>
        <v>104868</v>
      </c>
      <c r="M111" s="169">
        <f t="shared" si="17"/>
        <v>227</v>
      </c>
      <c r="N111" s="169">
        <f t="shared" si="17"/>
        <v>4336</v>
      </c>
      <c r="O111" s="169">
        <f t="shared" si="17"/>
        <v>26896</v>
      </c>
      <c r="P111" s="169">
        <f t="shared" si="17"/>
        <v>1961233</v>
      </c>
      <c r="Q111" s="169">
        <f t="shared" si="17"/>
        <v>12086959</v>
      </c>
      <c r="R111" s="1840">
        <f t="shared" si="17"/>
        <v>6622502</v>
      </c>
      <c r="S111" s="1586"/>
    </row>
    <row r="112" spans="1:19" ht="18" customHeight="1" thickBot="1">
      <c r="A112" s="1470">
        <v>105</v>
      </c>
      <c r="B112" s="1841"/>
      <c r="C112" s="1842"/>
      <c r="D112" s="1842"/>
      <c r="E112" s="1303" t="s">
        <v>1022</v>
      </c>
      <c r="F112" s="1843"/>
      <c r="G112" s="1843"/>
      <c r="H112" s="1844"/>
      <c r="I112" s="1820">
        <f>SUM(J112:Q112)</f>
        <v>15966346</v>
      </c>
      <c r="J112" s="1304">
        <f t="shared" ref="J112:R112" si="18">J108+J104</f>
        <v>1577079</v>
      </c>
      <c r="K112" s="1304">
        <f t="shared" si="18"/>
        <v>203738</v>
      </c>
      <c r="L112" s="1304">
        <f t="shared" si="18"/>
        <v>105005</v>
      </c>
      <c r="M112" s="1304">
        <f t="shared" si="18"/>
        <v>1100</v>
      </c>
      <c r="N112" s="1304">
        <f t="shared" si="18"/>
        <v>4336</v>
      </c>
      <c r="O112" s="1304">
        <f t="shared" si="18"/>
        <v>26896</v>
      </c>
      <c r="P112" s="1304">
        <f t="shared" si="18"/>
        <v>1961233</v>
      </c>
      <c r="Q112" s="1304">
        <f t="shared" si="18"/>
        <v>12086959</v>
      </c>
      <c r="R112" s="1821">
        <f t="shared" si="18"/>
        <v>6593884</v>
      </c>
    </row>
  </sheetData>
  <mergeCells count="29">
    <mergeCell ref="B1:F1"/>
    <mergeCell ref="C93:E93"/>
    <mergeCell ref="B101:E101"/>
    <mergeCell ref="D105:E105"/>
    <mergeCell ref="C38:E38"/>
    <mergeCell ref="D42:E42"/>
    <mergeCell ref="D54:E54"/>
    <mergeCell ref="C55:E55"/>
    <mergeCell ref="D63:E63"/>
    <mergeCell ref="B2:R2"/>
    <mergeCell ref="B3:R3"/>
    <mergeCell ref="D5:E5"/>
    <mergeCell ref="B6:B7"/>
    <mergeCell ref="C6:C7"/>
    <mergeCell ref="D6:E7"/>
    <mergeCell ref="F6:F7"/>
    <mergeCell ref="B109:E109"/>
    <mergeCell ref="D64:E64"/>
    <mergeCell ref="D74:E74"/>
    <mergeCell ref="D80:E80"/>
    <mergeCell ref="D81:E81"/>
    <mergeCell ref="D88:E88"/>
    <mergeCell ref="P6:P7"/>
    <mergeCell ref="Q6:R6"/>
    <mergeCell ref="G6:G7"/>
    <mergeCell ref="H6:H7"/>
    <mergeCell ref="I6:I7"/>
    <mergeCell ref="J6:L6"/>
    <mergeCell ref="M6:O6"/>
  </mergeCells>
  <printOptions horizontalCentered="1"/>
  <pageMargins left="0.196527777777778" right="0.196527777777778" top="0.59027777777777801" bottom="0.59097222222222201" header="0.511811023622047" footer="0.31527777777777799"/>
  <pageSetup paperSize="9" scale="64" fitToHeight="0" orientation="landscape" verticalDpi="300" r:id="rId1"/>
  <headerFooter>
    <oddFooter>&amp;C- &amp;P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252"/>
  <sheetViews>
    <sheetView view="pageBreakPreview" topLeftCell="J233" zoomScaleNormal="100" zoomScaleSheetLayoutView="100" zoomScalePageLayoutView="75" workbookViewId="0">
      <selection activeCell="A4" sqref="A4:R251"/>
    </sheetView>
  </sheetViews>
  <sheetFormatPr defaultColWidth="9.26953125" defaultRowHeight="14.5"/>
  <cols>
    <col min="1" max="1" width="3.7265625" style="1470" customWidth="1"/>
    <col min="2" max="2" width="5.54296875" style="1471" customWidth="1"/>
    <col min="3" max="3" width="5.7265625" style="1471" customWidth="1"/>
    <col min="4" max="4" width="4.7265625" style="1471" customWidth="1"/>
    <col min="5" max="5" width="60.7265625" style="23" customWidth="1"/>
    <col min="6" max="6" width="6.7265625" style="22" customWidth="1"/>
    <col min="7" max="7" width="10.7265625" style="1472" customWidth="1"/>
    <col min="8" max="8" width="12.26953125" style="1472" customWidth="1"/>
    <col min="9" max="9" width="10.7265625" style="1472" customWidth="1"/>
    <col min="10" max="10" width="13.7265625" style="1473" customWidth="1"/>
    <col min="11" max="18" width="14.7265625" style="1472" customWidth="1"/>
    <col min="19" max="19" width="9.54296875" style="1472" customWidth="1"/>
    <col min="20" max="31" width="9.26953125" style="1472"/>
    <col min="32" max="16384" width="9.26953125" style="23"/>
  </cols>
  <sheetData>
    <row r="1" spans="1:31" s="55" customFormat="1" ht="18" customHeight="1">
      <c r="A1" s="1470"/>
      <c r="B1" s="1893" t="s">
        <v>1189</v>
      </c>
      <c r="C1" s="1893"/>
      <c r="D1" s="1893"/>
      <c r="E1" s="1893"/>
      <c r="F1" s="1893"/>
      <c r="H1" s="57"/>
      <c r="I1" s="57"/>
      <c r="J1" s="99"/>
      <c r="K1" s="57"/>
      <c r="L1" s="57"/>
      <c r="M1" s="57"/>
      <c r="N1" s="57"/>
      <c r="O1" s="57"/>
      <c r="P1" s="57"/>
      <c r="Q1" s="57"/>
      <c r="R1" s="57"/>
      <c r="S1" s="57"/>
      <c r="T1" s="57"/>
      <c r="U1" s="57"/>
      <c r="V1" s="57"/>
      <c r="W1" s="57"/>
      <c r="X1" s="57"/>
      <c r="Y1" s="57"/>
      <c r="Z1" s="57"/>
      <c r="AA1" s="57"/>
      <c r="AB1" s="57"/>
      <c r="AC1" s="57"/>
      <c r="AD1" s="57"/>
      <c r="AE1" s="57"/>
    </row>
    <row r="2" spans="1:31" s="55" customFormat="1" ht="24.75" customHeight="1">
      <c r="A2" s="1470"/>
      <c r="B2" s="1909" t="s">
        <v>183</v>
      </c>
      <c r="C2" s="1909"/>
      <c r="D2" s="1909"/>
      <c r="E2" s="1909"/>
      <c r="F2" s="1909"/>
      <c r="G2" s="1909"/>
      <c r="H2" s="1909"/>
      <c r="I2" s="1909"/>
      <c r="J2" s="1909"/>
      <c r="K2" s="1909"/>
      <c r="L2" s="1909"/>
      <c r="M2" s="1909"/>
      <c r="N2" s="1909"/>
      <c r="O2" s="1909"/>
      <c r="P2" s="1909"/>
      <c r="Q2" s="1909"/>
      <c r="R2" s="1909"/>
      <c r="S2" s="57"/>
      <c r="T2" s="57"/>
      <c r="U2" s="57"/>
      <c r="V2" s="57"/>
      <c r="W2" s="57"/>
      <c r="X2" s="57"/>
      <c r="Y2" s="57"/>
      <c r="Z2" s="57"/>
      <c r="AA2" s="57"/>
      <c r="AB2" s="57"/>
      <c r="AC2" s="57"/>
      <c r="AD2" s="57"/>
      <c r="AE2" s="57"/>
    </row>
    <row r="3" spans="1:31" s="55" customFormat="1" ht="24.75" customHeight="1">
      <c r="A3" s="1470"/>
      <c r="B3" s="1909" t="s">
        <v>153</v>
      </c>
      <c r="C3" s="1909"/>
      <c r="D3" s="1909"/>
      <c r="E3" s="1909"/>
      <c r="F3" s="1909"/>
      <c r="G3" s="1909"/>
      <c r="H3" s="1909"/>
      <c r="I3" s="1909"/>
      <c r="J3" s="1909"/>
      <c r="K3" s="1909"/>
      <c r="L3" s="1909"/>
      <c r="M3" s="1909"/>
      <c r="N3" s="1909"/>
      <c r="O3" s="1909"/>
      <c r="P3" s="1909"/>
      <c r="Q3" s="1909"/>
      <c r="R3" s="1909"/>
      <c r="S3" s="57"/>
      <c r="T3" s="57"/>
      <c r="U3" s="57"/>
      <c r="V3" s="57"/>
      <c r="W3" s="57"/>
      <c r="X3" s="57"/>
      <c r="Y3" s="57"/>
      <c r="Z3" s="57"/>
      <c r="AA3" s="57"/>
      <c r="AB3" s="57"/>
      <c r="AC3" s="57"/>
      <c r="AD3" s="57"/>
      <c r="AE3" s="57"/>
    </row>
    <row r="4" spans="1:31" ht="18" customHeight="1">
      <c r="Q4" s="1914" t="s">
        <v>0</v>
      </c>
      <c r="R4" s="1914"/>
    </row>
    <row r="5" spans="1:31" s="1470" customFormat="1" ht="18" customHeight="1" thickBot="1">
      <c r="B5" s="1470" t="s">
        <v>1</v>
      </c>
      <c r="C5" s="1470" t="s">
        <v>2</v>
      </c>
      <c r="D5" s="1910" t="s">
        <v>72</v>
      </c>
      <c r="E5" s="1910"/>
      <c r="F5" s="1470" t="s">
        <v>73</v>
      </c>
      <c r="G5" s="1470" t="s">
        <v>74</v>
      </c>
      <c r="H5" s="1470" t="s">
        <v>75</v>
      </c>
      <c r="I5" s="1470" t="s">
        <v>76</v>
      </c>
      <c r="J5" s="1470" t="s">
        <v>77</v>
      </c>
      <c r="K5" s="1470" t="s">
        <v>78</v>
      </c>
      <c r="L5" s="1470" t="s">
        <v>79</v>
      </c>
      <c r="M5" s="1470" t="s">
        <v>80</v>
      </c>
      <c r="N5" s="1470" t="s">
        <v>81</v>
      </c>
      <c r="O5" s="1470" t="s">
        <v>184</v>
      </c>
      <c r="P5" s="1470" t="s">
        <v>185</v>
      </c>
      <c r="Q5" s="1470" t="s">
        <v>186</v>
      </c>
      <c r="R5" s="1470" t="s">
        <v>187</v>
      </c>
    </row>
    <row r="6" spans="1:31" s="22" customFormat="1" ht="30" customHeight="1" thickBot="1">
      <c r="A6" s="1470"/>
      <c r="B6" s="1911" t="s">
        <v>82</v>
      </c>
      <c r="C6" s="1915" t="s">
        <v>83</v>
      </c>
      <c r="D6" s="1916" t="s">
        <v>3</v>
      </c>
      <c r="E6" s="1916"/>
      <c r="F6" s="1917" t="s">
        <v>222</v>
      </c>
      <c r="G6" s="1898" t="s">
        <v>188</v>
      </c>
      <c r="H6" s="1898" t="s">
        <v>87</v>
      </c>
      <c r="I6" s="1899" t="s">
        <v>88</v>
      </c>
      <c r="J6" s="1918" t="s">
        <v>223</v>
      </c>
      <c r="K6" s="1901" t="s">
        <v>21</v>
      </c>
      <c r="L6" s="1901"/>
      <c r="M6" s="1901"/>
      <c r="N6" s="1901"/>
      <c r="O6" s="1901"/>
      <c r="P6" s="1919" t="s">
        <v>157</v>
      </c>
      <c r="Q6" s="1919"/>
      <c r="R6" s="1919"/>
    </row>
    <row r="7" spans="1:31" s="22" customFormat="1" ht="60.75" customHeight="1" thickBot="1">
      <c r="A7" s="1470"/>
      <c r="B7" s="1911"/>
      <c r="C7" s="1915"/>
      <c r="D7" s="1916"/>
      <c r="E7" s="1916"/>
      <c r="F7" s="1917"/>
      <c r="G7" s="1898"/>
      <c r="H7" s="1898"/>
      <c r="I7" s="1899"/>
      <c r="J7" s="1918"/>
      <c r="K7" s="1474" t="s">
        <v>224</v>
      </c>
      <c r="L7" s="1474" t="s">
        <v>225</v>
      </c>
      <c r="M7" s="1474" t="s">
        <v>226</v>
      </c>
      <c r="N7" s="1474" t="s">
        <v>227</v>
      </c>
      <c r="O7" s="1474" t="s">
        <v>228</v>
      </c>
      <c r="P7" s="1475" t="s">
        <v>36</v>
      </c>
      <c r="Q7" s="1474" t="s">
        <v>159</v>
      </c>
      <c r="R7" s="1474" t="s">
        <v>158</v>
      </c>
    </row>
    <row r="8" spans="1:31" ht="22.5" customHeight="1">
      <c r="A8" s="1470">
        <v>1</v>
      </c>
      <c r="B8" s="1476">
        <v>1</v>
      </c>
      <c r="C8" s="1477"/>
      <c r="D8" s="1478" t="s">
        <v>22</v>
      </c>
      <c r="E8" s="1478"/>
      <c r="F8" s="1479" t="s">
        <v>80</v>
      </c>
      <c r="G8" s="1480">
        <v>248778</v>
      </c>
      <c r="H8" s="1480">
        <v>302590</v>
      </c>
      <c r="I8" s="1481">
        <v>309916</v>
      </c>
      <c r="J8" s="1482"/>
      <c r="K8" s="1480"/>
      <c r="L8" s="1480"/>
      <c r="M8" s="1480"/>
      <c r="N8" s="1480"/>
      <c r="O8" s="1480"/>
      <c r="P8" s="1480"/>
      <c r="Q8" s="1480"/>
      <c r="R8" s="1483"/>
    </row>
    <row r="9" spans="1:31" ht="18" customHeight="1">
      <c r="A9" s="1470">
        <v>2</v>
      </c>
      <c r="B9" s="1484"/>
      <c r="C9" s="1485"/>
      <c r="D9" s="1486" t="s">
        <v>197</v>
      </c>
      <c r="E9" s="1486"/>
      <c r="F9" s="161"/>
      <c r="G9" s="161"/>
      <c r="H9" s="161"/>
      <c r="I9" s="1487"/>
      <c r="J9" s="1488"/>
      <c r="K9" s="161"/>
      <c r="L9" s="161"/>
      <c r="M9" s="161"/>
      <c r="N9" s="161"/>
      <c r="O9" s="161"/>
      <c r="P9" s="161"/>
      <c r="Q9" s="161"/>
      <c r="R9" s="1489"/>
    </row>
    <row r="10" spans="1:31" s="1499" customFormat="1" ht="18" customHeight="1">
      <c r="A10" s="1470">
        <v>3</v>
      </c>
      <c r="B10" s="1490"/>
      <c r="C10" s="1491"/>
      <c r="D10" s="1491"/>
      <c r="E10" s="1492" t="s">
        <v>198</v>
      </c>
      <c r="F10" s="1493"/>
      <c r="G10" s="1493"/>
      <c r="H10" s="1493"/>
      <c r="I10" s="1494"/>
      <c r="J10" s="1495">
        <f>SUM(K10:R10)</f>
        <v>373089</v>
      </c>
      <c r="K10" s="1496">
        <v>235491</v>
      </c>
      <c r="L10" s="1496">
        <v>36087</v>
      </c>
      <c r="M10" s="1496">
        <v>100611</v>
      </c>
      <c r="N10" s="1496"/>
      <c r="O10" s="1496"/>
      <c r="P10" s="1496">
        <v>900</v>
      </c>
      <c r="Q10" s="1496"/>
      <c r="R10" s="1497"/>
      <c r="S10" s="1498"/>
      <c r="T10" s="1498"/>
      <c r="U10" s="1498"/>
      <c r="V10" s="1498"/>
      <c r="W10" s="1498"/>
      <c r="X10" s="1498"/>
      <c r="Y10" s="1498"/>
      <c r="Z10" s="1498"/>
      <c r="AA10" s="1498"/>
      <c r="AB10" s="1498"/>
      <c r="AC10" s="1498"/>
      <c r="AD10" s="1498"/>
      <c r="AE10" s="1498"/>
    </row>
    <row r="11" spans="1:31" s="1499" customFormat="1" ht="18" customHeight="1">
      <c r="A11" s="1470">
        <v>4</v>
      </c>
      <c r="B11" s="1490"/>
      <c r="C11" s="1491"/>
      <c r="D11" s="1491"/>
      <c r="E11" s="163" t="s">
        <v>765</v>
      </c>
      <c r="F11" s="1493"/>
      <c r="G11" s="1493"/>
      <c r="H11" s="1493"/>
      <c r="I11" s="1494"/>
      <c r="J11" s="1488">
        <f>SUM(K11:R11)</f>
        <v>407527</v>
      </c>
      <c r="K11" s="171">
        <v>246542</v>
      </c>
      <c r="L11" s="171">
        <v>37872</v>
      </c>
      <c r="M11" s="171">
        <v>112572</v>
      </c>
      <c r="N11" s="171"/>
      <c r="O11" s="171"/>
      <c r="P11" s="171">
        <v>10541</v>
      </c>
      <c r="Q11" s="1496"/>
      <c r="R11" s="1497"/>
      <c r="S11" s="1498"/>
      <c r="T11" s="1498"/>
      <c r="U11" s="1498"/>
      <c r="V11" s="1498"/>
      <c r="W11" s="1498"/>
      <c r="X11" s="1498"/>
      <c r="Y11" s="1498"/>
      <c r="Z11" s="1498"/>
      <c r="AA11" s="1498"/>
      <c r="AB11" s="1498"/>
      <c r="AC11" s="1498"/>
      <c r="AD11" s="1498"/>
      <c r="AE11" s="1498"/>
    </row>
    <row r="12" spans="1:31" s="1499" customFormat="1" ht="18" customHeight="1">
      <c r="A12" s="1470">
        <v>5</v>
      </c>
      <c r="B12" s="1490"/>
      <c r="C12" s="1491"/>
      <c r="D12" s="1491"/>
      <c r="E12" s="165" t="s">
        <v>1021</v>
      </c>
      <c r="F12" s="1493"/>
      <c r="G12" s="1493"/>
      <c r="H12" s="1493"/>
      <c r="I12" s="1500"/>
      <c r="J12" s="1501">
        <f>SUM(K12:R12)</f>
        <v>378796</v>
      </c>
      <c r="K12" s="1502">
        <v>245071</v>
      </c>
      <c r="L12" s="1502">
        <v>34952</v>
      </c>
      <c r="M12" s="1502">
        <v>88491</v>
      </c>
      <c r="N12" s="171"/>
      <c r="O12" s="1496"/>
      <c r="P12" s="1502">
        <v>10282</v>
      </c>
      <c r="Q12" s="1496"/>
      <c r="R12" s="1497"/>
      <c r="S12" s="1498"/>
      <c r="T12" s="1498"/>
      <c r="U12" s="1498"/>
      <c r="V12" s="1498"/>
      <c r="W12" s="1498"/>
      <c r="X12" s="1498"/>
      <c r="Y12" s="1498"/>
      <c r="Z12" s="1498"/>
      <c r="AA12" s="1498"/>
      <c r="AB12" s="1498"/>
      <c r="AC12" s="1498"/>
      <c r="AD12" s="1498"/>
      <c r="AE12" s="1498"/>
    </row>
    <row r="13" spans="1:31" s="1506" customFormat="1" ht="22.5" customHeight="1">
      <c r="A13" s="1470">
        <v>6</v>
      </c>
      <c r="B13" s="1484">
        <v>2</v>
      </c>
      <c r="C13" s="1485"/>
      <c r="D13" s="1503" t="s">
        <v>23</v>
      </c>
      <c r="E13" s="1503"/>
      <c r="F13" s="1504" t="s">
        <v>80</v>
      </c>
      <c r="G13" s="161">
        <v>403341</v>
      </c>
      <c r="H13" s="161">
        <v>500303</v>
      </c>
      <c r="I13" s="1487">
        <v>507890</v>
      </c>
      <c r="J13" s="1488"/>
      <c r="K13" s="161"/>
      <c r="L13" s="161"/>
      <c r="M13" s="161"/>
      <c r="N13" s="161"/>
      <c r="O13" s="161"/>
      <c r="P13" s="161"/>
      <c r="Q13" s="161"/>
      <c r="R13" s="1489"/>
      <c r="S13" s="1505"/>
      <c r="T13" s="1505"/>
      <c r="U13" s="1505"/>
      <c r="V13" s="1505"/>
      <c r="W13" s="1505"/>
      <c r="X13" s="1505"/>
      <c r="Y13" s="1505"/>
      <c r="Z13" s="1505"/>
      <c r="AA13" s="1505"/>
      <c r="AB13" s="1505"/>
      <c r="AC13" s="1505"/>
      <c r="AD13" s="1505"/>
      <c r="AE13" s="1505"/>
    </row>
    <row r="14" spans="1:31" ht="18" customHeight="1">
      <c r="A14" s="1470">
        <v>7</v>
      </c>
      <c r="B14" s="1484"/>
      <c r="C14" s="1485"/>
      <c r="D14" s="1486" t="s">
        <v>200</v>
      </c>
      <c r="E14" s="1486"/>
      <c r="F14" s="161"/>
      <c r="G14" s="161"/>
      <c r="H14" s="161"/>
      <c r="I14" s="1507"/>
      <c r="J14" s="1508"/>
      <c r="K14" s="161"/>
      <c r="L14" s="161"/>
      <c r="M14" s="161"/>
      <c r="N14" s="161"/>
      <c r="O14" s="161"/>
      <c r="P14" s="161"/>
      <c r="Q14" s="161"/>
      <c r="R14" s="1489"/>
    </row>
    <row r="15" spans="1:31" s="1511" customFormat="1" ht="18" customHeight="1">
      <c r="A15" s="1470">
        <v>8</v>
      </c>
      <c r="B15" s="1490"/>
      <c r="C15" s="1491"/>
      <c r="D15" s="1491"/>
      <c r="E15" s="1492" t="s">
        <v>198</v>
      </c>
      <c r="F15" s="1493"/>
      <c r="G15" s="1493"/>
      <c r="H15" s="1493"/>
      <c r="I15" s="1500"/>
      <c r="J15" s="1509">
        <f>SUM(K15:R15)</f>
        <v>612920</v>
      </c>
      <c r="K15" s="1496">
        <v>413725</v>
      </c>
      <c r="L15" s="1496">
        <v>65131</v>
      </c>
      <c r="M15" s="1496">
        <v>132364</v>
      </c>
      <c r="N15" s="1496"/>
      <c r="O15" s="1496"/>
      <c r="P15" s="1496">
        <v>1700</v>
      </c>
      <c r="Q15" s="1496"/>
      <c r="R15" s="1497"/>
      <c r="S15" s="1510"/>
      <c r="T15" s="1510"/>
      <c r="U15" s="1510"/>
      <c r="V15" s="1510"/>
      <c r="W15" s="1510"/>
      <c r="X15" s="1510"/>
      <c r="Y15" s="1510"/>
      <c r="Z15" s="1510"/>
      <c r="AA15" s="1510"/>
      <c r="AB15" s="1510"/>
      <c r="AC15" s="1510"/>
      <c r="AD15" s="1510"/>
      <c r="AE15" s="1510"/>
    </row>
    <row r="16" spans="1:31" s="1511" customFormat="1" ht="18" customHeight="1">
      <c r="A16" s="1470">
        <v>9</v>
      </c>
      <c r="B16" s="1490"/>
      <c r="C16" s="1491"/>
      <c r="D16" s="1491"/>
      <c r="E16" s="163" t="s">
        <v>765</v>
      </c>
      <c r="F16" s="1493"/>
      <c r="G16" s="1493"/>
      <c r="H16" s="1493"/>
      <c r="I16" s="1500"/>
      <c r="J16" s="1508">
        <f>SUM(K16:R16)</f>
        <v>648477</v>
      </c>
      <c r="K16" s="171">
        <v>431386</v>
      </c>
      <c r="L16" s="171">
        <v>68607</v>
      </c>
      <c r="M16" s="171">
        <v>136884</v>
      </c>
      <c r="N16" s="171"/>
      <c r="O16" s="171"/>
      <c r="P16" s="171">
        <v>11600</v>
      </c>
      <c r="Q16" s="1496"/>
      <c r="R16" s="1497"/>
      <c r="S16" s="1510"/>
      <c r="T16" s="1510"/>
      <c r="U16" s="1510"/>
      <c r="V16" s="1510"/>
      <c r="W16" s="1510"/>
      <c r="X16" s="1510"/>
      <c r="Y16" s="1510"/>
      <c r="Z16" s="1510"/>
      <c r="AA16" s="1510"/>
      <c r="AB16" s="1510"/>
      <c r="AC16" s="1510"/>
      <c r="AD16" s="1510"/>
      <c r="AE16" s="1510"/>
    </row>
    <row r="17" spans="1:31" s="1511" customFormat="1" ht="18" customHeight="1">
      <c r="A17" s="1470">
        <v>10</v>
      </c>
      <c r="B17" s="1490"/>
      <c r="C17" s="1491"/>
      <c r="D17" s="1491"/>
      <c r="E17" s="165" t="s">
        <v>1021</v>
      </c>
      <c r="F17" s="1493"/>
      <c r="G17" s="1493"/>
      <c r="H17" s="1493"/>
      <c r="I17" s="1500"/>
      <c r="J17" s="1501">
        <f>SUM(K17:R17)</f>
        <v>600462</v>
      </c>
      <c r="K17" s="1502">
        <v>418331</v>
      </c>
      <c r="L17" s="1502">
        <v>61252</v>
      </c>
      <c r="M17" s="1502">
        <f>111020+1</f>
        <v>111021</v>
      </c>
      <c r="N17" s="1502"/>
      <c r="O17" s="1502"/>
      <c r="P17" s="1502">
        <f>9859-1</f>
        <v>9858</v>
      </c>
      <c r="Q17" s="1496"/>
      <c r="R17" s="1497"/>
      <c r="S17" s="1510"/>
      <c r="T17" s="1510"/>
      <c r="U17" s="1510"/>
      <c r="V17" s="1510"/>
      <c r="W17" s="1510"/>
      <c r="X17" s="1510"/>
      <c r="Y17" s="1510"/>
      <c r="Z17" s="1510"/>
      <c r="AA17" s="1510"/>
      <c r="AB17" s="1510"/>
      <c r="AC17" s="1510"/>
      <c r="AD17" s="1510"/>
      <c r="AE17" s="1510"/>
    </row>
    <row r="18" spans="1:31" ht="22.5" customHeight="1">
      <c r="A18" s="1470">
        <v>11</v>
      </c>
      <c r="B18" s="1484">
        <v>3</v>
      </c>
      <c r="C18" s="1485"/>
      <c r="D18" s="1503" t="s">
        <v>24</v>
      </c>
      <c r="E18" s="1503"/>
      <c r="F18" s="1504" t="s">
        <v>80</v>
      </c>
      <c r="G18" s="161">
        <v>455779</v>
      </c>
      <c r="H18" s="161">
        <v>527697</v>
      </c>
      <c r="I18" s="1507">
        <v>507514</v>
      </c>
      <c r="J18" s="1508"/>
      <c r="K18" s="161"/>
      <c r="L18" s="161"/>
      <c r="M18" s="161"/>
      <c r="N18" s="161"/>
      <c r="O18" s="161"/>
      <c r="P18" s="161"/>
      <c r="Q18" s="161"/>
      <c r="R18" s="1489"/>
    </row>
    <row r="19" spans="1:31" s="1513" customFormat="1" ht="18" customHeight="1">
      <c r="A19" s="1470">
        <v>12</v>
      </c>
      <c r="B19" s="1484"/>
      <c r="C19" s="1485"/>
      <c r="D19" s="1486" t="s">
        <v>201</v>
      </c>
      <c r="E19" s="1486"/>
      <c r="F19" s="161"/>
      <c r="G19" s="161"/>
      <c r="H19" s="161"/>
      <c r="I19" s="1507"/>
      <c r="J19" s="1508"/>
      <c r="K19" s="161"/>
      <c r="L19" s="161"/>
      <c r="M19" s="161"/>
      <c r="N19" s="161"/>
      <c r="O19" s="161"/>
      <c r="P19" s="161"/>
      <c r="Q19" s="161"/>
      <c r="R19" s="1489"/>
      <c r="S19" s="1512"/>
      <c r="T19" s="1512"/>
      <c r="U19" s="1512"/>
      <c r="V19" s="1512"/>
      <c r="W19" s="1512"/>
      <c r="X19" s="1512"/>
      <c r="Y19" s="1512"/>
      <c r="Z19" s="1512"/>
      <c r="AA19" s="1512"/>
      <c r="AB19" s="1512"/>
      <c r="AC19" s="1512"/>
      <c r="AD19" s="1512"/>
      <c r="AE19" s="1512"/>
    </row>
    <row r="20" spans="1:31" s="1499" customFormat="1" ht="18" customHeight="1">
      <c r="A20" s="1470">
        <v>13</v>
      </c>
      <c r="B20" s="1490"/>
      <c r="C20" s="1491"/>
      <c r="D20" s="1491"/>
      <c r="E20" s="1492" t="s">
        <v>198</v>
      </c>
      <c r="F20" s="1493"/>
      <c r="G20" s="1493"/>
      <c r="H20" s="1493"/>
      <c r="I20" s="1500"/>
      <c r="J20" s="1509">
        <f>SUM(K20:R20)</f>
        <v>616909</v>
      </c>
      <c r="K20" s="1496">
        <v>432805</v>
      </c>
      <c r="L20" s="1496">
        <v>65693</v>
      </c>
      <c r="M20" s="1496">
        <v>116411</v>
      </c>
      <c r="N20" s="1496"/>
      <c r="O20" s="1496"/>
      <c r="P20" s="1496">
        <v>2000</v>
      </c>
      <c r="Q20" s="1496"/>
      <c r="R20" s="1497"/>
      <c r="S20" s="1498"/>
      <c r="T20" s="1498"/>
      <c r="U20" s="1498"/>
      <c r="V20" s="1498"/>
      <c r="W20" s="1498"/>
      <c r="X20" s="1498"/>
      <c r="Y20" s="1498"/>
      <c r="Z20" s="1498"/>
      <c r="AA20" s="1498"/>
      <c r="AB20" s="1498"/>
      <c r="AC20" s="1498"/>
      <c r="AD20" s="1498"/>
      <c r="AE20" s="1498"/>
    </row>
    <row r="21" spans="1:31" s="1499" customFormat="1" ht="18" customHeight="1">
      <c r="A21" s="1470">
        <v>14</v>
      </c>
      <c r="B21" s="1490"/>
      <c r="C21" s="1491"/>
      <c r="D21" s="1491"/>
      <c r="E21" s="163" t="s">
        <v>765</v>
      </c>
      <c r="F21" s="1493"/>
      <c r="G21" s="1493"/>
      <c r="H21" s="1493"/>
      <c r="I21" s="1500"/>
      <c r="J21" s="1508">
        <f>SUM(K21:R21)</f>
        <v>653897</v>
      </c>
      <c r="K21" s="171">
        <v>460851</v>
      </c>
      <c r="L21" s="171">
        <v>69259</v>
      </c>
      <c r="M21" s="171">
        <v>119926</v>
      </c>
      <c r="N21" s="171"/>
      <c r="O21" s="171"/>
      <c r="P21" s="171">
        <v>3861</v>
      </c>
      <c r="Q21" s="171"/>
      <c r="R21" s="1514"/>
      <c r="S21" s="1498"/>
      <c r="T21" s="1498"/>
      <c r="U21" s="1498"/>
      <c r="V21" s="1498"/>
      <c r="W21" s="1498"/>
      <c r="X21" s="1498"/>
      <c r="Y21" s="1498"/>
      <c r="Z21" s="1498"/>
      <c r="AA21" s="1498"/>
      <c r="AB21" s="1498"/>
      <c r="AC21" s="1498"/>
      <c r="AD21" s="1498"/>
      <c r="AE21" s="1498"/>
    </row>
    <row r="22" spans="1:31" s="1499" customFormat="1" ht="18" customHeight="1">
      <c r="A22" s="1470">
        <v>15</v>
      </c>
      <c r="B22" s="1490"/>
      <c r="C22" s="1491"/>
      <c r="D22" s="1491"/>
      <c r="E22" s="165" t="s">
        <v>1021</v>
      </c>
      <c r="F22" s="1493"/>
      <c r="G22" s="1493"/>
      <c r="H22" s="1493"/>
      <c r="I22" s="1500"/>
      <c r="J22" s="1501">
        <f>SUM(K22:R22)</f>
        <v>604048</v>
      </c>
      <c r="K22" s="1502">
        <v>447419</v>
      </c>
      <c r="L22" s="1502">
        <v>63218</v>
      </c>
      <c r="M22" s="1502">
        <v>90397</v>
      </c>
      <c r="N22" s="1496"/>
      <c r="O22" s="1496"/>
      <c r="P22" s="1502">
        <v>3014</v>
      </c>
      <c r="Q22" s="1496"/>
      <c r="R22" s="1497"/>
      <c r="S22" s="1498"/>
      <c r="T22" s="1498"/>
      <c r="U22" s="1498"/>
      <c r="V22" s="1498"/>
      <c r="W22" s="1498"/>
      <c r="X22" s="1498"/>
      <c r="Y22" s="1498"/>
      <c r="Z22" s="1498"/>
      <c r="AA22" s="1498"/>
      <c r="AB22" s="1498"/>
      <c r="AC22" s="1498"/>
      <c r="AD22" s="1498"/>
      <c r="AE22" s="1498"/>
    </row>
    <row r="23" spans="1:31" ht="22.5" customHeight="1">
      <c r="A23" s="1470">
        <v>16</v>
      </c>
      <c r="B23" s="1484">
        <v>4</v>
      </c>
      <c r="C23" s="1485"/>
      <c r="D23" s="1503" t="s">
        <v>202</v>
      </c>
      <c r="E23" s="1503"/>
      <c r="F23" s="1504" t="s">
        <v>80</v>
      </c>
      <c r="G23" s="161">
        <v>384695</v>
      </c>
      <c r="H23" s="161">
        <v>441720</v>
      </c>
      <c r="I23" s="1507">
        <v>457384</v>
      </c>
      <c r="J23" s="1508"/>
      <c r="K23" s="161"/>
      <c r="L23" s="161"/>
      <c r="M23" s="161"/>
      <c r="N23" s="161"/>
      <c r="O23" s="161"/>
      <c r="P23" s="161"/>
      <c r="Q23" s="161"/>
      <c r="R23" s="1489"/>
    </row>
    <row r="24" spans="1:31" ht="18" customHeight="1">
      <c r="A24" s="1470">
        <v>17</v>
      </c>
      <c r="B24" s="1484"/>
      <c r="C24" s="1485"/>
      <c r="D24" s="1486" t="s">
        <v>203</v>
      </c>
      <c r="E24" s="1486"/>
      <c r="F24" s="161"/>
      <c r="G24" s="161"/>
      <c r="H24" s="161"/>
      <c r="I24" s="1507"/>
      <c r="J24" s="1508"/>
      <c r="K24" s="161"/>
      <c r="L24" s="161"/>
      <c r="M24" s="161"/>
      <c r="N24" s="161"/>
      <c r="O24" s="161"/>
      <c r="P24" s="161"/>
      <c r="Q24" s="161"/>
      <c r="R24" s="1489"/>
    </row>
    <row r="25" spans="1:31" s="1499" customFormat="1" ht="18" customHeight="1">
      <c r="A25" s="1470">
        <v>18</v>
      </c>
      <c r="B25" s="1490"/>
      <c r="C25" s="1491"/>
      <c r="D25" s="1491"/>
      <c r="E25" s="1492" t="s">
        <v>198</v>
      </c>
      <c r="F25" s="1493"/>
      <c r="G25" s="1493"/>
      <c r="H25" s="1493"/>
      <c r="I25" s="1500"/>
      <c r="J25" s="1509">
        <f>SUM(K25:R25)</f>
        <v>539457</v>
      </c>
      <c r="K25" s="1496">
        <v>373199</v>
      </c>
      <c r="L25" s="1496">
        <v>57099</v>
      </c>
      <c r="M25" s="1496">
        <v>107759</v>
      </c>
      <c r="N25" s="1496"/>
      <c r="O25" s="1496"/>
      <c r="P25" s="1496">
        <v>1400</v>
      </c>
      <c r="Q25" s="1496"/>
      <c r="R25" s="1497"/>
      <c r="S25" s="1498"/>
      <c r="T25" s="1498"/>
      <c r="U25" s="1498"/>
      <c r="V25" s="1498"/>
      <c r="W25" s="1498"/>
      <c r="X25" s="1498"/>
      <c r="Y25" s="1498"/>
      <c r="Z25" s="1498"/>
      <c r="AA25" s="1498"/>
      <c r="AB25" s="1498"/>
      <c r="AC25" s="1498"/>
      <c r="AD25" s="1498"/>
      <c r="AE25" s="1498"/>
    </row>
    <row r="26" spans="1:31" s="1499" customFormat="1" ht="18" customHeight="1">
      <c r="A26" s="1470">
        <v>19</v>
      </c>
      <c r="B26" s="1490"/>
      <c r="C26" s="1491"/>
      <c r="D26" s="1491"/>
      <c r="E26" s="163" t="s">
        <v>765</v>
      </c>
      <c r="F26" s="1493"/>
      <c r="G26" s="1493"/>
      <c r="H26" s="1493"/>
      <c r="I26" s="1500"/>
      <c r="J26" s="1508">
        <f>SUM(K26:R26)</f>
        <v>578675</v>
      </c>
      <c r="K26" s="171">
        <v>398535</v>
      </c>
      <c r="L26" s="171">
        <v>60981</v>
      </c>
      <c r="M26" s="171">
        <v>113139</v>
      </c>
      <c r="N26" s="171"/>
      <c r="O26" s="171"/>
      <c r="P26" s="171">
        <v>6020</v>
      </c>
      <c r="Q26" s="1496"/>
      <c r="R26" s="1497"/>
      <c r="S26" s="1498"/>
      <c r="T26" s="1498"/>
      <c r="U26" s="1498"/>
      <c r="V26" s="1498"/>
      <c r="W26" s="1498"/>
      <c r="X26" s="1498"/>
      <c r="Y26" s="1498"/>
      <c r="Z26" s="1498"/>
      <c r="AA26" s="1498"/>
      <c r="AB26" s="1498"/>
      <c r="AC26" s="1498"/>
      <c r="AD26" s="1498"/>
      <c r="AE26" s="1498"/>
    </row>
    <row r="27" spans="1:31" s="1499" customFormat="1" ht="18" customHeight="1">
      <c r="A27" s="1470">
        <v>20</v>
      </c>
      <c r="B27" s="1490"/>
      <c r="C27" s="1491"/>
      <c r="D27" s="1491"/>
      <c r="E27" s="165" t="s">
        <v>1021</v>
      </c>
      <c r="F27" s="1493"/>
      <c r="G27" s="1493"/>
      <c r="H27" s="1493"/>
      <c r="I27" s="1500"/>
      <c r="J27" s="1501">
        <f>SUM(K27:R27)</f>
        <v>548244</v>
      </c>
      <c r="K27" s="1502">
        <v>390232</v>
      </c>
      <c r="L27" s="1502">
        <v>58656</v>
      </c>
      <c r="M27" s="1502">
        <v>95352</v>
      </c>
      <c r="N27" s="1502"/>
      <c r="O27" s="1502"/>
      <c r="P27" s="1502">
        <v>4004</v>
      </c>
      <c r="Q27" s="1496"/>
      <c r="R27" s="1497"/>
      <c r="S27" s="1498"/>
      <c r="T27" s="1498"/>
      <c r="U27" s="1498"/>
      <c r="V27" s="1498"/>
      <c r="W27" s="1498"/>
      <c r="X27" s="1498"/>
      <c r="Y27" s="1498"/>
      <c r="Z27" s="1498"/>
      <c r="AA27" s="1498"/>
      <c r="AB27" s="1498"/>
      <c r="AC27" s="1498"/>
      <c r="AD27" s="1498"/>
      <c r="AE27" s="1498"/>
    </row>
    <row r="28" spans="1:31" s="1506" customFormat="1" ht="22.5" customHeight="1">
      <c r="A28" s="1470">
        <v>21</v>
      </c>
      <c r="B28" s="1484">
        <v>5</v>
      </c>
      <c r="C28" s="1485"/>
      <c r="D28" s="1503" t="s">
        <v>204</v>
      </c>
      <c r="E28" s="1503"/>
      <c r="F28" s="1504" t="s">
        <v>80</v>
      </c>
      <c r="G28" s="161">
        <v>407579</v>
      </c>
      <c r="H28" s="161">
        <v>444365</v>
      </c>
      <c r="I28" s="1507">
        <v>452652</v>
      </c>
      <c r="J28" s="1508"/>
      <c r="K28" s="161"/>
      <c r="L28" s="161"/>
      <c r="M28" s="161"/>
      <c r="N28" s="1515"/>
      <c r="O28" s="1515"/>
      <c r="P28" s="1515"/>
      <c r="Q28" s="1515"/>
      <c r="R28" s="1516"/>
      <c r="S28" s="1505"/>
      <c r="T28" s="1505"/>
      <c r="U28" s="1505"/>
      <c r="V28" s="1505"/>
      <c r="W28" s="1505"/>
      <c r="X28" s="1505"/>
      <c r="Y28" s="1505"/>
      <c r="Z28" s="1505"/>
      <c r="AA28" s="1505"/>
      <c r="AB28" s="1505"/>
      <c r="AC28" s="1505"/>
      <c r="AD28" s="1505"/>
      <c r="AE28" s="1505"/>
    </row>
    <row r="29" spans="1:31" ht="18" customHeight="1">
      <c r="A29" s="1470">
        <v>22</v>
      </c>
      <c r="B29" s="1484"/>
      <c r="C29" s="1485"/>
      <c r="D29" s="1486" t="s">
        <v>205</v>
      </c>
      <c r="E29" s="1486"/>
      <c r="F29" s="161"/>
      <c r="G29" s="161"/>
      <c r="H29" s="161"/>
      <c r="I29" s="1507"/>
      <c r="J29" s="1508"/>
      <c r="K29" s="161"/>
      <c r="L29" s="161"/>
      <c r="M29" s="161"/>
      <c r="N29" s="1515"/>
      <c r="O29" s="1515"/>
      <c r="P29" s="1515"/>
      <c r="Q29" s="1515"/>
      <c r="R29" s="1516"/>
    </row>
    <row r="30" spans="1:31" s="1511" customFormat="1" ht="18" customHeight="1">
      <c r="A30" s="1470">
        <v>23</v>
      </c>
      <c r="B30" s="1490"/>
      <c r="C30" s="1491"/>
      <c r="D30" s="1491"/>
      <c r="E30" s="1492" t="s">
        <v>198</v>
      </c>
      <c r="F30" s="1493"/>
      <c r="G30" s="1493"/>
      <c r="H30" s="1493"/>
      <c r="I30" s="1500"/>
      <c r="J30" s="1509">
        <f>SUM(K30:R30)</f>
        <v>579932</v>
      </c>
      <c r="K30" s="1496">
        <v>372806</v>
      </c>
      <c r="L30" s="1496">
        <v>56014</v>
      </c>
      <c r="M30" s="1496">
        <v>149512</v>
      </c>
      <c r="N30" s="1496"/>
      <c r="O30" s="1496"/>
      <c r="P30" s="1496">
        <v>1600</v>
      </c>
      <c r="Q30" s="1496"/>
      <c r="R30" s="1497"/>
      <c r="S30" s="1510"/>
      <c r="T30" s="1510"/>
      <c r="U30" s="1510"/>
      <c r="V30" s="1510"/>
      <c r="W30" s="1510"/>
      <c r="X30" s="1510"/>
      <c r="Y30" s="1510"/>
      <c r="Z30" s="1510"/>
      <c r="AA30" s="1510"/>
      <c r="AB30" s="1510"/>
      <c r="AC30" s="1510"/>
      <c r="AD30" s="1510"/>
      <c r="AE30" s="1510"/>
    </row>
    <row r="31" spans="1:31" s="1511" customFormat="1" ht="18" customHeight="1">
      <c r="A31" s="1470">
        <v>24</v>
      </c>
      <c r="B31" s="1490"/>
      <c r="C31" s="1491"/>
      <c r="D31" s="1491"/>
      <c r="E31" s="163" t="s">
        <v>765</v>
      </c>
      <c r="F31" s="1493"/>
      <c r="G31" s="1493"/>
      <c r="H31" s="1493"/>
      <c r="I31" s="1500"/>
      <c r="J31" s="1508">
        <f>SUM(K31:R31)</f>
        <v>619318</v>
      </c>
      <c r="K31" s="171">
        <v>384457</v>
      </c>
      <c r="L31" s="171">
        <v>61392</v>
      </c>
      <c r="M31" s="171">
        <v>166296</v>
      </c>
      <c r="N31" s="171"/>
      <c r="O31" s="171"/>
      <c r="P31" s="171">
        <v>7173</v>
      </c>
      <c r="Q31" s="1496"/>
      <c r="R31" s="1497"/>
      <c r="S31" s="1510"/>
      <c r="T31" s="1510"/>
      <c r="U31" s="1510"/>
      <c r="V31" s="1510"/>
      <c r="W31" s="1510"/>
      <c r="X31" s="1510"/>
      <c r="Y31" s="1510"/>
      <c r="Z31" s="1510"/>
      <c r="AA31" s="1510"/>
      <c r="AB31" s="1510"/>
      <c r="AC31" s="1510"/>
      <c r="AD31" s="1510"/>
      <c r="AE31" s="1510"/>
    </row>
    <row r="32" spans="1:31" s="1511" customFormat="1" ht="18" customHeight="1">
      <c r="A32" s="1470">
        <v>25</v>
      </c>
      <c r="B32" s="1490"/>
      <c r="C32" s="1491"/>
      <c r="D32" s="1491"/>
      <c r="E32" s="165" t="s">
        <v>1021</v>
      </c>
      <c r="F32" s="1493"/>
      <c r="G32" s="1493"/>
      <c r="H32" s="1493"/>
      <c r="I32" s="1500"/>
      <c r="J32" s="1501">
        <f>SUM(K32:R32)</f>
        <v>579996</v>
      </c>
      <c r="K32" s="1502">
        <v>378051</v>
      </c>
      <c r="L32" s="1502">
        <v>58940</v>
      </c>
      <c r="M32" s="1502">
        <v>138798</v>
      </c>
      <c r="N32" s="1502"/>
      <c r="O32" s="1502"/>
      <c r="P32" s="1502">
        <v>4207</v>
      </c>
      <c r="Q32" s="1496"/>
      <c r="R32" s="1497"/>
      <c r="S32" s="1510"/>
      <c r="T32" s="1510"/>
      <c r="U32" s="1510"/>
      <c r="V32" s="1510"/>
      <c r="W32" s="1510"/>
      <c r="X32" s="1510"/>
      <c r="Y32" s="1510"/>
      <c r="Z32" s="1510"/>
      <c r="AA32" s="1510"/>
      <c r="AB32" s="1510"/>
      <c r="AC32" s="1510"/>
      <c r="AD32" s="1510"/>
      <c r="AE32" s="1510"/>
    </row>
    <row r="33" spans="1:31" s="1517" customFormat="1" ht="22.5" customHeight="1">
      <c r="A33" s="1470">
        <v>26</v>
      </c>
      <c r="B33" s="1484">
        <v>6</v>
      </c>
      <c r="C33" s="1485"/>
      <c r="D33" s="1503" t="s">
        <v>25</v>
      </c>
      <c r="E33" s="1503"/>
      <c r="F33" s="1504" t="s">
        <v>80</v>
      </c>
      <c r="G33" s="161">
        <v>228097</v>
      </c>
      <c r="H33" s="161">
        <v>270159</v>
      </c>
      <c r="I33" s="1507">
        <v>269715</v>
      </c>
      <c r="J33" s="1508"/>
      <c r="K33" s="161"/>
      <c r="L33" s="161"/>
      <c r="M33" s="161"/>
      <c r="N33" s="1515"/>
      <c r="O33" s="1515"/>
      <c r="P33" s="1515"/>
      <c r="Q33" s="1515"/>
      <c r="R33" s="1516"/>
      <c r="S33" s="172"/>
      <c r="T33" s="172"/>
      <c r="U33" s="172"/>
      <c r="V33" s="172"/>
      <c r="W33" s="172"/>
      <c r="X33" s="172"/>
      <c r="Y33" s="172"/>
      <c r="Z33" s="172"/>
      <c r="AA33" s="172"/>
      <c r="AB33" s="172"/>
      <c r="AC33" s="172"/>
      <c r="AD33" s="172"/>
      <c r="AE33" s="172"/>
    </row>
    <row r="34" spans="1:31" s="1506" customFormat="1" ht="18" customHeight="1">
      <c r="A34" s="1470">
        <v>27</v>
      </c>
      <c r="B34" s="1484"/>
      <c r="C34" s="1485"/>
      <c r="D34" s="1486" t="s">
        <v>206</v>
      </c>
      <c r="E34" s="1486"/>
      <c r="F34" s="161"/>
      <c r="G34" s="161"/>
      <c r="H34" s="161"/>
      <c r="I34" s="1507"/>
      <c r="J34" s="1508"/>
      <c r="K34" s="161"/>
      <c r="L34" s="161"/>
      <c r="M34" s="161"/>
      <c r="N34" s="1515"/>
      <c r="O34" s="1515"/>
      <c r="P34" s="1515"/>
      <c r="Q34" s="1515"/>
      <c r="R34" s="1516"/>
      <c r="S34" s="1505"/>
      <c r="T34" s="1505"/>
      <c r="U34" s="1505"/>
      <c r="V34" s="1505"/>
      <c r="W34" s="1505"/>
      <c r="X34" s="1505"/>
      <c r="Y34" s="1505"/>
      <c r="Z34" s="1505"/>
      <c r="AA34" s="1505"/>
      <c r="AB34" s="1505"/>
      <c r="AC34" s="1505"/>
      <c r="AD34" s="1505"/>
      <c r="AE34" s="1505"/>
    </row>
    <row r="35" spans="1:31" s="1511" customFormat="1" ht="18" customHeight="1">
      <c r="A35" s="1470">
        <v>28</v>
      </c>
      <c r="B35" s="1490"/>
      <c r="C35" s="1491"/>
      <c r="D35" s="1491"/>
      <c r="E35" s="1492" t="s">
        <v>198</v>
      </c>
      <c r="F35" s="1493"/>
      <c r="G35" s="1493"/>
      <c r="H35" s="1493"/>
      <c r="I35" s="1500"/>
      <c r="J35" s="1509">
        <f>SUM(K35:R35)</f>
        <v>339398</v>
      </c>
      <c r="K35" s="1496">
        <v>216724</v>
      </c>
      <c r="L35" s="1496">
        <v>33439</v>
      </c>
      <c r="M35" s="1496">
        <v>88535</v>
      </c>
      <c r="N35" s="1496"/>
      <c r="O35" s="1496"/>
      <c r="P35" s="1496">
        <v>700</v>
      </c>
      <c r="Q35" s="1496"/>
      <c r="R35" s="1497"/>
      <c r="S35" s="1510"/>
      <c r="T35" s="1510"/>
      <c r="U35" s="1510"/>
      <c r="V35" s="1510"/>
      <c r="W35" s="1510"/>
      <c r="X35" s="1510"/>
      <c r="Y35" s="1510"/>
      <c r="Z35" s="1510"/>
      <c r="AA35" s="1510"/>
      <c r="AB35" s="1510"/>
      <c r="AC35" s="1510"/>
      <c r="AD35" s="1510"/>
      <c r="AE35" s="1510"/>
    </row>
    <row r="36" spans="1:31" s="1511" customFormat="1" ht="18" customHeight="1">
      <c r="A36" s="1470">
        <v>29</v>
      </c>
      <c r="B36" s="1490"/>
      <c r="C36" s="1518"/>
      <c r="D36" s="1491"/>
      <c r="E36" s="163" t="s">
        <v>765</v>
      </c>
      <c r="F36" s="1493"/>
      <c r="G36" s="1493"/>
      <c r="H36" s="1493"/>
      <c r="I36" s="1500"/>
      <c r="J36" s="1508">
        <f>SUM(K36:R36)</f>
        <v>366113</v>
      </c>
      <c r="K36" s="171">
        <v>231389</v>
      </c>
      <c r="L36" s="171">
        <v>39436</v>
      </c>
      <c r="M36" s="171">
        <v>90450</v>
      </c>
      <c r="N36" s="171"/>
      <c r="O36" s="171"/>
      <c r="P36" s="171">
        <v>4838</v>
      </c>
      <c r="Q36" s="1496"/>
      <c r="R36" s="1497"/>
      <c r="S36" s="1510"/>
      <c r="T36" s="1510"/>
      <c r="U36" s="1510"/>
      <c r="V36" s="1510"/>
      <c r="W36" s="1510"/>
      <c r="X36" s="1510"/>
      <c r="Y36" s="1510"/>
      <c r="Z36" s="1510"/>
      <c r="AA36" s="1510"/>
      <c r="AB36" s="1510"/>
      <c r="AC36" s="1510"/>
      <c r="AD36" s="1510"/>
      <c r="AE36" s="1510"/>
    </row>
    <row r="37" spans="1:31" s="1511" customFormat="1" ht="18" customHeight="1" thickBot="1">
      <c r="A37" s="1470">
        <v>30</v>
      </c>
      <c r="B37" s="1490"/>
      <c r="C37" s="1519"/>
      <c r="D37" s="1520"/>
      <c r="E37" s="165" t="s">
        <v>1021</v>
      </c>
      <c r="F37" s="1493"/>
      <c r="G37" s="1493"/>
      <c r="H37" s="1493"/>
      <c r="I37" s="1500"/>
      <c r="J37" s="1501">
        <f>SUM(K37:R37)</f>
        <v>341296</v>
      </c>
      <c r="K37" s="1502">
        <v>230546</v>
      </c>
      <c r="L37" s="1502">
        <v>36379</v>
      </c>
      <c r="M37" s="1502">
        <v>70106</v>
      </c>
      <c r="N37" s="1502"/>
      <c r="O37" s="1502"/>
      <c r="P37" s="1502">
        <v>4265</v>
      </c>
      <c r="Q37" s="1496"/>
      <c r="R37" s="1497"/>
      <c r="S37" s="1510"/>
      <c r="T37" s="1510"/>
      <c r="U37" s="1510"/>
      <c r="V37" s="1510"/>
      <c r="W37" s="1510"/>
      <c r="X37" s="1510"/>
      <c r="Y37" s="1510"/>
      <c r="Z37" s="1510"/>
      <c r="AA37" s="1510"/>
      <c r="AB37" s="1510"/>
      <c r="AC37" s="1510"/>
      <c r="AD37" s="1510"/>
      <c r="AE37" s="1510"/>
    </row>
    <row r="38" spans="1:31" s="1527" customFormat="1" ht="22.5" customHeight="1" thickTop="1">
      <c r="A38" s="1470">
        <v>31</v>
      </c>
      <c r="B38" s="1521"/>
      <c r="C38" s="1905" t="s">
        <v>207</v>
      </c>
      <c r="D38" s="1905"/>
      <c r="E38" s="1905"/>
      <c r="F38" s="1522"/>
      <c r="G38" s="1522">
        <f>SUM(G8:G35)</f>
        <v>2128269</v>
      </c>
      <c r="H38" s="1522">
        <f>SUM(H8:H35)</f>
        <v>2486834</v>
      </c>
      <c r="I38" s="1523">
        <f>SUM(I8:I35)</f>
        <v>2505071</v>
      </c>
      <c r="J38" s="1524"/>
      <c r="K38" s="1522"/>
      <c r="L38" s="1522"/>
      <c r="M38" s="1522"/>
      <c r="N38" s="1522"/>
      <c r="O38" s="1522"/>
      <c r="P38" s="1522"/>
      <c r="Q38" s="1522"/>
      <c r="R38" s="1525"/>
      <c r="S38" s="1526"/>
      <c r="T38" s="1526"/>
      <c r="U38" s="1526"/>
      <c r="V38" s="1526"/>
      <c r="W38" s="1526"/>
      <c r="X38" s="1526"/>
      <c r="Y38" s="1526"/>
      <c r="Z38" s="1526"/>
      <c r="AA38" s="1526"/>
      <c r="AB38" s="1526"/>
      <c r="AC38" s="1526"/>
      <c r="AD38" s="1526"/>
      <c r="AE38" s="1526"/>
    </row>
    <row r="39" spans="1:31" s="1499" customFormat="1" ht="18" customHeight="1">
      <c r="A39" s="1470">
        <v>32</v>
      </c>
      <c r="B39" s="1490"/>
      <c r="C39" s="1528"/>
      <c r="D39" s="1529"/>
      <c r="E39" s="1530" t="s">
        <v>198</v>
      </c>
      <c r="F39" s="1531"/>
      <c r="G39" s="1531"/>
      <c r="H39" s="1531"/>
      <c r="I39" s="1532"/>
      <c r="J39" s="1533">
        <f>SUM(K39:R39)</f>
        <v>3061705</v>
      </c>
      <c r="K39" s="1534">
        <f t="shared" ref="K39:R40" si="0">SUM(K10,K15,K20,K25,K30,K35)</f>
        <v>2044750</v>
      </c>
      <c r="L39" s="1534">
        <f t="shared" si="0"/>
        <v>313463</v>
      </c>
      <c r="M39" s="1534">
        <f t="shared" si="0"/>
        <v>695192</v>
      </c>
      <c r="N39" s="1534">
        <f t="shared" si="0"/>
        <v>0</v>
      </c>
      <c r="O39" s="1534">
        <f t="shared" si="0"/>
        <v>0</v>
      </c>
      <c r="P39" s="1534">
        <f t="shared" si="0"/>
        <v>8300</v>
      </c>
      <c r="Q39" s="1534">
        <f t="shared" si="0"/>
        <v>0</v>
      </c>
      <c r="R39" s="1535">
        <f t="shared" si="0"/>
        <v>0</v>
      </c>
      <c r="S39" s="1498"/>
      <c r="T39" s="1498"/>
      <c r="U39" s="1498"/>
      <c r="V39" s="1498"/>
      <c r="W39" s="1498"/>
      <c r="X39" s="1498"/>
      <c r="Y39" s="1498"/>
      <c r="Z39" s="1498"/>
      <c r="AA39" s="1498"/>
      <c r="AB39" s="1498"/>
      <c r="AC39" s="1498"/>
      <c r="AD39" s="1498"/>
      <c r="AE39" s="1498"/>
    </row>
    <row r="40" spans="1:31" s="1499" customFormat="1" ht="18" customHeight="1">
      <c r="A40" s="1470">
        <v>33</v>
      </c>
      <c r="B40" s="1490"/>
      <c r="C40" s="1528"/>
      <c r="D40" s="1529"/>
      <c r="E40" s="163" t="s">
        <v>765</v>
      </c>
      <c r="F40" s="1531"/>
      <c r="G40" s="1531"/>
      <c r="H40" s="1531"/>
      <c r="I40" s="1532"/>
      <c r="J40" s="1536">
        <f>SUM(K40:R40)</f>
        <v>3274007</v>
      </c>
      <c r="K40" s="1537">
        <f t="shared" si="0"/>
        <v>2153160</v>
      </c>
      <c r="L40" s="1537">
        <f t="shared" si="0"/>
        <v>337547</v>
      </c>
      <c r="M40" s="1537">
        <f t="shared" si="0"/>
        <v>739267</v>
      </c>
      <c r="N40" s="1537">
        <f t="shared" si="0"/>
        <v>0</v>
      </c>
      <c r="O40" s="1537">
        <f t="shared" si="0"/>
        <v>0</v>
      </c>
      <c r="P40" s="1537">
        <f t="shared" si="0"/>
        <v>44033</v>
      </c>
      <c r="Q40" s="1537">
        <f t="shared" si="0"/>
        <v>0</v>
      </c>
      <c r="R40" s="1538">
        <f t="shared" si="0"/>
        <v>0</v>
      </c>
      <c r="S40" s="1498"/>
      <c r="T40" s="1498"/>
      <c r="U40" s="1498"/>
      <c r="V40" s="1498"/>
      <c r="W40" s="1498"/>
      <c r="X40" s="1498"/>
      <c r="Y40" s="1498"/>
      <c r="Z40" s="1498"/>
      <c r="AA40" s="1498"/>
      <c r="AB40" s="1498"/>
      <c r="AC40" s="1498"/>
      <c r="AD40" s="1498"/>
      <c r="AE40" s="1498"/>
    </row>
    <row r="41" spans="1:31" s="1499" customFormat="1" ht="18" customHeight="1" thickBot="1">
      <c r="A41" s="1470">
        <v>34</v>
      </c>
      <c r="B41" s="1490"/>
      <c r="C41" s="1539"/>
      <c r="D41" s="1540"/>
      <c r="E41" s="1541" t="s">
        <v>1022</v>
      </c>
      <c r="F41" s="1542"/>
      <c r="G41" s="1542"/>
      <c r="H41" s="1542"/>
      <c r="I41" s="1543"/>
      <c r="J41" s="1544">
        <f>SUM(K41:R41)</f>
        <v>3052842</v>
      </c>
      <c r="K41" s="1545">
        <f t="shared" ref="K41:R41" si="1">K37+K32+K27+K22+K17+K12</f>
        <v>2109650</v>
      </c>
      <c r="L41" s="1545">
        <f t="shared" si="1"/>
        <v>313397</v>
      </c>
      <c r="M41" s="1545">
        <f t="shared" si="1"/>
        <v>594165</v>
      </c>
      <c r="N41" s="1545">
        <f t="shared" si="1"/>
        <v>0</v>
      </c>
      <c r="O41" s="1545">
        <f t="shared" si="1"/>
        <v>0</v>
      </c>
      <c r="P41" s="1545">
        <f t="shared" si="1"/>
        <v>35630</v>
      </c>
      <c r="Q41" s="1545">
        <f t="shared" si="1"/>
        <v>0</v>
      </c>
      <c r="R41" s="1546">
        <f t="shared" si="1"/>
        <v>0</v>
      </c>
      <c r="S41" s="1498"/>
      <c r="T41" s="1498"/>
      <c r="U41" s="1498"/>
      <c r="V41" s="1498"/>
      <c r="W41" s="1498"/>
      <c r="X41" s="1498"/>
      <c r="Y41" s="1498"/>
      <c r="Z41" s="1498"/>
      <c r="AA41" s="1498"/>
      <c r="AB41" s="1498"/>
      <c r="AC41" s="1498"/>
      <c r="AD41" s="1498"/>
      <c r="AE41" s="1498"/>
    </row>
    <row r="42" spans="1:31" s="1517" customFormat="1" ht="22.5" customHeight="1" thickTop="1">
      <c r="A42" s="1470">
        <v>35</v>
      </c>
      <c r="B42" s="1476">
        <v>7</v>
      </c>
      <c r="C42" s="1477"/>
      <c r="D42" s="1478" t="s">
        <v>26</v>
      </c>
      <c r="E42" s="1547"/>
      <c r="F42" s="1479" t="s">
        <v>80</v>
      </c>
      <c r="G42" s="1480">
        <v>1435465</v>
      </c>
      <c r="H42" s="1480">
        <v>1651476</v>
      </c>
      <c r="I42" s="1548">
        <v>1703488</v>
      </c>
      <c r="J42" s="1549"/>
      <c r="K42" s="1480"/>
      <c r="L42" s="1480"/>
      <c r="M42" s="1480"/>
      <c r="N42" s="1480"/>
      <c r="O42" s="1480"/>
      <c r="P42" s="1480"/>
      <c r="Q42" s="1480"/>
      <c r="R42" s="1483"/>
      <c r="S42" s="172"/>
      <c r="T42" s="172"/>
      <c r="U42" s="172"/>
      <c r="V42" s="172"/>
      <c r="W42" s="172"/>
      <c r="X42" s="172"/>
      <c r="Y42" s="172"/>
      <c r="Z42" s="172"/>
      <c r="AA42" s="172"/>
      <c r="AB42" s="172"/>
      <c r="AC42" s="172"/>
      <c r="AD42" s="172"/>
      <c r="AE42" s="172"/>
    </row>
    <row r="43" spans="1:31" s="1499" customFormat="1" ht="18" customHeight="1">
      <c r="A43" s="1470">
        <v>36</v>
      </c>
      <c r="B43" s="1490"/>
      <c r="C43" s="1491"/>
      <c r="D43" s="1491"/>
      <c r="E43" s="1492" t="s">
        <v>198</v>
      </c>
      <c r="F43" s="1493"/>
      <c r="G43" s="1493"/>
      <c r="H43" s="1493"/>
      <c r="I43" s="1500"/>
      <c r="J43" s="1509">
        <f>SUM(K43:R43)</f>
        <v>1825483</v>
      </c>
      <c r="K43" s="1496">
        <v>1335279</v>
      </c>
      <c r="L43" s="1496">
        <v>199391</v>
      </c>
      <c r="M43" s="1496">
        <v>282484</v>
      </c>
      <c r="N43" s="1496"/>
      <c r="O43" s="1496"/>
      <c r="P43" s="1496">
        <v>8329</v>
      </c>
      <c r="Q43" s="1496"/>
      <c r="R43" s="1497"/>
      <c r="S43" s="1498"/>
      <c r="T43" s="1498"/>
      <c r="U43" s="1498"/>
      <c r="V43" s="1498"/>
      <c r="W43" s="1498"/>
      <c r="X43" s="1498"/>
      <c r="Y43" s="1498"/>
      <c r="Z43" s="1498"/>
      <c r="AA43" s="1498"/>
      <c r="AB43" s="1498"/>
      <c r="AC43" s="1498"/>
      <c r="AD43" s="1498"/>
      <c r="AE43" s="1498"/>
    </row>
    <row r="44" spans="1:31" s="1499" customFormat="1" ht="18" customHeight="1">
      <c r="A44" s="1470">
        <v>37</v>
      </c>
      <c r="B44" s="1490"/>
      <c r="C44" s="1491"/>
      <c r="D44" s="1491"/>
      <c r="E44" s="163" t="s">
        <v>765</v>
      </c>
      <c r="F44" s="1493"/>
      <c r="G44" s="1493"/>
      <c r="H44" s="1493"/>
      <c r="I44" s="1500"/>
      <c r="J44" s="1508">
        <f>SUM(K44:R44)</f>
        <v>2059423</v>
      </c>
      <c r="K44" s="171">
        <v>1462246</v>
      </c>
      <c r="L44" s="171">
        <v>215641</v>
      </c>
      <c r="M44" s="171">
        <v>353572</v>
      </c>
      <c r="N44" s="171"/>
      <c r="O44" s="171"/>
      <c r="P44" s="171">
        <v>27964</v>
      </c>
      <c r="Q44" s="1496"/>
      <c r="R44" s="1497"/>
      <c r="S44" s="1498"/>
      <c r="T44" s="1498"/>
      <c r="U44" s="1498"/>
      <c r="V44" s="1498"/>
      <c r="W44" s="1498"/>
      <c r="X44" s="1498"/>
      <c r="Y44" s="1498"/>
      <c r="Z44" s="1498"/>
      <c r="AA44" s="1498"/>
      <c r="AB44" s="1498"/>
      <c r="AC44" s="1498"/>
      <c r="AD44" s="1498"/>
      <c r="AE44" s="1498"/>
    </row>
    <row r="45" spans="1:31" s="1499" customFormat="1" ht="18" customHeight="1">
      <c r="A45" s="1470">
        <v>38</v>
      </c>
      <c r="B45" s="1490"/>
      <c r="C45" s="1491"/>
      <c r="D45" s="1491"/>
      <c r="E45" s="165" t="s">
        <v>1021</v>
      </c>
      <c r="F45" s="1493"/>
      <c r="G45" s="1493"/>
      <c r="H45" s="1493"/>
      <c r="I45" s="1500"/>
      <c r="J45" s="1501">
        <f>SUM(K45:R45)</f>
        <v>1965346</v>
      </c>
      <c r="K45" s="1502">
        <v>1444999</v>
      </c>
      <c r="L45" s="1502">
        <v>209658</v>
      </c>
      <c r="M45" s="1502">
        <v>287011</v>
      </c>
      <c r="N45" s="1502"/>
      <c r="O45" s="1502"/>
      <c r="P45" s="1502">
        <v>23678</v>
      </c>
      <c r="Q45" s="1496"/>
      <c r="R45" s="1497"/>
      <c r="S45" s="1498"/>
      <c r="T45" s="1498"/>
      <c r="U45" s="1498"/>
      <c r="V45" s="1498"/>
      <c r="W45" s="1498"/>
      <c r="X45" s="1498"/>
      <c r="Y45" s="1498"/>
      <c r="Z45" s="1498"/>
      <c r="AA45" s="1498"/>
      <c r="AB45" s="1498"/>
      <c r="AC45" s="1498"/>
      <c r="AD45" s="1498"/>
      <c r="AE45" s="1498"/>
    </row>
    <row r="46" spans="1:31" s="1506" customFormat="1" ht="22.5" customHeight="1">
      <c r="A46" s="1470">
        <v>39</v>
      </c>
      <c r="B46" s="1484">
        <v>8</v>
      </c>
      <c r="C46" s="1485"/>
      <c r="D46" s="1503" t="s">
        <v>27</v>
      </c>
      <c r="E46" s="1503"/>
      <c r="F46" s="1504" t="s">
        <v>80</v>
      </c>
      <c r="G46" s="161">
        <v>105788</v>
      </c>
      <c r="H46" s="161">
        <v>96614</v>
      </c>
      <c r="I46" s="1507">
        <v>123896</v>
      </c>
      <c r="J46" s="1550"/>
      <c r="K46" s="161"/>
      <c r="L46" s="161"/>
      <c r="M46" s="161"/>
      <c r="N46" s="161"/>
      <c r="O46" s="161"/>
      <c r="P46" s="161"/>
      <c r="Q46" s="161"/>
      <c r="R46" s="1489"/>
      <c r="S46" s="1505"/>
      <c r="T46" s="1505"/>
      <c r="U46" s="1505"/>
      <c r="V46" s="1505"/>
      <c r="W46" s="1505"/>
      <c r="X46" s="1505"/>
      <c r="Y46" s="1505"/>
      <c r="Z46" s="1505"/>
      <c r="AA46" s="1505"/>
      <c r="AB46" s="1505"/>
      <c r="AC46" s="1505"/>
      <c r="AD46" s="1505"/>
      <c r="AE46" s="1505"/>
    </row>
    <row r="47" spans="1:31" s="1511" customFormat="1" ht="18" customHeight="1">
      <c r="A47" s="1470">
        <v>40</v>
      </c>
      <c r="B47" s="1551"/>
      <c r="C47" s="1552"/>
      <c r="D47" s="1552"/>
      <c r="E47" s="1492" t="s">
        <v>198</v>
      </c>
      <c r="F47" s="1553"/>
      <c r="G47" s="1553"/>
      <c r="H47" s="1553"/>
      <c r="I47" s="1500"/>
      <c r="J47" s="1509">
        <f t="shared" ref="J47:J49" si="2">SUM(K47:R47)</f>
        <v>123176</v>
      </c>
      <c r="K47" s="1496">
        <v>68672</v>
      </c>
      <c r="L47" s="1496">
        <v>9339</v>
      </c>
      <c r="M47" s="1496">
        <v>44665</v>
      </c>
      <c r="N47" s="1496"/>
      <c r="O47" s="1496"/>
      <c r="P47" s="1496">
        <v>500</v>
      </c>
      <c r="Q47" s="1496"/>
      <c r="R47" s="1497"/>
      <c r="S47" s="1510"/>
      <c r="T47" s="1510"/>
      <c r="U47" s="1510"/>
      <c r="V47" s="1510"/>
      <c r="W47" s="1510"/>
      <c r="X47" s="1510"/>
      <c r="Y47" s="1510"/>
      <c r="Z47" s="1510"/>
      <c r="AA47" s="1510"/>
      <c r="AB47" s="1510"/>
      <c r="AC47" s="1510"/>
      <c r="AD47" s="1510"/>
      <c r="AE47" s="1510"/>
    </row>
    <row r="48" spans="1:31" s="1511" customFormat="1" ht="18" customHeight="1">
      <c r="A48" s="1470">
        <v>41</v>
      </c>
      <c r="B48" s="1551"/>
      <c r="C48" s="1552"/>
      <c r="D48" s="1552"/>
      <c r="E48" s="163" t="s">
        <v>765</v>
      </c>
      <c r="F48" s="1553"/>
      <c r="G48" s="1553"/>
      <c r="H48" s="1553"/>
      <c r="I48" s="1500"/>
      <c r="J48" s="1508">
        <f t="shared" si="2"/>
        <v>170386</v>
      </c>
      <c r="K48" s="171">
        <v>105821</v>
      </c>
      <c r="L48" s="171">
        <v>13006</v>
      </c>
      <c r="M48" s="171">
        <v>50459</v>
      </c>
      <c r="N48" s="171"/>
      <c r="O48" s="171"/>
      <c r="P48" s="171">
        <v>1100</v>
      </c>
      <c r="Q48" s="1496"/>
      <c r="R48" s="1497"/>
      <c r="S48" s="1510"/>
      <c r="T48" s="1510"/>
      <c r="U48" s="1510"/>
      <c r="V48" s="1510"/>
      <c r="W48" s="1510"/>
      <c r="X48" s="1510"/>
      <c r="Y48" s="1510"/>
      <c r="Z48" s="1510"/>
      <c r="AA48" s="1510"/>
      <c r="AB48" s="1510"/>
      <c r="AC48" s="1510"/>
      <c r="AD48" s="1510"/>
      <c r="AE48" s="1510"/>
    </row>
    <row r="49" spans="1:31" s="1511" customFormat="1" ht="18" customHeight="1">
      <c r="A49" s="1470">
        <v>42</v>
      </c>
      <c r="B49" s="1551"/>
      <c r="C49" s="1552"/>
      <c r="D49" s="1552"/>
      <c r="E49" s="165" t="s">
        <v>1021</v>
      </c>
      <c r="F49" s="1553"/>
      <c r="G49" s="1553"/>
      <c r="H49" s="1553"/>
      <c r="I49" s="1500"/>
      <c r="J49" s="1501">
        <f t="shared" si="2"/>
        <v>144398</v>
      </c>
      <c r="K49" s="1502">
        <v>97217</v>
      </c>
      <c r="L49" s="1502">
        <v>11189</v>
      </c>
      <c r="M49" s="1502">
        <v>35021</v>
      </c>
      <c r="N49" s="1502"/>
      <c r="O49" s="1502"/>
      <c r="P49" s="1502">
        <v>971</v>
      </c>
      <c r="Q49" s="1496"/>
      <c r="R49" s="1497"/>
      <c r="S49" s="1510"/>
      <c r="T49" s="1510"/>
      <c r="U49" s="1510"/>
      <c r="V49" s="1510"/>
      <c r="W49" s="1510"/>
      <c r="X49" s="1510"/>
      <c r="Y49" s="1510"/>
      <c r="Z49" s="1510"/>
      <c r="AA49" s="1510"/>
      <c r="AB49" s="1510"/>
      <c r="AC49" s="1510"/>
      <c r="AD49" s="1510"/>
      <c r="AE49" s="1510"/>
    </row>
    <row r="50" spans="1:31" s="1506" customFormat="1" ht="22.5" customHeight="1">
      <c r="A50" s="1470">
        <v>43</v>
      </c>
      <c r="B50" s="1484">
        <v>9</v>
      </c>
      <c r="C50" s="1485"/>
      <c r="D50" s="1503" t="s">
        <v>28</v>
      </c>
      <c r="E50" s="1503"/>
      <c r="F50" s="1504" t="s">
        <v>80</v>
      </c>
      <c r="G50" s="161">
        <v>387908</v>
      </c>
      <c r="H50" s="161">
        <v>335111</v>
      </c>
      <c r="I50" s="1507">
        <v>433330</v>
      </c>
      <c r="J50" s="1550"/>
      <c r="K50" s="161"/>
      <c r="L50" s="161"/>
      <c r="M50" s="161"/>
      <c r="N50" s="161"/>
      <c r="O50" s="161"/>
      <c r="P50" s="161"/>
      <c r="Q50" s="161"/>
      <c r="R50" s="1489"/>
      <c r="S50" s="1505"/>
      <c r="T50" s="1505"/>
      <c r="U50" s="1505"/>
      <c r="V50" s="1505"/>
      <c r="W50" s="1505"/>
      <c r="X50" s="1505"/>
      <c r="Y50" s="1505"/>
      <c r="Z50" s="1505"/>
      <c r="AA50" s="1505"/>
      <c r="AB50" s="1505"/>
      <c r="AC50" s="1505"/>
      <c r="AD50" s="1505"/>
      <c r="AE50" s="1505"/>
    </row>
    <row r="51" spans="1:31" s="1511" customFormat="1" ht="18" customHeight="1">
      <c r="A51" s="1470">
        <v>44</v>
      </c>
      <c r="B51" s="1551"/>
      <c r="C51" s="1554"/>
      <c r="D51" s="1554"/>
      <c r="E51" s="1492" t="s">
        <v>198</v>
      </c>
      <c r="F51" s="1555"/>
      <c r="G51" s="1555"/>
      <c r="H51" s="1555"/>
      <c r="I51" s="1556"/>
      <c r="J51" s="167">
        <f>SUM(K51:R51)</f>
        <v>411647</v>
      </c>
      <c r="K51" s="1534">
        <v>317261</v>
      </c>
      <c r="L51" s="1534">
        <v>48944</v>
      </c>
      <c r="M51" s="1534">
        <v>44942</v>
      </c>
      <c r="N51" s="1534"/>
      <c r="O51" s="1534"/>
      <c r="P51" s="1534">
        <v>500</v>
      </c>
      <c r="Q51" s="1534"/>
      <c r="R51" s="1535"/>
      <c r="S51" s="1510"/>
      <c r="T51" s="1510"/>
      <c r="U51" s="1510"/>
      <c r="V51" s="1510"/>
      <c r="W51" s="1510"/>
      <c r="X51" s="1510"/>
      <c r="Y51" s="1510"/>
      <c r="Z51" s="1510"/>
      <c r="AA51" s="1510"/>
      <c r="AB51" s="1510"/>
      <c r="AC51" s="1510"/>
      <c r="AD51" s="1510"/>
      <c r="AE51" s="1510"/>
    </row>
    <row r="52" spans="1:31" s="1511" customFormat="1" ht="18" customHeight="1">
      <c r="A52" s="1470">
        <v>45</v>
      </c>
      <c r="B52" s="1551"/>
      <c r="C52" s="1554"/>
      <c r="D52" s="1554"/>
      <c r="E52" s="163" t="s">
        <v>765</v>
      </c>
      <c r="F52" s="1555"/>
      <c r="G52" s="1555"/>
      <c r="H52" s="1555"/>
      <c r="I52" s="1556"/>
      <c r="J52" s="168">
        <f>SUM(K52:R52)</f>
        <v>546574</v>
      </c>
      <c r="K52" s="1537">
        <v>418864</v>
      </c>
      <c r="L52" s="1537">
        <v>68739</v>
      </c>
      <c r="M52" s="1537">
        <v>54921</v>
      </c>
      <c r="N52" s="1537"/>
      <c r="O52" s="1537"/>
      <c r="P52" s="1537">
        <v>4050</v>
      </c>
      <c r="Q52" s="1534"/>
      <c r="R52" s="1535"/>
      <c r="S52" s="1510"/>
      <c r="T52" s="1510"/>
      <c r="U52" s="1510"/>
      <c r="V52" s="1510"/>
      <c r="W52" s="1510"/>
      <c r="X52" s="1510"/>
      <c r="Y52" s="1510"/>
      <c r="Z52" s="1510"/>
      <c r="AA52" s="1510"/>
      <c r="AB52" s="1510"/>
      <c r="AC52" s="1510"/>
      <c r="AD52" s="1510"/>
      <c r="AE52" s="1510"/>
    </row>
    <row r="53" spans="1:31" s="1511" customFormat="1" ht="18" customHeight="1">
      <c r="A53" s="1470">
        <v>46</v>
      </c>
      <c r="B53" s="1551"/>
      <c r="C53" s="1554"/>
      <c r="D53" s="1554"/>
      <c r="E53" s="165" t="s">
        <v>1021</v>
      </c>
      <c r="F53" s="1555"/>
      <c r="G53" s="1555"/>
      <c r="H53" s="1555"/>
      <c r="I53" s="1556"/>
      <c r="J53" s="1501">
        <f>SUM(K53:R53)</f>
        <v>516711</v>
      </c>
      <c r="K53" s="1557">
        <v>405384</v>
      </c>
      <c r="L53" s="1557">
        <f>62447+1</f>
        <v>62448</v>
      </c>
      <c r="M53" s="1557">
        <f>61138-13792-1</f>
        <v>47345</v>
      </c>
      <c r="N53" s="1557"/>
      <c r="O53" s="1557"/>
      <c r="P53" s="1557">
        <v>1534</v>
      </c>
      <c r="Q53" s="1534"/>
      <c r="R53" s="1535"/>
      <c r="S53" s="1510"/>
      <c r="T53" s="1510"/>
      <c r="U53" s="1510"/>
      <c r="V53" s="1510"/>
      <c r="W53" s="1510"/>
      <c r="X53" s="1510"/>
      <c r="Y53" s="1510"/>
      <c r="Z53" s="1510"/>
      <c r="AA53" s="1510"/>
      <c r="AB53" s="1510"/>
      <c r="AC53" s="1510"/>
      <c r="AD53" s="1510"/>
      <c r="AE53" s="1510"/>
    </row>
    <row r="54" spans="1:31" s="1506" customFormat="1" ht="22.5" customHeight="1">
      <c r="A54" s="1470">
        <v>47</v>
      </c>
      <c r="B54" s="1558"/>
      <c r="C54" s="1485">
        <v>2</v>
      </c>
      <c r="D54" s="1559" t="s">
        <v>29</v>
      </c>
      <c r="E54" s="1559"/>
      <c r="F54" s="1560"/>
      <c r="G54" s="161">
        <v>16840</v>
      </c>
      <c r="H54" s="161">
        <v>10711</v>
      </c>
      <c r="I54" s="1507">
        <v>21263</v>
      </c>
      <c r="J54" s="1550"/>
      <c r="K54" s="1515"/>
      <c r="L54" s="1515"/>
      <c r="M54" s="1515"/>
      <c r="N54" s="1502"/>
      <c r="O54" s="1502"/>
      <c r="P54" s="1502"/>
      <c r="Q54" s="1502"/>
      <c r="R54" s="1561"/>
      <c r="S54" s="1505"/>
      <c r="T54" s="1505"/>
      <c r="U54" s="1505"/>
      <c r="V54" s="1505"/>
      <c r="W54" s="1505"/>
      <c r="X54" s="1505"/>
      <c r="Y54" s="1505"/>
      <c r="Z54" s="1505"/>
      <c r="AA54" s="1505"/>
      <c r="AB54" s="1505"/>
      <c r="AC54" s="1505"/>
      <c r="AD54" s="1505"/>
      <c r="AE54" s="1505"/>
    </row>
    <row r="55" spans="1:31" s="1506" customFormat="1" ht="18" customHeight="1">
      <c r="A55" s="1470">
        <v>48</v>
      </c>
      <c r="B55" s="1558"/>
      <c r="C55" s="1562"/>
      <c r="D55" s="1563"/>
      <c r="E55" s="1492" t="s">
        <v>198</v>
      </c>
      <c r="F55" s="1564"/>
      <c r="G55" s="1480"/>
      <c r="H55" s="1480"/>
      <c r="I55" s="1548"/>
      <c r="J55" s="167">
        <f>SUM(K55:R55)</f>
        <v>5948</v>
      </c>
      <c r="K55" s="1534"/>
      <c r="L55" s="1534"/>
      <c r="M55" s="1534">
        <v>5948</v>
      </c>
      <c r="N55" s="1534"/>
      <c r="O55" s="1534"/>
      <c r="P55" s="1534"/>
      <c r="Q55" s="1534"/>
      <c r="R55" s="1535"/>
      <c r="S55" s="1505"/>
      <c r="T55" s="1505"/>
      <c r="U55" s="1505"/>
      <c r="V55" s="1505"/>
      <c r="W55" s="1505"/>
      <c r="X55" s="1505"/>
      <c r="Y55" s="1505"/>
      <c r="Z55" s="1505"/>
      <c r="AA55" s="1505"/>
      <c r="AB55" s="1505"/>
      <c r="AC55" s="1505"/>
      <c r="AD55" s="1505"/>
      <c r="AE55" s="1505"/>
    </row>
    <row r="56" spans="1:31" s="1506" customFormat="1" ht="18" customHeight="1">
      <c r="A56" s="1470">
        <v>49</v>
      </c>
      <c r="B56" s="1558"/>
      <c r="C56" s="1562"/>
      <c r="D56" s="1565"/>
      <c r="E56" s="163" t="s">
        <v>765</v>
      </c>
      <c r="F56" s="1564"/>
      <c r="G56" s="1480"/>
      <c r="H56" s="1480"/>
      <c r="I56" s="1548"/>
      <c r="J56" s="168">
        <f>SUM(K56:R56)</f>
        <v>16448</v>
      </c>
      <c r="K56" s="1537"/>
      <c r="L56" s="1537"/>
      <c r="M56" s="1537">
        <v>16448</v>
      </c>
      <c r="N56" s="1534"/>
      <c r="O56" s="1534"/>
      <c r="P56" s="1534"/>
      <c r="Q56" s="1534"/>
      <c r="R56" s="1535"/>
      <c r="S56" s="1505"/>
      <c r="T56" s="1505"/>
      <c r="U56" s="1505"/>
      <c r="V56" s="1505"/>
      <c r="W56" s="1505"/>
      <c r="X56" s="1505"/>
      <c r="Y56" s="1505"/>
      <c r="Z56" s="1505"/>
      <c r="AA56" s="1505"/>
      <c r="AB56" s="1505"/>
      <c r="AC56" s="1505"/>
      <c r="AD56" s="1505"/>
      <c r="AE56" s="1505"/>
    </row>
    <row r="57" spans="1:31" s="1506" customFormat="1" ht="18" customHeight="1">
      <c r="A57" s="1470">
        <v>50</v>
      </c>
      <c r="B57" s="1558"/>
      <c r="C57" s="1562"/>
      <c r="D57" s="1565"/>
      <c r="E57" s="165" t="s">
        <v>1021</v>
      </c>
      <c r="F57" s="1564"/>
      <c r="G57" s="1480"/>
      <c r="H57" s="1480"/>
      <c r="I57" s="1548"/>
      <c r="J57" s="1501">
        <f>SUM(K57:R57)</f>
        <v>13792</v>
      </c>
      <c r="K57" s="1534"/>
      <c r="L57" s="1534"/>
      <c r="M57" s="1557">
        <v>13792</v>
      </c>
      <c r="N57" s="1534"/>
      <c r="O57" s="1534"/>
      <c r="P57" s="1534"/>
      <c r="Q57" s="1534"/>
      <c r="R57" s="1535"/>
      <c r="S57" s="1505"/>
      <c r="T57" s="1505"/>
      <c r="U57" s="1505"/>
      <c r="V57" s="1505"/>
      <c r="W57" s="1505"/>
      <c r="X57" s="1505"/>
      <c r="Y57" s="1505"/>
      <c r="Z57" s="1505"/>
      <c r="AA57" s="1505"/>
      <c r="AB57" s="1505"/>
      <c r="AC57" s="1505"/>
      <c r="AD57" s="1505"/>
      <c r="AE57" s="1505"/>
    </row>
    <row r="58" spans="1:31" s="1506" customFormat="1" ht="29.25" customHeight="1" thickBot="1">
      <c r="A58" s="1470">
        <v>51</v>
      </c>
      <c r="B58" s="1558"/>
      <c r="C58" s="1566">
        <v>1</v>
      </c>
      <c r="D58" s="1920" t="s">
        <v>229</v>
      </c>
      <c r="E58" s="1920"/>
      <c r="F58" s="1567"/>
      <c r="G58" s="161">
        <v>5245</v>
      </c>
      <c r="H58" s="161"/>
      <c r="I58" s="1487"/>
      <c r="J58" s="1568"/>
      <c r="K58" s="1515"/>
      <c r="L58" s="1515"/>
      <c r="M58" s="1515"/>
      <c r="N58" s="1502"/>
      <c r="O58" s="1502"/>
      <c r="P58" s="1502"/>
      <c r="Q58" s="1502"/>
      <c r="R58" s="1561"/>
      <c r="S58" s="1505"/>
      <c r="T58" s="1505"/>
      <c r="U58" s="1505"/>
      <c r="V58" s="1505"/>
      <c r="W58" s="1505"/>
      <c r="X58" s="1505"/>
      <c r="Y58" s="1505"/>
      <c r="Z58" s="1505"/>
      <c r="AA58" s="1505"/>
      <c r="AB58" s="1505"/>
      <c r="AC58" s="1505"/>
      <c r="AD58" s="1505"/>
      <c r="AE58" s="1505"/>
    </row>
    <row r="59" spans="1:31" s="1573" customFormat="1" ht="22.5" customHeight="1" thickTop="1">
      <c r="A59" s="1470">
        <v>52</v>
      </c>
      <c r="B59" s="1521"/>
      <c r="C59" s="1905" t="s">
        <v>209</v>
      </c>
      <c r="D59" s="1905"/>
      <c r="E59" s="1905"/>
      <c r="F59" s="1569"/>
      <c r="G59" s="1522">
        <f>SUM(G42:G58)</f>
        <v>1951246</v>
      </c>
      <c r="H59" s="1522">
        <f>SUM(H42:H58)</f>
        <v>2093912</v>
      </c>
      <c r="I59" s="1523">
        <f>SUM(I42:I58)</f>
        <v>2281977</v>
      </c>
      <c r="J59" s="1524"/>
      <c r="K59" s="1570"/>
      <c r="L59" s="1570"/>
      <c r="M59" s="1570"/>
      <c r="N59" s="1570"/>
      <c r="O59" s="1570"/>
      <c r="P59" s="1570"/>
      <c r="Q59" s="1570"/>
      <c r="R59" s="1571"/>
      <c r="S59" s="1526"/>
      <c r="T59" s="1572"/>
      <c r="U59" s="1572"/>
      <c r="V59" s="1572"/>
      <c r="W59" s="1572"/>
      <c r="X59" s="1572"/>
      <c r="Y59" s="1572"/>
      <c r="Z59" s="1572"/>
      <c r="AA59" s="1572"/>
      <c r="AB59" s="1572"/>
      <c r="AC59" s="1572"/>
      <c r="AD59" s="1572"/>
      <c r="AE59" s="1572"/>
    </row>
    <row r="60" spans="1:31" s="1511" customFormat="1" ht="18" customHeight="1">
      <c r="A60" s="1470">
        <v>53</v>
      </c>
      <c r="B60" s="1551"/>
      <c r="C60" s="1574"/>
      <c r="D60" s="1554"/>
      <c r="E60" s="1575" t="s">
        <v>198</v>
      </c>
      <c r="F60" s="1555"/>
      <c r="G60" s="1555"/>
      <c r="H60" s="1555"/>
      <c r="I60" s="1532"/>
      <c r="J60" s="1533">
        <f>SUM(K60:R60)</f>
        <v>2366254</v>
      </c>
      <c r="K60" s="1534">
        <f t="shared" ref="K60:R61" si="3">SUM(K43,K47,K51,K55)</f>
        <v>1721212</v>
      </c>
      <c r="L60" s="1534">
        <f t="shared" si="3"/>
        <v>257674</v>
      </c>
      <c r="M60" s="1534">
        <f t="shared" si="3"/>
        <v>378039</v>
      </c>
      <c r="N60" s="1534">
        <f t="shared" si="3"/>
        <v>0</v>
      </c>
      <c r="O60" s="1534">
        <f t="shared" si="3"/>
        <v>0</v>
      </c>
      <c r="P60" s="1534">
        <f t="shared" si="3"/>
        <v>9329</v>
      </c>
      <c r="Q60" s="1534">
        <f t="shared" si="3"/>
        <v>0</v>
      </c>
      <c r="R60" s="1535">
        <f t="shared" si="3"/>
        <v>0</v>
      </c>
      <c r="S60" s="1510"/>
      <c r="T60" s="1510"/>
      <c r="U60" s="1510"/>
      <c r="V60" s="1510"/>
      <c r="W60" s="1510"/>
      <c r="X60" s="1510"/>
      <c r="Y60" s="1510"/>
      <c r="Z60" s="1510"/>
      <c r="AA60" s="1510"/>
      <c r="AB60" s="1510"/>
      <c r="AC60" s="1510"/>
      <c r="AD60" s="1510"/>
      <c r="AE60" s="1510"/>
    </row>
    <row r="61" spans="1:31" s="1511" customFormat="1" ht="18" customHeight="1">
      <c r="A61" s="1470">
        <v>54</v>
      </c>
      <c r="B61" s="1576"/>
      <c r="C61" s="1574"/>
      <c r="D61" s="1554"/>
      <c r="E61" s="163" t="s">
        <v>765</v>
      </c>
      <c r="F61" s="1555"/>
      <c r="G61" s="1555"/>
      <c r="H61" s="1555"/>
      <c r="I61" s="1532"/>
      <c r="J61" s="1536">
        <f>SUM(K61:R61)</f>
        <v>2792831</v>
      </c>
      <c r="K61" s="1537">
        <f t="shared" si="3"/>
        <v>1986931</v>
      </c>
      <c r="L61" s="1537">
        <f t="shared" si="3"/>
        <v>297386</v>
      </c>
      <c r="M61" s="1537">
        <f t="shared" si="3"/>
        <v>475400</v>
      </c>
      <c r="N61" s="1537">
        <f t="shared" si="3"/>
        <v>0</v>
      </c>
      <c r="O61" s="1537">
        <f t="shared" si="3"/>
        <v>0</v>
      </c>
      <c r="P61" s="1537">
        <f t="shared" si="3"/>
        <v>33114</v>
      </c>
      <c r="Q61" s="1537">
        <f t="shared" si="3"/>
        <v>0</v>
      </c>
      <c r="R61" s="1538">
        <f t="shared" si="3"/>
        <v>0</v>
      </c>
      <c r="S61" s="1510"/>
      <c r="T61" s="1510"/>
      <c r="U61" s="1510"/>
      <c r="V61" s="1510"/>
      <c r="W61" s="1510"/>
      <c r="X61" s="1510"/>
      <c r="Y61" s="1510"/>
      <c r="Z61" s="1510"/>
      <c r="AA61" s="1510"/>
      <c r="AB61" s="1510"/>
      <c r="AC61" s="1510"/>
      <c r="AD61" s="1510"/>
      <c r="AE61" s="1510"/>
    </row>
    <row r="62" spans="1:31" s="1511" customFormat="1" ht="18" customHeight="1" thickBot="1">
      <c r="A62" s="1470">
        <v>55</v>
      </c>
      <c r="B62" s="1576"/>
      <c r="C62" s="1577"/>
      <c r="D62" s="1578"/>
      <c r="E62" s="1541" t="s">
        <v>1022</v>
      </c>
      <c r="F62" s="1579"/>
      <c r="G62" s="1579"/>
      <c r="H62" s="1579"/>
      <c r="I62" s="1543"/>
      <c r="J62" s="1544">
        <f>SUM(K62:R62)</f>
        <v>2640247</v>
      </c>
      <c r="K62" s="1545">
        <f t="shared" ref="K62:R62" si="4">K57+K53+K49+K45</f>
        <v>1947600</v>
      </c>
      <c r="L62" s="1545">
        <f t="shared" si="4"/>
        <v>283295</v>
      </c>
      <c r="M62" s="1545">
        <f t="shared" si="4"/>
        <v>383169</v>
      </c>
      <c r="N62" s="1545">
        <f t="shared" si="4"/>
        <v>0</v>
      </c>
      <c r="O62" s="1545">
        <f t="shared" si="4"/>
        <v>0</v>
      </c>
      <c r="P62" s="1545">
        <f t="shared" si="4"/>
        <v>26183</v>
      </c>
      <c r="Q62" s="1545">
        <f t="shared" si="4"/>
        <v>0</v>
      </c>
      <c r="R62" s="1546">
        <f t="shared" si="4"/>
        <v>0</v>
      </c>
      <c r="S62" s="1510"/>
      <c r="T62" s="1510"/>
      <c r="U62" s="1510"/>
      <c r="V62" s="1510"/>
      <c r="W62" s="1510"/>
      <c r="X62" s="1510"/>
      <c r="Y62" s="1510"/>
      <c r="Z62" s="1510"/>
      <c r="AA62" s="1510"/>
      <c r="AB62" s="1510"/>
      <c r="AC62" s="1510"/>
      <c r="AD62" s="1510"/>
      <c r="AE62" s="1510"/>
    </row>
    <row r="63" spans="1:31" s="1513" customFormat="1" ht="22.5" customHeight="1" thickTop="1">
      <c r="A63" s="1470">
        <v>56</v>
      </c>
      <c r="B63" s="1476">
        <v>10</v>
      </c>
      <c r="C63" s="1477"/>
      <c r="D63" s="1478" t="s">
        <v>210</v>
      </c>
      <c r="E63" s="1547"/>
      <c r="F63" s="1479" t="s">
        <v>80</v>
      </c>
      <c r="G63" s="1480">
        <v>347458</v>
      </c>
      <c r="H63" s="1480">
        <v>493071</v>
      </c>
      <c r="I63" s="1481">
        <v>499778</v>
      </c>
      <c r="J63" s="1580"/>
      <c r="K63" s="1480"/>
      <c r="L63" s="1480"/>
      <c r="M63" s="1480"/>
      <c r="N63" s="1480"/>
      <c r="O63" s="1480"/>
      <c r="P63" s="1480"/>
      <c r="Q63" s="1480"/>
      <c r="R63" s="1483"/>
      <c r="S63" s="1512"/>
      <c r="T63" s="1512"/>
      <c r="U63" s="1512"/>
      <c r="V63" s="1512"/>
      <c r="W63" s="1512"/>
      <c r="X63" s="1512"/>
      <c r="Y63" s="1512"/>
      <c r="Z63" s="1512"/>
      <c r="AA63" s="1512"/>
      <c r="AB63" s="1512"/>
      <c r="AC63" s="1512"/>
      <c r="AD63" s="1512"/>
      <c r="AE63" s="1512"/>
    </row>
    <row r="64" spans="1:31" s="1511" customFormat="1" ht="18" customHeight="1">
      <c r="A64" s="1470">
        <v>57</v>
      </c>
      <c r="B64" s="1551"/>
      <c r="C64" s="1552"/>
      <c r="D64" s="1552"/>
      <c r="E64" s="1492" t="s">
        <v>198</v>
      </c>
      <c r="F64" s="1553"/>
      <c r="G64" s="1553"/>
      <c r="H64" s="1553"/>
      <c r="I64" s="1494"/>
      <c r="J64" s="1495">
        <f>SUM(K64:R64)</f>
        <v>421845</v>
      </c>
      <c r="K64" s="1496">
        <v>138265</v>
      </c>
      <c r="L64" s="1496">
        <v>18954</v>
      </c>
      <c r="M64" s="1496">
        <f>234528+5216</f>
        <v>239744</v>
      </c>
      <c r="N64" s="1496"/>
      <c r="O64" s="1496"/>
      <c r="P64" s="1496">
        <f>4800+20000+82</f>
        <v>24882</v>
      </c>
      <c r="Q64" s="1496"/>
      <c r="R64" s="1497"/>
      <c r="S64" s="1510"/>
      <c r="T64" s="1510"/>
      <c r="U64" s="1510"/>
      <c r="V64" s="1510"/>
      <c r="W64" s="1510"/>
      <c r="X64" s="1510"/>
      <c r="Y64" s="1510"/>
      <c r="Z64" s="1510"/>
      <c r="AA64" s="1510"/>
      <c r="AB64" s="1510"/>
      <c r="AC64" s="1510"/>
      <c r="AD64" s="1510"/>
      <c r="AE64" s="1510"/>
    </row>
    <row r="65" spans="1:31" s="1511" customFormat="1" ht="18" customHeight="1">
      <c r="A65" s="1470">
        <v>58</v>
      </c>
      <c r="B65" s="1551"/>
      <c r="C65" s="1552"/>
      <c r="D65" s="1581"/>
      <c r="E65" s="163" t="s">
        <v>765</v>
      </c>
      <c r="F65" s="1553"/>
      <c r="G65" s="1553"/>
      <c r="H65" s="1553"/>
      <c r="I65" s="1494"/>
      <c r="J65" s="1488">
        <f>SUM(K65:R65)</f>
        <v>552463</v>
      </c>
      <c r="K65" s="171">
        <v>161860</v>
      </c>
      <c r="L65" s="171">
        <v>21958</v>
      </c>
      <c r="M65" s="171">
        <v>325313</v>
      </c>
      <c r="N65" s="171"/>
      <c r="O65" s="171"/>
      <c r="P65" s="171">
        <v>43332</v>
      </c>
      <c r="Q65" s="1496"/>
      <c r="R65" s="1497"/>
      <c r="S65" s="1510"/>
      <c r="T65" s="1510"/>
      <c r="U65" s="1510"/>
      <c r="V65" s="1510"/>
      <c r="W65" s="1510"/>
      <c r="X65" s="1510"/>
      <c r="Y65" s="1510"/>
      <c r="Z65" s="1510"/>
      <c r="AA65" s="1510"/>
      <c r="AB65" s="1510"/>
      <c r="AC65" s="1510"/>
      <c r="AD65" s="1510"/>
      <c r="AE65" s="1510"/>
    </row>
    <row r="66" spans="1:31" s="1511" customFormat="1" ht="18" customHeight="1">
      <c r="A66" s="1470">
        <v>59</v>
      </c>
      <c r="B66" s="1551"/>
      <c r="C66" s="1552"/>
      <c r="D66" s="1581"/>
      <c r="E66" s="165" t="s">
        <v>1021</v>
      </c>
      <c r="F66" s="1553"/>
      <c r="G66" s="1553"/>
      <c r="H66" s="1553"/>
      <c r="I66" s="1500"/>
      <c r="J66" s="1501">
        <f>SUM(K66:R66)</f>
        <v>411069</v>
      </c>
      <c r="K66" s="1502">
        <v>137813</v>
      </c>
      <c r="L66" s="1502">
        <v>19160</v>
      </c>
      <c r="M66" s="1502">
        <v>212397</v>
      </c>
      <c r="N66" s="1502"/>
      <c r="O66" s="1502"/>
      <c r="P66" s="1502">
        <v>41699</v>
      </c>
      <c r="Q66" s="1496"/>
      <c r="R66" s="1497"/>
      <c r="S66" s="1510"/>
      <c r="T66" s="1510"/>
      <c r="U66" s="1510"/>
      <c r="V66" s="1510"/>
      <c r="W66" s="1510"/>
      <c r="X66" s="1510"/>
      <c r="Y66" s="1510"/>
      <c r="Z66" s="1510"/>
      <c r="AA66" s="1510"/>
      <c r="AB66" s="1510"/>
      <c r="AC66" s="1510"/>
      <c r="AD66" s="1510"/>
      <c r="AE66" s="1510"/>
    </row>
    <row r="67" spans="1:31" s="1513" customFormat="1" ht="29.25" customHeight="1">
      <c r="A67" s="1470">
        <v>60</v>
      </c>
      <c r="B67" s="1558"/>
      <c r="C67" s="1566">
        <v>1</v>
      </c>
      <c r="D67" s="1903" t="s">
        <v>211</v>
      </c>
      <c r="E67" s="1903"/>
      <c r="F67" s="1560"/>
      <c r="G67" s="161">
        <v>28148</v>
      </c>
      <c r="H67" s="161">
        <v>38386</v>
      </c>
      <c r="I67" s="1487">
        <v>38465</v>
      </c>
      <c r="J67" s="1568"/>
      <c r="K67" s="1515"/>
      <c r="L67" s="1515"/>
      <c r="M67" s="1515"/>
      <c r="N67" s="1502"/>
      <c r="O67" s="1502"/>
      <c r="P67" s="1502"/>
      <c r="Q67" s="1502"/>
      <c r="R67" s="1561"/>
      <c r="S67" s="1512"/>
      <c r="T67" s="1512"/>
      <c r="U67" s="1512"/>
      <c r="V67" s="1512"/>
      <c r="W67" s="1512"/>
      <c r="X67" s="1512"/>
      <c r="Y67" s="1512"/>
      <c r="Z67" s="1512"/>
      <c r="AA67" s="1512"/>
      <c r="AB67" s="1512"/>
      <c r="AC67" s="1512"/>
      <c r="AD67" s="1512"/>
      <c r="AE67" s="1512"/>
    </row>
    <row r="68" spans="1:31" s="1586" customFormat="1" ht="29.25" customHeight="1">
      <c r="A68" s="1470">
        <v>61</v>
      </c>
      <c r="B68" s="1551"/>
      <c r="C68" s="1566">
        <v>2</v>
      </c>
      <c r="D68" s="1921" t="s">
        <v>230</v>
      </c>
      <c r="E68" s="1921"/>
      <c r="F68" s="1553"/>
      <c r="G68" s="1582">
        <v>1050</v>
      </c>
      <c r="H68" s="1583"/>
      <c r="I68" s="1584"/>
      <c r="J68" s="1495"/>
      <c r="K68" s="1496"/>
      <c r="L68" s="1496"/>
      <c r="M68" s="1496"/>
      <c r="N68" s="1496"/>
      <c r="O68" s="1496"/>
      <c r="P68" s="1496"/>
      <c r="Q68" s="1496"/>
      <c r="R68" s="1497"/>
      <c r="S68" s="1585"/>
      <c r="T68" s="1585"/>
      <c r="U68" s="1585"/>
      <c r="V68" s="1585"/>
      <c r="W68" s="1585"/>
      <c r="X68" s="1585"/>
      <c r="Y68" s="1585"/>
      <c r="Z68" s="1585"/>
      <c r="AA68" s="1585"/>
      <c r="AB68" s="1585"/>
      <c r="AC68" s="1585"/>
      <c r="AD68" s="1585"/>
      <c r="AE68" s="1585"/>
    </row>
    <row r="69" spans="1:31" s="1517" customFormat="1" ht="22.5" customHeight="1">
      <c r="A69" s="1470">
        <v>62</v>
      </c>
      <c r="B69" s="1484">
        <v>11</v>
      </c>
      <c r="C69" s="1485"/>
      <c r="D69" s="1503" t="s">
        <v>31</v>
      </c>
      <c r="E69" s="1503"/>
      <c r="F69" s="1504" t="s">
        <v>80</v>
      </c>
      <c r="G69" s="161">
        <v>286925</v>
      </c>
      <c r="H69" s="161">
        <v>629204</v>
      </c>
      <c r="I69" s="1487">
        <v>631182</v>
      </c>
      <c r="J69" s="1568"/>
      <c r="K69" s="161"/>
      <c r="L69" s="161"/>
      <c r="M69" s="161"/>
      <c r="N69" s="161"/>
      <c r="O69" s="161"/>
      <c r="P69" s="161"/>
      <c r="Q69" s="161"/>
      <c r="R69" s="1489"/>
      <c r="S69" s="172"/>
      <c r="T69" s="172"/>
      <c r="U69" s="172"/>
      <c r="V69" s="172"/>
      <c r="W69" s="172"/>
      <c r="X69" s="172"/>
      <c r="Y69" s="172"/>
      <c r="Z69" s="172"/>
      <c r="AA69" s="172"/>
      <c r="AB69" s="172"/>
      <c r="AC69" s="172"/>
      <c r="AD69" s="172"/>
      <c r="AE69" s="172"/>
    </row>
    <row r="70" spans="1:31" s="1586" customFormat="1" ht="18" customHeight="1">
      <c r="A70" s="1470">
        <v>63</v>
      </c>
      <c r="B70" s="1551"/>
      <c r="C70" s="1552"/>
      <c r="D70" s="1552"/>
      <c r="E70" s="1492" t="s">
        <v>198</v>
      </c>
      <c r="F70" s="1553"/>
      <c r="G70" s="1553"/>
      <c r="H70" s="1553"/>
      <c r="I70" s="1494"/>
      <c r="J70" s="1495">
        <f>SUM(K70:R70)</f>
        <v>275654</v>
      </c>
      <c r="K70" s="1496">
        <f>124457+1000</f>
        <v>125457</v>
      </c>
      <c r="L70" s="1496">
        <f>17213+117</f>
        <v>17330</v>
      </c>
      <c r="M70" s="1496">
        <f>102189+15539</f>
        <v>117728</v>
      </c>
      <c r="N70" s="1496"/>
      <c r="O70" s="1496"/>
      <c r="P70" s="1496">
        <f>6249+8890</f>
        <v>15139</v>
      </c>
      <c r="Q70" s="1496"/>
      <c r="R70" s="1497"/>
      <c r="S70" s="1585"/>
      <c r="T70" s="1585"/>
      <c r="U70" s="1585"/>
      <c r="V70" s="1585"/>
      <c r="W70" s="1585"/>
      <c r="X70" s="1585"/>
      <c r="Y70" s="1585"/>
      <c r="Z70" s="1585"/>
      <c r="AA70" s="1585"/>
      <c r="AB70" s="1585"/>
      <c r="AC70" s="1585"/>
      <c r="AD70" s="1585"/>
      <c r="AE70" s="1585"/>
    </row>
    <row r="71" spans="1:31" s="1586" customFormat="1" ht="18" customHeight="1">
      <c r="A71" s="1470">
        <v>64</v>
      </c>
      <c r="B71" s="1551"/>
      <c r="C71" s="1552"/>
      <c r="D71" s="1552"/>
      <c r="E71" s="163" t="s">
        <v>765</v>
      </c>
      <c r="F71" s="1553"/>
      <c r="G71" s="1553"/>
      <c r="H71" s="1553"/>
      <c r="I71" s="1494"/>
      <c r="J71" s="1488">
        <f>SUM(K71:R71)</f>
        <v>390769</v>
      </c>
      <c r="K71" s="171">
        <v>137482</v>
      </c>
      <c r="L71" s="171">
        <v>18930</v>
      </c>
      <c r="M71" s="171">
        <v>222055</v>
      </c>
      <c r="N71" s="171"/>
      <c r="O71" s="171">
        <v>3203</v>
      </c>
      <c r="P71" s="171">
        <v>9099</v>
      </c>
      <c r="Q71" s="1496"/>
      <c r="R71" s="1497"/>
      <c r="S71" s="1585"/>
      <c r="T71" s="1585"/>
      <c r="U71" s="1585"/>
      <c r="V71" s="1585"/>
      <c r="W71" s="1585"/>
      <c r="X71" s="1585"/>
      <c r="Y71" s="1585"/>
      <c r="Z71" s="1585"/>
      <c r="AA71" s="1585"/>
      <c r="AB71" s="1585"/>
      <c r="AC71" s="1585"/>
      <c r="AD71" s="1585"/>
      <c r="AE71" s="1585"/>
    </row>
    <row r="72" spans="1:31" s="1586" customFormat="1" ht="18" customHeight="1">
      <c r="A72" s="1470">
        <v>65</v>
      </c>
      <c r="B72" s="1551"/>
      <c r="C72" s="1552"/>
      <c r="D72" s="1552"/>
      <c r="E72" s="165" t="s">
        <v>1021</v>
      </c>
      <c r="F72" s="1553"/>
      <c r="G72" s="1553"/>
      <c r="H72" s="1553"/>
      <c r="I72" s="1500"/>
      <c r="J72" s="1501">
        <f>SUM(K72:R72)</f>
        <v>344063</v>
      </c>
      <c r="K72" s="1502">
        <v>132999</v>
      </c>
      <c r="L72" s="1502">
        <v>16583</v>
      </c>
      <c r="M72" s="1502">
        <v>184400</v>
      </c>
      <c r="N72" s="1502"/>
      <c r="O72" s="1502">
        <v>3202</v>
      </c>
      <c r="P72" s="1502">
        <v>6879</v>
      </c>
      <c r="Q72" s="1496"/>
      <c r="R72" s="1497"/>
      <c r="S72" s="1585"/>
      <c r="T72" s="1585"/>
      <c r="U72" s="1585"/>
      <c r="V72" s="1585"/>
      <c r="W72" s="1585"/>
      <c r="X72" s="1585"/>
      <c r="Y72" s="1585"/>
      <c r="Z72" s="1585"/>
      <c r="AA72" s="1585"/>
      <c r="AB72" s="1585"/>
      <c r="AC72" s="1585"/>
      <c r="AD72" s="1585"/>
      <c r="AE72" s="1585"/>
    </row>
    <row r="73" spans="1:31" s="1586" customFormat="1" ht="18" customHeight="1">
      <c r="A73" s="1470">
        <v>66</v>
      </c>
      <c r="B73" s="1551"/>
      <c r="C73" s="1587">
        <v>2</v>
      </c>
      <c r="D73" s="1588" t="s">
        <v>213</v>
      </c>
      <c r="E73" s="1530"/>
      <c r="F73" s="1589"/>
      <c r="G73" s="1583">
        <v>7900</v>
      </c>
      <c r="H73" s="1583"/>
      <c r="I73" s="1584"/>
      <c r="J73" s="1495"/>
      <c r="K73" s="1496"/>
      <c r="L73" s="1496"/>
      <c r="M73" s="1496"/>
      <c r="N73" s="1496"/>
      <c r="O73" s="1496"/>
      <c r="P73" s="1496"/>
      <c r="Q73" s="1496"/>
      <c r="R73" s="1497"/>
      <c r="S73" s="1585"/>
      <c r="T73" s="1585"/>
      <c r="U73" s="1585"/>
      <c r="V73" s="1585"/>
      <c r="W73" s="1585"/>
      <c r="X73" s="1585"/>
      <c r="Y73" s="1585"/>
      <c r="Z73" s="1585"/>
      <c r="AA73" s="1585"/>
      <c r="AB73" s="1585"/>
      <c r="AC73" s="1585"/>
      <c r="AD73" s="1585"/>
      <c r="AE73" s="1585"/>
    </row>
    <row r="74" spans="1:31" s="1517" customFormat="1" ht="22.5" customHeight="1">
      <c r="A74" s="1470">
        <v>67</v>
      </c>
      <c r="B74" s="1484">
        <v>12</v>
      </c>
      <c r="C74" s="1485"/>
      <c r="D74" s="1503" t="s">
        <v>10</v>
      </c>
      <c r="E74" s="1503"/>
      <c r="F74" s="1504" t="s">
        <v>80</v>
      </c>
      <c r="G74" s="161">
        <v>534134</v>
      </c>
      <c r="H74" s="161">
        <v>618266</v>
      </c>
      <c r="I74" s="1487">
        <v>656144</v>
      </c>
      <c r="J74" s="1568"/>
      <c r="K74" s="161"/>
      <c r="L74" s="161"/>
      <c r="M74" s="161"/>
      <c r="N74" s="161"/>
      <c r="O74" s="161"/>
      <c r="P74" s="161"/>
      <c r="Q74" s="161"/>
      <c r="R74" s="1489"/>
      <c r="S74" s="172"/>
      <c r="T74" s="172"/>
      <c r="U74" s="172"/>
      <c r="V74" s="172"/>
      <c r="W74" s="172"/>
      <c r="X74" s="172"/>
      <c r="Y74" s="172"/>
      <c r="Z74" s="172"/>
      <c r="AA74" s="172"/>
      <c r="AB74" s="172"/>
      <c r="AC74" s="172"/>
      <c r="AD74" s="172"/>
      <c r="AE74" s="172"/>
    </row>
    <row r="75" spans="1:31" s="1586" customFormat="1" ht="18" customHeight="1">
      <c r="A75" s="1470">
        <v>68</v>
      </c>
      <c r="B75" s="1551"/>
      <c r="C75" s="1552"/>
      <c r="D75" s="1552"/>
      <c r="E75" s="1492" t="s">
        <v>198</v>
      </c>
      <c r="F75" s="1553"/>
      <c r="G75" s="1553"/>
      <c r="H75" s="1553"/>
      <c r="I75" s="1494"/>
      <c r="J75" s="1495">
        <f>SUM(K75:R75)</f>
        <v>671116</v>
      </c>
      <c r="K75" s="1496">
        <f>285733+394</f>
        <v>286127</v>
      </c>
      <c r="L75" s="1496">
        <f>42321+257</f>
        <v>42578</v>
      </c>
      <c r="M75" s="1496">
        <f>256894+7136</f>
        <v>264030</v>
      </c>
      <c r="N75" s="1496"/>
      <c r="O75" s="1496"/>
      <c r="P75" s="1496">
        <f>69720+8661</f>
        <v>78381</v>
      </c>
      <c r="Q75" s="1496"/>
      <c r="R75" s="1497"/>
      <c r="S75" s="1585"/>
      <c r="T75" s="1585"/>
      <c r="U75" s="1585"/>
      <c r="V75" s="1585"/>
      <c r="W75" s="1585"/>
      <c r="X75" s="1585"/>
      <c r="Y75" s="1585"/>
      <c r="Z75" s="1585"/>
      <c r="AA75" s="1585"/>
      <c r="AB75" s="1585"/>
      <c r="AC75" s="1585"/>
      <c r="AD75" s="1585"/>
      <c r="AE75" s="1585"/>
    </row>
    <row r="76" spans="1:31" s="1586" customFormat="1" ht="18" customHeight="1">
      <c r="A76" s="1470">
        <v>69</v>
      </c>
      <c r="B76" s="1551"/>
      <c r="C76" s="1552"/>
      <c r="D76" s="1552"/>
      <c r="E76" s="163" t="s">
        <v>765</v>
      </c>
      <c r="F76" s="1553"/>
      <c r="G76" s="1553"/>
      <c r="H76" s="1553"/>
      <c r="I76" s="1494"/>
      <c r="J76" s="1488">
        <f>SUM(K76:R76)</f>
        <v>751376</v>
      </c>
      <c r="K76" s="171">
        <v>313800</v>
      </c>
      <c r="L76" s="171">
        <v>49332</v>
      </c>
      <c r="M76" s="171">
        <v>295989</v>
      </c>
      <c r="N76" s="171"/>
      <c r="O76" s="171"/>
      <c r="P76" s="171">
        <v>92255</v>
      </c>
      <c r="Q76" s="1496"/>
      <c r="R76" s="1497"/>
      <c r="S76" s="1585"/>
      <c r="T76" s="1585"/>
      <c r="U76" s="1585"/>
      <c r="V76" s="1585"/>
      <c r="W76" s="1585"/>
      <c r="X76" s="1585"/>
      <c r="Y76" s="1585"/>
      <c r="Z76" s="1585"/>
      <c r="AA76" s="1585"/>
      <c r="AB76" s="1585"/>
      <c r="AC76" s="1585"/>
      <c r="AD76" s="1585"/>
      <c r="AE76" s="1585"/>
    </row>
    <row r="77" spans="1:31" s="1586" customFormat="1" ht="18" customHeight="1">
      <c r="A77" s="1470">
        <v>70</v>
      </c>
      <c r="B77" s="1551"/>
      <c r="C77" s="1552"/>
      <c r="D77" s="1552"/>
      <c r="E77" s="165" t="s">
        <v>1021</v>
      </c>
      <c r="F77" s="1553"/>
      <c r="G77" s="1553"/>
      <c r="H77" s="1553"/>
      <c r="I77" s="1500"/>
      <c r="J77" s="1501">
        <f>SUM(K77:R77)</f>
        <v>675848</v>
      </c>
      <c r="K77" s="1502">
        <v>306895</v>
      </c>
      <c r="L77" s="1502">
        <v>48263</v>
      </c>
      <c r="M77" s="1502">
        <v>235037</v>
      </c>
      <c r="N77" s="1502"/>
      <c r="O77" s="1502"/>
      <c r="P77" s="1502">
        <v>85653</v>
      </c>
      <c r="Q77" s="1496"/>
      <c r="R77" s="1497"/>
      <c r="S77" s="1585"/>
      <c r="T77" s="1585"/>
      <c r="U77" s="1585"/>
      <c r="V77" s="1585"/>
      <c r="W77" s="1585"/>
      <c r="X77" s="1585"/>
      <c r="Y77" s="1585"/>
      <c r="Z77" s="1585"/>
      <c r="AA77" s="1585"/>
      <c r="AB77" s="1585"/>
      <c r="AC77" s="1585"/>
      <c r="AD77" s="1585"/>
      <c r="AE77" s="1585"/>
    </row>
    <row r="78" spans="1:31" s="1513" customFormat="1" ht="36" customHeight="1">
      <c r="A78" s="1470">
        <v>71</v>
      </c>
      <c r="B78" s="1558"/>
      <c r="C78" s="1485">
        <v>1</v>
      </c>
      <c r="D78" s="1920" t="s">
        <v>211</v>
      </c>
      <c r="E78" s="1926"/>
      <c r="F78" s="1560"/>
      <c r="G78" s="161">
        <v>23205</v>
      </c>
      <c r="H78" s="161">
        <v>15126</v>
      </c>
      <c r="I78" s="1487">
        <v>15125</v>
      </c>
      <c r="J78" s="1568"/>
      <c r="K78" s="1515"/>
      <c r="L78" s="1515"/>
      <c r="M78" s="1515"/>
      <c r="N78" s="1502"/>
      <c r="O78" s="1502"/>
      <c r="P78" s="1502"/>
      <c r="Q78" s="1502"/>
      <c r="R78" s="1561"/>
      <c r="S78" s="1512"/>
      <c r="T78" s="1512"/>
      <c r="U78" s="1512"/>
      <c r="V78" s="1512"/>
      <c r="W78" s="1512"/>
      <c r="X78" s="1512"/>
      <c r="Y78" s="1512"/>
      <c r="Z78" s="1512"/>
      <c r="AA78" s="1512"/>
      <c r="AB78" s="1512"/>
      <c r="AC78" s="1512"/>
      <c r="AD78" s="1512"/>
      <c r="AE78" s="1512"/>
    </row>
    <row r="79" spans="1:31" s="1513" customFormat="1" ht="22.5" customHeight="1">
      <c r="A79" s="1470">
        <v>72</v>
      </c>
      <c r="B79" s="1484">
        <v>13</v>
      </c>
      <c r="C79" s="1485"/>
      <c r="D79" s="1503" t="s">
        <v>32</v>
      </c>
      <c r="E79" s="1503"/>
      <c r="F79" s="1504" t="s">
        <v>80</v>
      </c>
      <c r="G79" s="161">
        <v>466464</v>
      </c>
      <c r="H79" s="161">
        <v>469102</v>
      </c>
      <c r="I79" s="1487">
        <v>544167</v>
      </c>
      <c r="J79" s="1568"/>
      <c r="K79" s="161"/>
      <c r="L79" s="161"/>
      <c r="M79" s="161"/>
      <c r="N79" s="161"/>
      <c r="O79" s="161"/>
      <c r="P79" s="161"/>
      <c r="Q79" s="161"/>
      <c r="R79" s="1489"/>
      <c r="S79" s="1512"/>
      <c r="T79" s="1512"/>
      <c r="U79" s="1512"/>
      <c r="V79" s="1512"/>
      <c r="W79" s="1512"/>
      <c r="X79" s="1512"/>
      <c r="Y79" s="1512"/>
      <c r="Z79" s="1512"/>
      <c r="AA79" s="1512"/>
      <c r="AB79" s="1512"/>
      <c r="AC79" s="1512"/>
      <c r="AD79" s="1512"/>
      <c r="AE79" s="1512"/>
    </row>
    <row r="80" spans="1:31" s="1586" customFormat="1" ht="18" customHeight="1">
      <c r="A80" s="1470">
        <v>73</v>
      </c>
      <c r="B80" s="1551"/>
      <c r="C80" s="1552"/>
      <c r="D80" s="1552"/>
      <c r="E80" s="1492" t="s">
        <v>198</v>
      </c>
      <c r="F80" s="1553"/>
      <c r="G80" s="1553"/>
      <c r="H80" s="1553"/>
      <c r="I80" s="1494"/>
      <c r="J80" s="1495">
        <f>SUM(K80:R80)</f>
        <v>689496</v>
      </c>
      <c r="K80" s="1496">
        <f>272578+2293</f>
        <v>274871</v>
      </c>
      <c r="L80" s="1496">
        <f>43583+217</f>
        <v>43800</v>
      </c>
      <c r="M80" s="1496">
        <f>135194+107798-6754</f>
        <v>236238</v>
      </c>
      <c r="N80" s="1496"/>
      <c r="O80" s="1496">
        <v>6754</v>
      </c>
      <c r="P80" s="1496">
        <f>4800+123033</f>
        <v>127833</v>
      </c>
      <c r="Q80" s="1496"/>
      <c r="R80" s="1497"/>
      <c r="S80" s="1585"/>
      <c r="T80" s="1585"/>
      <c r="U80" s="1585"/>
      <c r="V80" s="1585"/>
      <c r="W80" s="1585"/>
      <c r="X80" s="1585"/>
      <c r="Y80" s="1585"/>
      <c r="Z80" s="1585"/>
      <c r="AA80" s="1585"/>
      <c r="AB80" s="1585"/>
      <c r="AC80" s="1585"/>
      <c r="AD80" s="1585"/>
      <c r="AE80" s="1585"/>
    </row>
    <row r="81" spans="1:31" s="1586" customFormat="1" ht="18" customHeight="1">
      <c r="A81" s="1470">
        <v>74</v>
      </c>
      <c r="B81" s="1551"/>
      <c r="C81" s="1552"/>
      <c r="D81" s="1552"/>
      <c r="E81" s="163" t="s">
        <v>765</v>
      </c>
      <c r="F81" s="1553"/>
      <c r="G81" s="1553"/>
      <c r="H81" s="1553"/>
      <c r="I81" s="1494"/>
      <c r="J81" s="1488">
        <f>SUM(K81:R81)</f>
        <v>856400</v>
      </c>
      <c r="K81" s="171">
        <v>311148</v>
      </c>
      <c r="L81" s="171">
        <v>48573</v>
      </c>
      <c r="M81" s="171">
        <v>328146</v>
      </c>
      <c r="N81" s="171"/>
      <c r="O81" s="171">
        <v>7262</v>
      </c>
      <c r="P81" s="171">
        <v>159296</v>
      </c>
      <c r="Q81" s="1496"/>
      <c r="R81" s="1514">
        <v>1975</v>
      </c>
      <c r="S81" s="1585"/>
      <c r="T81" s="1585"/>
      <c r="U81" s="1585"/>
      <c r="V81" s="1585"/>
      <c r="W81" s="1585"/>
      <c r="X81" s="1585"/>
      <c r="Y81" s="1585"/>
      <c r="Z81" s="1585"/>
      <c r="AA81" s="1585"/>
      <c r="AB81" s="1585"/>
      <c r="AC81" s="1585"/>
      <c r="AD81" s="1585"/>
      <c r="AE81" s="1585"/>
    </row>
    <row r="82" spans="1:31" s="1586" customFormat="1" ht="18" customHeight="1">
      <c r="A82" s="1470">
        <v>75</v>
      </c>
      <c r="B82" s="1551"/>
      <c r="C82" s="1552"/>
      <c r="D82" s="1552"/>
      <c r="E82" s="165" t="s">
        <v>1022</v>
      </c>
      <c r="F82" s="1553"/>
      <c r="G82" s="1553"/>
      <c r="H82" s="1553"/>
      <c r="I82" s="1500"/>
      <c r="J82" s="1501">
        <f>SUM(K82:R82)</f>
        <v>753405</v>
      </c>
      <c r="K82" s="1502">
        <v>306216</v>
      </c>
      <c r="L82" s="1502">
        <v>46360</v>
      </c>
      <c r="M82" s="1502">
        <v>244633</v>
      </c>
      <c r="N82" s="1502"/>
      <c r="O82" s="1502">
        <v>7121</v>
      </c>
      <c r="P82" s="1502">
        <v>147101</v>
      </c>
      <c r="Q82" s="1496"/>
      <c r="R82" s="1561">
        <v>1974</v>
      </c>
      <c r="S82" s="1585"/>
      <c r="T82" s="1585"/>
      <c r="U82" s="1585"/>
      <c r="V82" s="1585"/>
      <c r="W82" s="1585"/>
      <c r="X82" s="1585"/>
      <c r="Y82" s="1585"/>
      <c r="Z82" s="1585"/>
      <c r="AA82" s="1585"/>
      <c r="AB82" s="1585"/>
      <c r="AC82" s="1585"/>
      <c r="AD82" s="1585"/>
      <c r="AE82" s="1585"/>
    </row>
    <row r="83" spans="1:31" s="1517" customFormat="1" ht="18" customHeight="1">
      <c r="A83" s="1470">
        <v>76</v>
      </c>
      <c r="B83" s="1590"/>
      <c r="C83" s="1485">
        <v>1</v>
      </c>
      <c r="D83" s="1503" t="s">
        <v>214</v>
      </c>
      <c r="E83" s="1591"/>
      <c r="F83" s="1592"/>
      <c r="G83" s="161"/>
      <c r="H83" s="161">
        <v>8944</v>
      </c>
      <c r="I83" s="1593">
        <v>9796</v>
      </c>
      <c r="J83" s="1568"/>
      <c r="K83" s="1502"/>
      <c r="L83" s="1502"/>
      <c r="M83" s="1502"/>
      <c r="N83" s="1502"/>
      <c r="O83" s="1502"/>
      <c r="P83" s="1502"/>
      <c r="Q83" s="1502"/>
      <c r="R83" s="1561"/>
      <c r="S83" s="172"/>
      <c r="T83" s="172"/>
      <c r="U83" s="172"/>
      <c r="V83" s="172"/>
      <c r="W83" s="172"/>
      <c r="X83" s="172"/>
      <c r="Y83" s="172"/>
      <c r="Z83" s="172"/>
      <c r="AA83" s="172"/>
      <c r="AB83" s="172"/>
      <c r="AC83" s="172"/>
      <c r="AD83" s="172"/>
      <c r="AE83" s="172"/>
    </row>
    <row r="84" spans="1:31" s="1513" customFormat="1" ht="29.25" customHeight="1">
      <c r="A84" s="1470">
        <v>77</v>
      </c>
      <c r="B84" s="1558"/>
      <c r="C84" s="1566">
        <v>2</v>
      </c>
      <c r="D84" s="1903" t="s">
        <v>215</v>
      </c>
      <c r="E84" s="1903"/>
      <c r="F84" s="1560"/>
      <c r="G84" s="161">
        <v>22650</v>
      </c>
      <c r="H84" s="161">
        <v>2350</v>
      </c>
      <c r="I84" s="1487">
        <v>2110</v>
      </c>
      <c r="J84" s="1568"/>
      <c r="K84" s="1515"/>
      <c r="L84" s="1515"/>
      <c r="M84" s="1515"/>
      <c r="N84" s="1502"/>
      <c r="O84" s="1502"/>
      <c r="P84" s="1502"/>
      <c r="Q84" s="1502"/>
      <c r="R84" s="1561"/>
      <c r="S84" s="1512"/>
      <c r="T84" s="1512"/>
      <c r="U84" s="1512"/>
      <c r="V84" s="1512"/>
      <c r="W84" s="1512"/>
      <c r="X84" s="1512"/>
      <c r="Y84" s="1512"/>
      <c r="Z84" s="1512"/>
      <c r="AA84" s="1512"/>
      <c r="AB84" s="1512"/>
      <c r="AC84" s="1512"/>
      <c r="AD84" s="1512"/>
      <c r="AE84" s="1512"/>
    </row>
    <row r="85" spans="1:31" s="1513" customFormat="1" ht="18" customHeight="1">
      <c r="A85" s="1470">
        <v>78</v>
      </c>
      <c r="B85" s="1558"/>
      <c r="C85" s="1485">
        <v>3</v>
      </c>
      <c r="D85" s="1904" t="s">
        <v>216</v>
      </c>
      <c r="E85" s="1904"/>
      <c r="F85" s="1560"/>
      <c r="G85" s="161"/>
      <c r="H85" s="161">
        <v>4000</v>
      </c>
      <c r="I85" s="1487">
        <v>7179</v>
      </c>
      <c r="J85" s="1568"/>
      <c r="K85" s="1515"/>
      <c r="L85" s="1515"/>
      <c r="M85" s="1515"/>
      <c r="N85" s="1502"/>
      <c r="O85" s="1502"/>
      <c r="P85" s="1502"/>
      <c r="Q85" s="1502"/>
      <c r="R85" s="1561"/>
      <c r="S85" s="1512"/>
      <c r="T85" s="1512"/>
      <c r="U85" s="1512"/>
      <c r="V85" s="1512"/>
      <c r="W85" s="1512"/>
      <c r="X85" s="1512"/>
      <c r="Y85" s="1512"/>
      <c r="Z85" s="1512"/>
      <c r="AA85" s="1512"/>
      <c r="AB85" s="1512"/>
      <c r="AC85" s="1512"/>
      <c r="AD85" s="1512"/>
      <c r="AE85" s="1512"/>
    </row>
    <row r="86" spans="1:31" s="1513" customFormat="1" ht="22.5" customHeight="1">
      <c r="A86" s="1470">
        <v>79</v>
      </c>
      <c r="B86" s="1484">
        <v>14</v>
      </c>
      <c r="C86" s="1485"/>
      <c r="D86" s="1503" t="s">
        <v>33</v>
      </c>
      <c r="E86" s="1503"/>
      <c r="F86" s="1504" t="s">
        <v>231</v>
      </c>
      <c r="G86" s="161">
        <v>207062</v>
      </c>
      <c r="H86" s="161">
        <v>231644</v>
      </c>
      <c r="I86" s="1487">
        <v>396829</v>
      </c>
      <c r="J86" s="1568"/>
      <c r="K86" s="161"/>
      <c r="L86" s="161"/>
      <c r="M86" s="161"/>
      <c r="N86" s="161"/>
      <c r="O86" s="161"/>
      <c r="P86" s="161"/>
      <c r="Q86" s="161"/>
      <c r="R86" s="1489"/>
      <c r="S86" s="1512"/>
      <c r="T86" s="1512"/>
      <c r="U86" s="1512"/>
      <c r="V86" s="1512"/>
      <c r="W86" s="1512"/>
      <c r="X86" s="1512"/>
      <c r="Y86" s="1512"/>
      <c r="Z86" s="1512"/>
      <c r="AA86" s="1512"/>
      <c r="AB86" s="1512"/>
      <c r="AC86" s="1512"/>
      <c r="AD86" s="1512"/>
      <c r="AE86" s="1512"/>
    </row>
    <row r="87" spans="1:31" s="1499" customFormat="1" ht="18" customHeight="1">
      <c r="A87" s="1470">
        <v>80</v>
      </c>
      <c r="B87" s="1551"/>
      <c r="C87" s="1552"/>
      <c r="D87" s="1552"/>
      <c r="E87" s="1492" t="s">
        <v>198</v>
      </c>
      <c r="F87" s="1553"/>
      <c r="G87" s="1553"/>
      <c r="H87" s="1553"/>
      <c r="I87" s="1494"/>
      <c r="J87" s="1495">
        <f>SUM(K87:R87)</f>
        <v>265743</v>
      </c>
      <c r="K87" s="1496">
        <v>144410</v>
      </c>
      <c r="L87" s="1496">
        <v>20416</v>
      </c>
      <c r="M87" s="1496">
        <f>83207+17100-1000</f>
        <v>99307</v>
      </c>
      <c r="N87" s="1496"/>
      <c r="O87" s="1496"/>
      <c r="P87" s="1496">
        <f>500+110+1000</f>
        <v>1610</v>
      </c>
      <c r="Q87" s="1496"/>
      <c r="R87" s="1497"/>
      <c r="S87" s="1498"/>
      <c r="T87" s="1498"/>
      <c r="U87" s="1498"/>
      <c r="V87" s="1498"/>
      <c r="W87" s="1498"/>
      <c r="X87" s="1498"/>
      <c r="Y87" s="1498"/>
      <c r="Z87" s="1498"/>
      <c r="AA87" s="1498"/>
      <c r="AB87" s="1498"/>
      <c r="AC87" s="1498"/>
      <c r="AD87" s="1498"/>
      <c r="AE87" s="1498"/>
    </row>
    <row r="88" spans="1:31" s="1499" customFormat="1" ht="18" customHeight="1">
      <c r="A88" s="1470">
        <v>81</v>
      </c>
      <c r="B88" s="1551"/>
      <c r="C88" s="1552"/>
      <c r="D88" s="1552"/>
      <c r="E88" s="163" t="s">
        <v>765</v>
      </c>
      <c r="F88" s="1553"/>
      <c r="G88" s="1553"/>
      <c r="H88" s="1553"/>
      <c r="I88" s="1494"/>
      <c r="J88" s="1488">
        <f>SUM(K88:R88)</f>
        <v>374416</v>
      </c>
      <c r="K88" s="171">
        <v>157360</v>
      </c>
      <c r="L88" s="171">
        <v>17816</v>
      </c>
      <c r="M88" s="171">
        <v>152009</v>
      </c>
      <c r="N88" s="171"/>
      <c r="O88" s="171">
        <v>1053</v>
      </c>
      <c r="P88" s="171">
        <v>46178</v>
      </c>
      <c r="Q88" s="1496"/>
      <c r="R88" s="1497"/>
      <c r="S88" s="1498"/>
      <c r="T88" s="1498"/>
      <c r="U88" s="1498"/>
      <c r="V88" s="1498"/>
      <c r="W88" s="1498"/>
      <c r="X88" s="1498"/>
      <c r="Y88" s="1498"/>
      <c r="Z88" s="1498"/>
      <c r="AA88" s="1498"/>
      <c r="AB88" s="1498"/>
      <c r="AC88" s="1498"/>
      <c r="AD88" s="1498"/>
      <c r="AE88" s="1498"/>
    </row>
    <row r="89" spans="1:31" s="1499" customFormat="1" ht="18" customHeight="1">
      <c r="A89" s="1470">
        <v>82</v>
      </c>
      <c r="B89" s="1551"/>
      <c r="C89" s="1552"/>
      <c r="D89" s="1552"/>
      <c r="E89" s="165" t="s">
        <v>1021</v>
      </c>
      <c r="F89" s="1553"/>
      <c r="G89" s="1553"/>
      <c r="H89" s="1553"/>
      <c r="I89" s="1500"/>
      <c r="J89" s="1501">
        <f>SUM(K89:R89)</f>
        <v>325347</v>
      </c>
      <c r="K89" s="1502">
        <v>152775</v>
      </c>
      <c r="L89" s="1502">
        <v>16497</v>
      </c>
      <c r="M89" s="1502">
        <v>119650</v>
      </c>
      <c r="N89" s="1496"/>
      <c r="O89" s="1502">
        <v>1052</v>
      </c>
      <c r="P89" s="1502">
        <v>35373</v>
      </c>
      <c r="Q89" s="1496"/>
      <c r="R89" s="1497"/>
      <c r="S89" s="1498"/>
      <c r="T89" s="1498"/>
      <c r="U89" s="1498"/>
      <c r="V89" s="1498"/>
      <c r="W89" s="1498"/>
      <c r="X89" s="1498"/>
      <c r="Y89" s="1498"/>
      <c r="Z89" s="1498"/>
      <c r="AA89" s="1498"/>
      <c r="AB89" s="1498"/>
      <c r="AC89" s="1498"/>
      <c r="AD89" s="1498"/>
      <c r="AE89" s="1498"/>
    </row>
    <row r="90" spans="1:31" s="1595" customFormat="1" ht="18" customHeight="1">
      <c r="A90" s="1470">
        <v>83</v>
      </c>
      <c r="B90" s="1558"/>
      <c r="C90" s="1485">
        <v>1</v>
      </c>
      <c r="D90" s="1559" t="s">
        <v>217</v>
      </c>
      <c r="E90" s="1559"/>
      <c r="F90" s="1560"/>
      <c r="G90" s="161">
        <v>1244</v>
      </c>
      <c r="H90" s="161"/>
      <c r="I90" s="1487"/>
      <c r="J90" s="1568"/>
      <c r="K90" s="1515"/>
      <c r="L90" s="1515"/>
      <c r="M90" s="1515"/>
      <c r="N90" s="1502"/>
      <c r="O90" s="1502"/>
      <c r="P90" s="1502"/>
      <c r="Q90" s="1502"/>
      <c r="R90" s="1561"/>
      <c r="S90" s="1594"/>
      <c r="T90" s="1594"/>
      <c r="U90" s="1594"/>
      <c r="V90" s="1594"/>
      <c r="W90" s="1594"/>
      <c r="X90" s="1594"/>
      <c r="Y90" s="1594"/>
      <c r="Z90" s="1594"/>
      <c r="AA90" s="1594"/>
      <c r="AB90" s="1594"/>
      <c r="AC90" s="1594"/>
      <c r="AD90" s="1594"/>
      <c r="AE90" s="1594"/>
    </row>
    <row r="91" spans="1:31" s="1513" customFormat="1" ht="18" customHeight="1">
      <c r="A91" s="1470">
        <v>84</v>
      </c>
      <c r="B91" s="1558"/>
      <c r="C91" s="1485">
        <v>2</v>
      </c>
      <c r="D91" s="1588" t="s">
        <v>214</v>
      </c>
      <c r="E91" s="1559"/>
      <c r="F91" s="1560"/>
      <c r="G91" s="161">
        <v>3178</v>
      </c>
      <c r="H91" s="161"/>
      <c r="I91" s="1487"/>
      <c r="J91" s="1568"/>
      <c r="K91" s="1515"/>
      <c r="L91" s="1515"/>
      <c r="M91" s="1515"/>
      <c r="N91" s="1502"/>
      <c r="O91" s="1502"/>
      <c r="P91" s="1502"/>
      <c r="Q91" s="1502"/>
      <c r="R91" s="1561"/>
      <c r="S91" s="1512"/>
      <c r="T91" s="1512"/>
      <c r="U91" s="1512"/>
      <c r="V91" s="1512"/>
      <c r="W91" s="1512"/>
      <c r="X91" s="1512"/>
      <c r="Y91" s="1512"/>
      <c r="Z91" s="1512"/>
      <c r="AA91" s="1512"/>
      <c r="AB91" s="1512"/>
      <c r="AC91" s="1512"/>
      <c r="AD91" s="1512"/>
      <c r="AE91" s="1512"/>
    </row>
    <row r="92" spans="1:31" s="1586" customFormat="1" ht="33.75" customHeight="1">
      <c r="A92" s="1470">
        <v>85</v>
      </c>
      <c r="B92" s="1551"/>
      <c r="C92" s="1587">
        <v>3</v>
      </c>
      <c r="D92" s="1903" t="s">
        <v>218</v>
      </c>
      <c r="E92" s="1903"/>
      <c r="F92" s="1589"/>
      <c r="G92" s="161">
        <v>7279</v>
      </c>
      <c r="H92" s="161"/>
      <c r="I92" s="1487"/>
      <c r="J92" s="1495"/>
      <c r="K92" s="1496"/>
      <c r="L92" s="1496"/>
      <c r="M92" s="1496"/>
      <c r="N92" s="1496"/>
      <c r="O92" s="1496"/>
      <c r="P92" s="1496"/>
      <c r="Q92" s="1496"/>
      <c r="R92" s="1497"/>
      <c r="S92" s="1585"/>
      <c r="T92" s="1585"/>
      <c r="U92" s="1585"/>
      <c r="V92" s="1585"/>
      <c r="W92" s="1585"/>
      <c r="X92" s="1585"/>
      <c r="Y92" s="1585"/>
      <c r="Z92" s="1585"/>
      <c r="AA92" s="1585"/>
      <c r="AB92" s="1585"/>
      <c r="AC92" s="1585"/>
      <c r="AD92" s="1585"/>
      <c r="AE92" s="1585"/>
    </row>
    <row r="93" spans="1:31" ht="22.5" customHeight="1">
      <c r="A93" s="1470">
        <v>86</v>
      </c>
      <c r="B93" s="1484">
        <v>15</v>
      </c>
      <c r="C93" s="1485"/>
      <c r="D93" s="1503" t="s">
        <v>34</v>
      </c>
      <c r="E93" s="1503"/>
      <c r="F93" s="1504" t="s">
        <v>231</v>
      </c>
      <c r="G93" s="161">
        <v>1212366</v>
      </c>
      <c r="H93" s="161">
        <v>961735</v>
      </c>
      <c r="I93" s="1487">
        <v>1218027</v>
      </c>
      <c r="J93" s="1568"/>
      <c r="K93" s="161"/>
      <c r="L93" s="161"/>
      <c r="M93" s="161"/>
      <c r="N93" s="161"/>
      <c r="O93" s="161"/>
      <c r="P93" s="161"/>
      <c r="Q93" s="161"/>
      <c r="R93" s="1489"/>
    </row>
    <row r="94" spans="1:31" s="1499" customFormat="1" ht="18" customHeight="1">
      <c r="A94" s="1470">
        <v>87</v>
      </c>
      <c r="B94" s="1551"/>
      <c r="C94" s="1554"/>
      <c r="D94" s="1554"/>
      <c r="E94" s="1575" t="s">
        <v>198</v>
      </c>
      <c r="F94" s="1555"/>
      <c r="G94" s="1555"/>
      <c r="H94" s="1555"/>
      <c r="I94" s="1532"/>
      <c r="J94" s="1533">
        <f>SUM(K94:R94)</f>
        <v>950477</v>
      </c>
      <c r="K94" s="1534">
        <v>556489</v>
      </c>
      <c r="L94" s="1534">
        <v>57127</v>
      </c>
      <c r="M94" s="1534">
        <v>332861</v>
      </c>
      <c r="N94" s="1534"/>
      <c r="O94" s="1534"/>
      <c r="P94" s="1534">
        <v>4000</v>
      </c>
      <c r="Q94" s="1534"/>
      <c r="R94" s="1535"/>
      <c r="S94" s="1498"/>
      <c r="T94" s="1498"/>
      <c r="U94" s="1498"/>
      <c r="V94" s="1498"/>
      <c r="W94" s="1498"/>
      <c r="X94" s="1498"/>
      <c r="Y94" s="1498"/>
      <c r="Z94" s="1498"/>
      <c r="AA94" s="1498"/>
      <c r="AB94" s="1498"/>
      <c r="AC94" s="1498"/>
      <c r="AD94" s="1498"/>
      <c r="AE94" s="1498"/>
    </row>
    <row r="95" spans="1:31" s="1499" customFormat="1" ht="18" customHeight="1">
      <c r="A95" s="1470">
        <v>88</v>
      </c>
      <c r="B95" s="1551"/>
      <c r="C95" s="1554"/>
      <c r="D95" s="1596"/>
      <c r="E95" s="170" t="s">
        <v>765</v>
      </c>
      <c r="F95" s="1555"/>
      <c r="G95" s="1555"/>
      <c r="H95" s="1555"/>
      <c r="I95" s="1532"/>
      <c r="J95" s="1536">
        <f>SUM(K95:R95)</f>
        <v>1311455</v>
      </c>
      <c r="K95" s="1537">
        <v>610164</v>
      </c>
      <c r="L95" s="1537">
        <v>57380</v>
      </c>
      <c r="M95" s="1537">
        <v>597015</v>
      </c>
      <c r="N95" s="1537"/>
      <c r="O95" s="1537"/>
      <c r="P95" s="1537">
        <v>46896</v>
      </c>
      <c r="Q95" s="1534"/>
      <c r="R95" s="1535"/>
      <c r="S95" s="1498"/>
      <c r="T95" s="1498"/>
      <c r="U95" s="1498"/>
      <c r="V95" s="1498"/>
      <c r="W95" s="1498"/>
      <c r="X95" s="1498"/>
      <c r="Y95" s="1498"/>
      <c r="Z95" s="1498"/>
      <c r="AA95" s="1498"/>
      <c r="AB95" s="1498"/>
      <c r="AC95" s="1498"/>
      <c r="AD95" s="1498"/>
      <c r="AE95" s="1498"/>
    </row>
    <row r="96" spans="1:31" s="1499" customFormat="1" ht="18" customHeight="1" thickBot="1">
      <c r="A96" s="1470">
        <v>89</v>
      </c>
      <c r="B96" s="1551"/>
      <c r="C96" s="1554"/>
      <c r="D96" s="1596"/>
      <c r="E96" s="165" t="s">
        <v>1021</v>
      </c>
      <c r="F96" s="1555"/>
      <c r="G96" s="1555"/>
      <c r="H96" s="1555"/>
      <c r="I96" s="1500"/>
      <c r="J96" s="1501">
        <f>SUM(K96:R96)</f>
        <v>1194197</v>
      </c>
      <c r="K96" s="1557">
        <v>564831</v>
      </c>
      <c r="L96" s="1557">
        <v>57346</v>
      </c>
      <c r="M96" s="1557">
        <v>527023</v>
      </c>
      <c r="N96" s="1557"/>
      <c r="O96" s="1557"/>
      <c r="P96" s="1557">
        <v>44997</v>
      </c>
      <c r="Q96" s="1534"/>
      <c r="R96" s="1535"/>
      <c r="S96" s="1498"/>
      <c r="T96" s="1498"/>
      <c r="U96" s="1498"/>
      <c r="V96" s="1498"/>
      <c r="W96" s="1498"/>
      <c r="X96" s="1498"/>
      <c r="Y96" s="1498"/>
      <c r="Z96" s="1498"/>
      <c r="AA96" s="1498"/>
      <c r="AB96" s="1498"/>
      <c r="AC96" s="1498"/>
      <c r="AD96" s="1498"/>
      <c r="AE96" s="1498"/>
    </row>
    <row r="97" spans="1:31" s="1573" customFormat="1" ht="22.5" customHeight="1" thickTop="1">
      <c r="A97" s="1470">
        <v>90</v>
      </c>
      <c r="B97" s="1521"/>
      <c r="C97" s="1922" t="s">
        <v>219</v>
      </c>
      <c r="D97" s="1922"/>
      <c r="E97" s="1922"/>
      <c r="F97" s="1597"/>
      <c r="G97" s="1522">
        <f>SUM(G63:G94)</f>
        <v>3149063</v>
      </c>
      <c r="H97" s="1522">
        <f>SUM(H63:H94)</f>
        <v>3471828</v>
      </c>
      <c r="I97" s="1598">
        <f>SUM(I63:I94)</f>
        <v>4018802</v>
      </c>
      <c r="J97" s="1599"/>
      <c r="K97" s="1570"/>
      <c r="L97" s="1570"/>
      <c r="M97" s="1570"/>
      <c r="N97" s="1570"/>
      <c r="O97" s="1570"/>
      <c r="P97" s="1570"/>
      <c r="Q97" s="1570"/>
      <c r="R97" s="1571"/>
      <c r="S97" s="1572"/>
      <c r="T97" s="1572"/>
      <c r="U97" s="1572"/>
      <c r="V97" s="1572"/>
      <c r="W97" s="1572"/>
      <c r="X97" s="1572"/>
      <c r="Y97" s="1572"/>
      <c r="Z97" s="1572"/>
      <c r="AA97" s="1572"/>
      <c r="AB97" s="1572"/>
      <c r="AC97" s="1572"/>
      <c r="AD97" s="1572"/>
      <c r="AE97" s="1572"/>
    </row>
    <row r="98" spans="1:31" s="1499" customFormat="1" ht="18" customHeight="1">
      <c r="A98" s="1470">
        <v>91</v>
      </c>
      <c r="B98" s="1600"/>
      <c r="C98" s="1574"/>
      <c r="D98" s="1554"/>
      <c r="E98" s="1575" t="s">
        <v>198</v>
      </c>
      <c r="F98" s="1555"/>
      <c r="G98" s="1555"/>
      <c r="H98" s="1555"/>
      <c r="I98" s="1532"/>
      <c r="J98" s="1533">
        <f t="shared" ref="J98:R98" si="5">SUM(J64,J70,J75,J80,J87,J94)</f>
        <v>3274331</v>
      </c>
      <c r="K98" s="1534">
        <f t="shared" si="5"/>
        <v>1525619</v>
      </c>
      <c r="L98" s="1534">
        <f t="shared" si="5"/>
        <v>200205</v>
      </c>
      <c r="M98" s="1534">
        <f t="shared" si="5"/>
        <v>1289908</v>
      </c>
      <c r="N98" s="1534">
        <f t="shared" si="5"/>
        <v>0</v>
      </c>
      <c r="O98" s="1534">
        <f t="shared" si="5"/>
        <v>6754</v>
      </c>
      <c r="P98" s="1534">
        <f t="shared" si="5"/>
        <v>251845</v>
      </c>
      <c r="Q98" s="1534">
        <f t="shared" si="5"/>
        <v>0</v>
      </c>
      <c r="R98" s="1535">
        <f t="shared" si="5"/>
        <v>0</v>
      </c>
      <c r="S98" s="1498"/>
      <c r="T98" s="1498"/>
      <c r="U98" s="1498"/>
      <c r="V98" s="1498"/>
      <c r="W98" s="1498"/>
      <c r="X98" s="1498"/>
      <c r="Y98" s="1498"/>
      <c r="Z98" s="1498"/>
      <c r="AA98" s="1498"/>
      <c r="AB98" s="1498"/>
      <c r="AC98" s="1498"/>
      <c r="AD98" s="1498"/>
      <c r="AE98" s="1498"/>
    </row>
    <row r="99" spans="1:31" s="1499" customFormat="1" ht="18" customHeight="1">
      <c r="A99" s="1470">
        <v>92</v>
      </c>
      <c r="B99" s="1600"/>
      <c r="C99" s="1554"/>
      <c r="D99" s="1554"/>
      <c r="E99" s="163" t="s">
        <v>765</v>
      </c>
      <c r="F99" s="1555"/>
      <c r="G99" s="1555"/>
      <c r="H99" s="1555"/>
      <c r="I99" s="1532"/>
      <c r="J99" s="1536">
        <f t="shared" ref="J99:R99" si="6">SUM(J65,J71,J76,J81,J88,J95)</f>
        <v>4236879</v>
      </c>
      <c r="K99" s="1537">
        <f t="shared" si="6"/>
        <v>1691814</v>
      </c>
      <c r="L99" s="1537">
        <f t="shared" si="6"/>
        <v>213989</v>
      </c>
      <c r="M99" s="1537">
        <f t="shared" si="6"/>
        <v>1920527</v>
      </c>
      <c r="N99" s="1537">
        <f t="shared" si="6"/>
        <v>0</v>
      </c>
      <c r="O99" s="1537">
        <f t="shared" si="6"/>
        <v>11518</v>
      </c>
      <c r="P99" s="1537">
        <f t="shared" si="6"/>
        <v>397056</v>
      </c>
      <c r="Q99" s="1537">
        <f t="shared" si="6"/>
        <v>0</v>
      </c>
      <c r="R99" s="1538">
        <f t="shared" si="6"/>
        <v>1975</v>
      </c>
      <c r="S99" s="1498"/>
      <c r="T99" s="1498"/>
      <c r="U99" s="1498"/>
      <c r="V99" s="1498"/>
      <c r="W99" s="1498"/>
      <c r="X99" s="1498"/>
      <c r="Y99" s="1498"/>
      <c r="Z99" s="1498"/>
      <c r="AA99" s="1498"/>
      <c r="AB99" s="1498"/>
      <c r="AC99" s="1498"/>
      <c r="AD99" s="1498"/>
      <c r="AE99" s="1498"/>
    </row>
    <row r="100" spans="1:31" s="1499" customFormat="1" ht="18" customHeight="1" thickBot="1">
      <c r="A100" s="1470">
        <v>93</v>
      </c>
      <c r="B100" s="1551"/>
      <c r="C100" s="1577"/>
      <c r="D100" s="1578"/>
      <c r="E100" s="1541" t="s">
        <v>1022</v>
      </c>
      <c r="F100" s="1579"/>
      <c r="G100" s="1579"/>
      <c r="H100" s="1579"/>
      <c r="I100" s="1601"/>
      <c r="J100" s="1602">
        <f>SUM(K100:R100)</f>
        <v>3703929</v>
      </c>
      <c r="K100" s="1545">
        <f t="shared" ref="K100:R100" si="7">K89+K82+K77+K72+K66+K96</f>
        <v>1601529</v>
      </c>
      <c r="L100" s="1545">
        <f t="shared" si="7"/>
        <v>204209</v>
      </c>
      <c r="M100" s="1545">
        <f t="shared" si="7"/>
        <v>1523140</v>
      </c>
      <c r="N100" s="1545">
        <f t="shared" si="7"/>
        <v>0</v>
      </c>
      <c r="O100" s="1545">
        <f t="shared" si="7"/>
        <v>11375</v>
      </c>
      <c r="P100" s="1545">
        <f t="shared" si="7"/>
        <v>361702</v>
      </c>
      <c r="Q100" s="1545">
        <f t="shared" si="7"/>
        <v>0</v>
      </c>
      <c r="R100" s="1546">
        <f t="shared" si="7"/>
        <v>1974</v>
      </c>
      <c r="S100" s="1498"/>
      <c r="T100" s="1498"/>
      <c r="U100" s="1498"/>
      <c r="V100" s="1498"/>
      <c r="W100" s="1498"/>
      <c r="X100" s="1498"/>
      <c r="Y100" s="1498"/>
      <c r="Z100" s="1498"/>
      <c r="AA100" s="1498"/>
      <c r="AB100" s="1498"/>
      <c r="AC100" s="1498"/>
      <c r="AD100" s="1498"/>
      <c r="AE100" s="1498"/>
    </row>
    <row r="101" spans="1:31" s="1506" customFormat="1" ht="22.5" customHeight="1" thickTop="1">
      <c r="A101" s="1470">
        <v>94</v>
      </c>
      <c r="B101" s="1476">
        <v>16</v>
      </c>
      <c r="C101" s="1477"/>
      <c r="D101" s="1603" t="s">
        <v>35</v>
      </c>
      <c r="E101" s="1603"/>
      <c r="F101" s="1479" t="s">
        <v>80</v>
      </c>
      <c r="G101" s="1480">
        <v>1174009</v>
      </c>
      <c r="H101" s="1480">
        <v>1425063</v>
      </c>
      <c r="I101" s="1481">
        <v>1410376</v>
      </c>
      <c r="J101" s="1580"/>
      <c r="K101" s="1480"/>
      <c r="L101" s="1480"/>
      <c r="M101" s="1480"/>
      <c r="N101" s="1480"/>
      <c r="O101" s="1480"/>
      <c r="P101" s="1480"/>
      <c r="Q101" s="1480"/>
      <c r="R101" s="1483"/>
      <c r="S101" s="1505"/>
      <c r="T101" s="1505"/>
      <c r="U101" s="1505"/>
      <c r="V101" s="1505"/>
      <c r="W101" s="1505"/>
      <c r="X101" s="1505"/>
      <c r="Y101" s="1505"/>
      <c r="Z101" s="1505"/>
      <c r="AA101" s="1505"/>
      <c r="AB101" s="1505"/>
      <c r="AC101" s="1505"/>
      <c r="AD101" s="1505"/>
      <c r="AE101" s="1505"/>
    </row>
    <row r="102" spans="1:31" s="1511" customFormat="1" ht="18" customHeight="1">
      <c r="A102" s="1470">
        <v>95</v>
      </c>
      <c r="B102" s="1600"/>
      <c r="C102" s="1554"/>
      <c r="D102" s="1554"/>
      <c r="E102" s="1575" t="s">
        <v>198</v>
      </c>
      <c r="F102" s="1555"/>
      <c r="G102" s="1555"/>
      <c r="H102" s="1555"/>
      <c r="I102" s="1532"/>
      <c r="J102" s="1533">
        <f>SUM(K102:R102)</f>
        <v>1824602</v>
      </c>
      <c r="K102" s="1534">
        <v>315127</v>
      </c>
      <c r="L102" s="1534">
        <v>47865</v>
      </c>
      <c r="M102" s="1534">
        <v>1454610</v>
      </c>
      <c r="N102" s="1534"/>
      <c r="O102" s="1534"/>
      <c r="P102" s="1534">
        <v>7000</v>
      </c>
      <c r="Q102" s="1534"/>
      <c r="R102" s="1535"/>
      <c r="S102" s="1510"/>
      <c r="T102" s="1510"/>
      <c r="U102" s="1510"/>
      <c r="V102" s="1510"/>
      <c r="W102" s="1510"/>
      <c r="X102" s="1510"/>
      <c r="Y102" s="1510"/>
      <c r="Z102" s="1510"/>
      <c r="AA102" s="1510"/>
      <c r="AB102" s="1510"/>
      <c r="AC102" s="1510"/>
      <c r="AD102" s="1510"/>
      <c r="AE102" s="1510"/>
    </row>
    <row r="103" spans="1:31" s="1511" customFormat="1" ht="18" customHeight="1">
      <c r="A103" s="1470">
        <v>96</v>
      </c>
      <c r="B103" s="1600"/>
      <c r="C103" s="1554"/>
      <c r="D103" s="1554"/>
      <c r="E103" s="163" t="s">
        <v>765</v>
      </c>
      <c r="F103" s="1555"/>
      <c r="G103" s="1555"/>
      <c r="H103" s="1555"/>
      <c r="I103" s="1532"/>
      <c r="J103" s="1536">
        <f>SUM(K103:R103)</f>
        <v>2068755</v>
      </c>
      <c r="K103" s="1537">
        <v>332319</v>
      </c>
      <c r="L103" s="1537">
        <v>50150</v>
      </c>
      <c r="M103" s="1537">
        <v>1675686</v>
      </c>
      <c r="N103" s="1537"/>
      <c r="O103" s="1537"/>
      <c r="P103" s="1537">
        <v>10600</v>
      </c>
      <c r="Q103" s="1534"/>
      <c r="R103" s="1535"/>
      <c r="S103" s="1510"/>
      <c r="T103" s="1510"/>
      <c r="U103" s="1510"/>
      <c r="V103" s="1510"/>
      <c r="W103" s="1510"/>
      <c r="X103" s="1510"/>
      <c r="Y103" s="1510"/>
      <c r="Z103" s="1510"/>
      <c r="AA103" s="1510"/>
      <c r="AB103" s="1510"/>
      <c r="AC103" s="1510"/>
      <c r="AD103" s="1510"/>
      <c r="AE103" s="1510"/>
    </row>
    <row r="104" spans="1:31" s="1511" customFormat="1" ht="18" customHeight="1" thickBot="1">
      <c r="A104" s="1470">
        <v>97</v>
      </c>
      <c r="B104" s="1551"/>
      <c r="C104" s="1604"/>
      <c r="D104" s="1604"/>
      <c r="E104" s="165" t="s">
        <v>1021</v>
      </c>
      <c r="F104" s="1553"/>
      <c r="G104" s="1553"/>
      <c r="H104" s="1553"/>
      <c r="I104" s="1500"/>
      <c r="J104" s="1605">
        <f>SUM(K104:R104)</f>
        <v>1734625</v>
      </c>
      <c r="K104" s="1502">
        <v>286902</v>
      </c>
      <c r="L104" s="1502">
        <v>41720</v>
      </c>
      <c r="M104" s="1502">
        <v>1397734</v>
      </c>
      <c r="N104" s="1502"/>
      <c r="O104" s="1502"/>
      <c r="P104" s="1502">
        <v>8269</v>
      </c>
      <c r="Q104" s="1496"/>
      <c r="R104" s="1497"/>
      <c r="S104" s="1510"/>
      <c r="T104" s="1510"/>
      <c r="U104" s="1510"/>
      <c r="V104" s="1510"/>
      <c r="W104" s="1510"/>
      <c r="X104" s="1510"/>
      <c r="Y104" s="1510"/>
      <c r="Z104" s="1510"/>
      <c r="AA104" s="1510"/>
      <c r="AB104" s="1510"/>
      <c r="AC104" s="1510"/>
      <c r="AD104" s="1510"/>
      <c r="AE104" s="1510"/>
    </row>
    <row r="105" spans="1:31" s="1613" customFormat="1" ht="36" customHeight="1">
      <c r="A105" s="1470">
        <v>98</v>
      </c>
      <c r="B105" s="1902" t="s">
        <v>220</v>
      </c>
      <c r="C105" s="1902"/>
      <c r="D105" s="1902"/>
      <c r="E105" s="1902"/>
      <c r="F105" s="1606"/>
      <c r="G105" s="1607">
        <f>SUM(G101,G97,G59,G38)</f>
        <v>8402587</v>
      </c>
      <c r="H105" s="1607">
        <f>SUM(H101,H97,H59,H38)</f>
        <v>9477637</v>
      </c>
      <c r="I105" s="1608">
        <f>SUM(I101,I97,I59,I38)</f>
        <v>10216226</v>
      </c>
      <c r="J105" s="1609"/>
      <c r="K105" s="1610"/>
      <c r="L105" s="1610"/>
      <c r="M105" s="1610"/>
      <c r="N105" s="1610"/>
      <c r="O105" s="1610"/>
      <c r="P105" s="1610"/>
      <c r="Q105" s="1610"/>
      <c r="R105" s="1611"/>
      <c r="S105" s="1612"/>
      <c r="T105" s="1612"/>
      <c r="U105" s="1612"/>
      <c r="V105" s="1612"/>
      <c r="W105" s="1612"/>
      <c r="X105" s="1612"/>
      <c r="Y105" s="1612"/>
      <c r="Z105" s="1612"/>
      <c r="AA105" s="1612"/>
      <c r="AB105" s="1612"/>
      <c r="AC105" s="1612"/>
      <c r="AD105" s="1612"/>
      <c r="AE105" s="1612"/>
    </row>
    <row r="106" spans="1:31" s="1499" customFormat="1" ht="18" customHeight="1">
      <c r="A106" s="1470">
        <v>99</v>
      </c>
      <c r="B106" s="1600"/>
      <c r="C106" s="1554"/>
      <c r="D106" s="1554"/>
      <c r="E106" s="1575" t="s">
        <v>198</v>
      </c>
      <c r="F106" s="1555"/>
      <c r="G106" s="1555"/>
      <c r="H106" s="1555"/>
      <c r="I106" s="1532"/>
      <c r="J106" s="1533">
        <f>SUM(K106:R106)</f>
        <v>10526892</v>
      </c>
      <c r="K106" s="1534">
        <f t="shared" ref="K106:R107" si="8">SUM(K102,K98,K60,K39)</f>
        <v>5606708</v>
      </c>
      <c r="L106" s="1534">
        <f t="shared" si="8"/>
        <v>819207</v>
      </c>
      <c r="M106" s="1534">
        <f t="shared" si="8"/>
        <v>3817749</v>
      </c>
      <c r="N106" s="1534">
        <f t="shared" si="8"/>
        <v>0</v>
      </c>
      <c r="O106" s="1534">
        <f t="shared" si="8"/>
        <v>6754</v>
      </c>
      <c r="P106" s="1534">
        <f t="shared" si="8"/>
        <v>276474</v>
      </c>
      <c r="Q106" s="1534">
        <f t="shared" si="8"/>
        <v>0</v>
      </c>
      <c r="R106" s="1535">
        <f t="shared" si="8"/>
        <v>0</v>
      </c>
      <c r="S106" s="1498"/>
      <c r="T106" s="1498"/>
      <c r="U106" s="1498"/>
      <c r="V106" s="1498"/>
      <c r="W106" s="1498"/>
      <c r="X106" s="1498"/>
      <c r="Y106" s="1498"/>
      <c r="Z106" s="1498"/>
      <c r="AA106" s="1498"/>
      <c r="AB106" s="1498"/>
      <c r="AC106" s="1498"/>
      <c r="AD106" s="1498"/>
      <c r="AE106" s="1498"/>
    </row>
    <row r="107" spans="1:31" s="1499" customFormat="1" ht="18" customHeight="1">
      <c r="A107" s="1470">
        <v>100</v>
      </c>
      <c r="B107" s="1600"/>
      <c r="C107" s="1554"/>
      <c r="D107" s="1596"/>
      <c r="E107" s="163" t="s">
        <v>765</v>
      </c>
      <c r="F107" s="1555"/>
      <c r="G107" s="1555"/>
      <c r="H107" s="1555"/>
      <c r="I107" s="1532"/>
      <c r="J107" s="1536">
        <f>SUM(K107:R107)</f>
        <v>12372472</v>
      </c>
      <c r="K107" s="1537">
        <f t="shared" si="8"/>
        <v>6164224</v>
      </c>
      <c r="L107" s="1537">
        <f t="shared" si="8"/>
        <v>899072</v>
      </c>
      <c r="M107" s="1537">
        <f t="shared" si="8"/>
        <v>4810880</v>
      </c>
      <c r="N107" s="1537">
        <f t="shared" si="8"/>
        <v>0</v>
      </c>
      <c r="O107" s="1537">
        <f t="shared" si="8"/>
        <v>11518</v>
      </c>
      <c r="P107" s="1537">
        <f t="shared" si="8"/>
        <v>484803</v>
      </c>
      <c r="Q107" s="1537">
        <f t="shared" si="8"/>
        <v>0</v>
      </c>
      <c r="R107" s="1538">
        <f t="shared" si="8"/>
        <v>1975</v>
      </c>
      <c r="S107" s="1498"/>
      <c r="T107" s="1498"/>
      <c r="U107" s="1498"/>
      <c r="V107" s="1498"/>
      <c r="W107" s="1498"/>
      <c r="X107" s="1498"/>
      <c r="Y107" s="1498"/>
      <c r="Z107" s="1498"/>
      <c r="AA107" s="1498"/>
      <c r="AB107" s="1498"/>
      <c r="AC107" s="1498"/>
      <c r="AD107" s="1498"/>
      <c r="AE107" s="1498"/>
    </row>
    <row r="108" spans="1:31" s="1499" customFormat="1" ht="18" customHeight="1" thickBot="1">
      <c r="A108" s="1470">
        <v>101</v>
      </c>
      <c r="B108" s="1551"/>
      <c r="C108" s="1552"/>
      <c r="D108" s="1581"/>
      <c r="E108" s="165" t="s">
        <v>1022</v>
      </c>
      <c r="F108" s="1553"/>
      <c r="G108" s="1553"/>
      <c r="H108" s="1553"/>
      <c r="I108" s="1494"/>
      <c r="J108" s="1614">
        <f>SUM(K108:R108)</f>
        <v>11131643</v>
      </c>
      <c r="K108" s="1502">
        <f t="shared" ref="K108:R108" si="9">K104+K100+K62+K41</f>
        <v>5945681</v>
      </c>
      <c r="L108" s="1502">
        <f t="shared" si="9"/>
        <v>842621</v>
      </c>
      <c r="M108" s="1502">
        <f t="shared" si="9"/>
        <v>3898208</v>
      </c>
      <c r="N108" s="1502">
        <f t="shared" si="9"/>
        <v>0</v>
      </c>
      <c r="O108" s="1502">
        <f t="shared" si="9"/>
        <v>11375</v>
      </c>
      <c r="P108" s="1502">
        <f t="shared" si="9"/>
        <v>431784</v>
      </c>
      <c r="Q108" s="1502">
        <f t="shared" si="9"/>
        <v>0</v>
      </c>
      <c r="R108" s="1561">
        <f t="shared" si="9"/>
        <v>1974</v>
      </c>
      <c r="S108" s="1498"/>
      <c r="T108" s="1498"/>
      <c r="U108" s="1498"/>
      <c r="V108" s="1498"/>
      <c r="W108" s="1498"/>
      <c r="X108" s="1498"/>
      <c r="Y108" s="1498"/>
      <c r="Z108" s="1498"/>
      <c r="AA108" s="1498"/>
      <c r="AB108" s="1498"/>
      <c r="AC108" s="1498"/>
      <c r="AD108" s="1498"/>
      <c r="AE108" s="1498"/>
    </row>
    <row r="109" spans="1:31" s="1506" customFormat="1" ht="22.5" customHeight="1">
      <c r="A109" s="1470">
        <v>102</v>
      </c>
      <c r="B109" s="1615">
        <v>17</v>
      </c>
      <c r="C109" s="1616"/>
      <c r="D109" s="1617" t="s">
        <v>145</v>
      </c>
      <c r="E109" s="1618"/>
      <c r="F109" s="1619" t="s">
        <v>80</v>
      </c>
      <c r="G109" s="1620"/>
      <c r="H109" s="1620"/>
      <c r="I109" s="1621"/>
      <c r="J109" s="1622"/>
      <c r="K109" s="1620"/>
      <c r="L109" s="1620"/>
      <c r="M109" s="1620"/>
      <c r="N109" s="1620"/>
      <c r="O109" s="1620"/>
      <c r="P109" s="1620"/>
      <c r="Q109" s="1620"/>
      <c r="R109" s="1623"/>
      <c r="S109" s="1505"/>
      <c r="T109" s="1505"/>
      <c r="U109" s="1505"/>
      <c r="V109" s="1505"/>
      <c r="W109" s="1505"/>
      <c r="X109" s="1505"/>
      <c r="Y109" s="1505"/>
      <c r="Z109" s="1505"/>
      <c r="AA109" s="1505"/>
      <c r="AB109" s="1505"/>
      <c r="AC109" s="1505"/>
      <c r="AD109" s="1505"/>
      <c r="AE109" s="1505"/>
    </row>
    <row r="110" spans="1:31" s="1626" customFormat="1" ht="19.5" customHeight="1">
      <c r="A110" s="1470">
        <v>103</v>
      </c>
      <c r="B110" s="1484"/>
      <c r="C110" s="1624">
        <v>1</v>
      </c>
      <c r="D110" s="1625" t="s">
        <v>232</v>
      </c>
      <c r="E110" s="1625"/>
      <c r="F110" s="1504"/>
      <c r="G110" s="161">
        <v>1426001</v>
      </c>
      <c r="H110" s="161">
        <v>1769569</v>
      </c>
      <c r="I110" s="1487">
        <v>1695683</v>
      </c>
      <c r="J110" s="1568"/>
      <c r="K110" s="161"/>
      <c r="L110" s="161"/>
      <c r="M110" s="161"/>
      <c r="N110" s="161"/>
      <c r="O110" s="161"/>
      <c r="P110" s="161"/>
      <c r="Q110" s="161"/>
      <c r="R110" s="1489"/>
      <c r="S110" s="1473"/>
      <c r="T110" s="1473"/>
      <c r="U110" s="1473"/>
      <c r="V110" s="1473"/>
      <c r="W110" s="1473"/>
      <c r="X110" s="1473"/>
      <c r="Y110" s="1473"/>
      <c r="Z110" s="1473"/>
      <c r="AA110" s="1473"/>
      <c r="AB110" s="1473"/>
      <c r="AC110" s="1473"/>
      <c r="AD110" s="1473"/>
    </row>
    <row r="111" spans="1:31" s="1511" customFormat="1" ht="18" customHeight="1">
      <c r="A111" s="1470">
        <v>104</v>
      </c>
      <c r="B111" s="1551"/>
      <c r="C111" s="1627"/>
      <c r="D111" s="1552"/>
      <c r="E111" s="1628" t="s">
        <v>198</v>
      </c>
      <c r="F111" s="164"/>
      <c r="G111" s="1553"/>
      <c r="H111" s="1553"/>
      <c r="I111" s="1629"/>
      <c r="J111" s="1495">
        <f>SUM(K111:R111)</f>
        <v>2049705</v>
      </c>
      <c r="K111" s="1496">
        <v>1752781</v>
      </c>
      <c r="L111" s="1496">
        <v>261495</v>
      </c>
      <c r="M111" s="1496">
        <v>35429</v>
      </c>
      <c r="N111" s="1496"/>
      <c r="O111" s="1496"/>
      <c r="P111" s="1496"/>
      <c r="Q111" s="1496"/>
      <c r="R111" s="1497"/>
      <c r="S111" s="1510"/>
      <c r="T111" s="1510"/>
      <c r="U111" s="1510"/>
      <c r="V111" s="1510"/>
      <c r="W111" s="1510"/>
      <c r="X111" s="1510"/>
      <c r="Y111" s="1510"/>
      <c r="Z111" s="1510"/>
      <c r="AA111" s="1510"/>
      <c r="AB111" s="1510"/>
      <c r="AC111" s="1510"/>
      <c r="AD111" s="1510"/>
    </row>
    <row r="112" spans="1:31" s="1511" customFormat="1" ht="18" customHeight="1">
      <c r="A112" s="1470">
        <v>105</v>
      </c>
      <c r="B112" s="1551"/>
      <c r="C112" s="1627"/>
      <c r="D112" s="1581"/>
      <c r="E112" s="163" t="s">
        <v>765</v>
      </c>
      <c r="F112" s="164"/>
      <c r="G112" s="1553"/>
      <c r="H112" s="1553"/>
      <c r="I112" s="1629"/>
      <c r="J112" s="1488">
        <f>SUM(K112:R112)</f>
        <v>2441860</v>
      </c>
      <c r="K112" s="171">
        <v>2038857</v>
      </c>
      <c r="L112" s="171">
        <v>303538</v>
      </c>
      <c r="M112" s="171">
        <v>99465</v>
      </c>
      <c r="N112" s="1496"/>
      <c r="O112" s="1496"/>
      <c r="P112" s="1496"/>
      <c r="Q112" s="1496"/>
      <c r="R112" s="1497"/>
      <c r="S112" s="1510"/>
      <c r="T112" s="1510"/>
      <c r="U112" s="1510"/>
      <c r="V112" s="1510"/>
      <c r="W112" s="1510"/>
      <c r="X112" s="1510"/>
      <c r="Y112" s="1510"/>
      <c r="Z112" s="1510"/>
      <c r="AA112" s="1510"/>
      <c r="AB112" s="1510"/>
      <c r="AC112" s="1510"/>
      <c r="AD112" s="1510"/>
    </row>
    <row r="113" spans="1:30" s="1511" customFormat="1" ht="18" customHeight="1">
      <c r="A113" s="1470">
        <v>106</v>
      </c>
      <c r="B113" s="1551"/>
      <c r="C113" s="1627"/>
      <c r="D113" s="1581"/>
      <c r="E113" s="165" t="s">
        <v>1021</v>
      </c>
      <c r="F113" s="164"/>
      <c r="G113" s="1553"/>
      <c r="H113" s="1553"/>
      <c r="I113" s="1630"/>
      <c r="J113" s="1501">
        <f>SUM(K113:R113)</f>
        <v>1966442</v>
      </c>
      <c r="K113" s="1502">
        <v>1684421</v>
      </c>
      <c r="L113" s="1502">
        <v>253754</v>
      </c>
      <c r="M113" s="1502">
        <v>28267</v>
      </c>
      <c r="N113" s="1496"/>
      <c r="O113" s="1496"/>
      <c r="P113" s="1496"/>
      <c r="Q113" s="1496"/>
      <c r="R113" s="1497"/>
      <c r="S113" s="1510"/>
      <c r="T113" s="1510"/>
      <c r="U113" s="1510"/>
      <c r="V113" s="1510"/>
      <c r="W113" s="1510"/>
      <c r="X113" s="1510"/>
      <c r="Y113" s="1510"/>
      <c r="Z113" s="1510"/>
      <c r="AA113" s="1510"/>
      <c r="AB113" s="1510"/>
      <c r="AC113" s="1510"/>
      <c r="AD113" s="1510"/>
    </row>
    <row r="114" spans="1:30" s="1635" customFormat="1" ht="19.5" customHeight="1">
      <c r="A114" s="1470">
        <v>107</v>
      </c>
      <c r="B114" s="1631"/>
      <c r="C114" s="1632"/>
      <c r="D114" s="1923" t="s">
        <v>233</v>
      </c>
      <c r="E114" s="1923"/>
      <c r="F114" s="1633"/>
      <c r="G114" s="166">
        <v>34253</v>
      </c>
      <c r="H114" s="166">
        <v>3893</v>
      </c>
      <c r="I114" s="1593">
        <v>5127</v>
      </c>
      <c r="J114" s="1568"/>
      <c r="K114" s="166"/>
      <c r="L114" s="166"/>
      <c r="M114" s="166"/>
      <c r="N114" s="166"/>
      <c r="O114" s="166"/>
      <c r="P114" s="166"/>
      <c r="Q114" s="166"/>
      <c r="R114" s="162"/>
      <c r="S114" s="1634"/>
      <c r="T114" s="1634"/>
      <c r="U114" s="1634"/>
      <c r="V114" s="1634"/>
      <c r="W114" s="1634"/>
      <c r="X114" s="1634"/>
      <c r="Y114" s="1634"/>
      <c r="Z114" s="1634"/>
      <c r="AA114" s="1634"/>
      <c r="AB114" s="1634"/>
      <c r="AC114" s="1634"/>
      <c r="AD114" s="1634"/>
    </row>
    <row r="115" spans="1:30" s="1646" customFormat="1" ht="18" customHeight="1">
      <c r="A115" s="1470">
        <v>108</v>
      </c>
      <c r="B115" s="1521"/>
      <c r="C115" s="1636"/>
      <c r="D115" s="1637"/>
      <c r="E115" s="1638" t="s">
        <v>198</v>
      </c>
      <c r="F115" s="1639"/>
      <c r="G115" s="1640"/>
      <c r="H115" s="1640"/>
      <c r="I115" s="1641"/>
      <c r="J115" s="1642">
        <f>SUM(K115:R115)</f>
        <v>0</v>
      </c>
      <c r="K115" s="1643"/>
      <c r="L115" s="1643"/>
      <c r="M115" s="1643"/>
      <c r="N115" s="1643"/>
      <c r="O115" s="1643"/>
      <c r="P115" s="1643"/>
      <c r="Q115" s="1643"/>
      <c r="R115" s="1644"/>
      <c r="S115" s="1645"/>
      <c r="T115" s="1645"/>
      <c r="U115" s="1645"/>
      <c r="V115" s="1645"/>
      <c r="W115" s="1645"/>
      <c r="X115" s="1645"/>
      <c r="Y115" s="1645"/>
      <c r="Z115" s="1645"/>
      <c r="AA115" s="1645"/>
      <c r="AB115" s="1645"/>
      <c r="AC115" s="1645"/>
      <c r="AD115" s="1645"/>
    </row>
    <row r="116" spans="1:30" s="1506" customFormat="1" ht="19.5" customHeight="1">
      <c r="A116" s="1470">
        <v>109</v>
      </c>
      <c r="B116" s="1484"/>
      <c r="C116" s="1624">
        <v>2</v>
      </c>
      <c r="D116" s="1625" t="s">
        <v>234</v>
      </c>
      <c r="E116" s="1625"/>
      <c r="F116" s="1504"/>
      <c r="G116" s="161">
        <v>190050</v>
      </c>
      <c r="H116" s="161">
        <v>327625</v>
      </c>
      <c r="I116" s="1487">
        <v>229634</v>
      </c>
      <c r="J116" s="1568"/>
      <c r="K116" s="161"/>
      <c r="L116" s="161"/>
      <c r="M116" s="161"/>
      <c r="N116" s="161"/>
      <c r="O116" s="161"/>
      <c r="P116" s="161"/>
      <c r="Q116" s="161"/>
      <c r="R116" s="1489"/>
      <c r="S116" s="1505"/>
      <c r="T116" s="1505"/>
      <c r="U116" s="1505"/>
      <c r="V116" s="1505"/>
      <c r="W116" s="1505"/>
      <c r="X116" s="1505"/>
      <c r="Y116" s="1505"/>
      <c r="Z116" s="1505"/>
      <c r="AA116" s="1505"/>
      <c r="AB116" s="1505"/>
      <c r="AC116" s="1505"/>
      <c r="AD116" s="1505"/>
    </row>
    <row r="117" spans="1:30" s="1511" customFormat="1" ht="18" customHeight="1">
      <c r="A117" s="1470">
        <v>110</v>
      </c>
      <c r="B117" s="1551"/>
      <c r="C117" s="1627"/>
      <c r="D117" s="1552"/>
      <c r="E117" s="1628" t="s">
        <v>198</v>
      </c>
      <c r="F117" s="164"/>
      <c r="G117" s="1553"/>
      <c r="H117" s="1553"/>
      <c r="I117" s="1629"/>
      <c r="J117" s="1495">
        <f>SUM(K117:R117)</f>
        <v>372333</v>
      </c>
      <c r="K117" s="1496">
        <v>5000</v>
      </c>
      <c r="L117" s="1496">
        <v>1949</v>
      </c>
      <c r="M117" s="1496">
        <v>297584</v>
      </c>
      <c r="N117" s="1496"/>
      <c r="O117" s="1496"/>
      <c r="P117" s="1496">
        <v>67800</v>
      </c>
      <c r="Q117" s="1496"/>
      <c r="R117" s="1497"/>
      <c r="S117" s="1510"/>
      <c r="T117" s="1510"/>
      <c r="U117" s="1510"/>
      <c r="V117" s="1510"/>
      <c r="W117" s="1510"/>
      <c r="X117" s="1510"/>
      <c r="Y117" s="1510"/>
      <c r="Z117" s="1510"/>
      <c r="AA117" s="1510"/>
      <c r="AB117" s="1510"/>
      <c r="AC117" s="1510"/>
      <c r="AD117" s="1510"/>
    </row>
    <row r="118" spans="1:30" s="1511" customFormat="1" ht="18" customHeight="1">
      <c r="A118" s="1470">
        <v>111</v>
      </c>
      <c r="B118" s="1551"/>
      <c r="C118" s="1627"/>
      <c r="D118" s="1581"/>
      <c r="E118" s="163" t="s">
        <v>765</v>
      </c>
      <c r="F118" s="164"/>
      <c r="G118" s="1553"/>
      <c r="H118" s="1553"/>
      <c r="I118" s="1629"/>
      <c r="J118" s="1488">
        <f>SUM(K118:R118)</f>
        <v>678974</v>
      </c>
      <c r="K118" s="171">
        <v>7331</v>
      </c>
      <c r="L118" s="171">
        <v>3479</v>
      </c>
      <c r="M118" s="171">
        <v>508214</v>
      </c>
      <c r="N118" s="171"/>
      <c r="O118" s="171"/>
      <c r="P118" s="171">
        <v>159950</v>
      </c>
      <c r="Q118" s="1496"/>
      <c r="R118" s="1497"/>
      <c r="S118" s="1510"/>
      <c r="T118" s="1510"/>
      <c r="U118" s="1510"/>
      <c r="V118" s="1510"/>
      <c r="W118" s="1510"/>
      <c r="X118" s="1510"/>
      <c r="Y118" s="1510"/>
      <c r="Z118" s="1510"/>
      <c r="AA118" s="1510"/>
      <c r="AB118" s="1510"/>
      <c r="AC118" s="1510"/>
      <c r="AD118" s="1510"/>
    </row>
    <row r="119" spans="1:30" s="1511" customFormat="1" ht="18" customHeight="1">
      <c r="A119" s="1470">
        <v>112</v>
      </c>
      <c r="B119" s="1551"/>
      <c r="C119" s="1627"/>
      <c r="D119" s="1581"/>
      <c r="E119" s="165" t="s">
        <v>1021</v>
      </c>
      <c r="F119" s="164"/>
      <c r="G119" s="1553"/>
      <c r="H119" s="1553"/>
      <c r="I119" s="1630"/>
      <c r="J119" s="1501">
        <f>SUM(K119:R119)</f>
        <v>220802</v>
      </c>
      <c r="K119" s="1502">
        <v>6504</v>
      </c>
      <c r="L119" s="1502">
        <v>3305</v>
      </c>
      <c r="M119" s="1502">
        <f>197581+545+480+1</f>
        <v>198607</v>
      </c>
      <c r="N119" s="1502"/>
      <c r="O119" s="1502"/>
      <c r="P119" s="1502">
        <v>12386</v>
      </c>
      <c r="Q119" s="1496"/>
      <c r="R119" s="1497"/>
      <c r="S119" s="1510"/>
      <c r="T119" s="1510"/>
      <c r="U119" s="1510"/>
      <c r="V119" s="1510"/>
      <c r="W119" s="1510"/>
      <c r="X119" s="1510"/>
      <c r="Y119" s="1510"/>
      <c r="Z119" s="1510"/>
      <c r="AA119" s="1510"/>
      <c r="AB119" s="1510"/>
      <c r="AC119" s="1510"/>
      <c r="AD119" s="1510"/>
    </row>
    <row r="120" spans="1:30" s="1506" customFormat="1" ht="19.5" customHeight="1">
      <c r="A120" s="1470">
        <v>113</v>
      </c>
      <c r="B120" s="1484"/>
      <c r="C120" s="1624">
        <v>3</v>
      </c>
      <c r="D120" s="1625" t="s">
        <v>235</v>
      </c>
      <c r="E120" s="1625"/>
      <c r="F120" s="1504"/>
      <c r="G120" s="161">
        <v>93908</v>
      </c>
      <c r="H120" s="161">
        <v>108699</v>
      </c>
      <c r="I120" s="1487">
        <v>91156</v>
      </c>
      <c r="J120" s="1568"/>
      <c r="K120" s="161"/>
      <c r="L120" s="161"/>
      <c r="M120" s="161"/>
      <c r="N120" s="161"/>
      <c r="O120" s="161"/>
      <c r="P120" s="161"/>
      <c r="Q120" s="161"/>
      <c r="R120" s="1489"/>
      <c r="S120" s="1505"/>
      <c r="T120" s="1505"/>
      <c r="U120" s="1505"/>
      <c r="V120" s="1505"/>
      <c r="W120" s="1505"/>
      <c r="X120" s="1505"/>
      <c r="Y120" s="1505"/>
      <c r="Z120" s="1505"/>
      <c r="AA120" s="1505"/>
      <c r="AB120" s="1505"/>
      <c r="AC120" s="1505"/>
      <c r="AD120" s="1505"/>
    </row>
    <row r="121" spans="1:30" s="1511" customFormat="1" ht="18" customHeight="1">
      <c r="A121" s="1470">
        <v>114</v>
      </c>
      <c r="B121" s="1551"/>
      <c r="C121" s="1627"/>
      <c r="D121" s="1552"/>
      <c r="E121" s="1628" t="s">
        <v>198</v>
      </c>
      <c r="F121" s="164"/>
      <c r="G121" s="1553"/>
      <c r="H121" s="1553"/>
      <c r="I121" s="1629"/>
      <c r="J121" s="1495">
        <f>SUM(K121:R121)</f>
        <v>147522</v>
      </c>
      <c r="K121" s="1496"/>
      <c r="L121" s="1496"/>
      <c r="M121" s="1496">
        <v>121722</v>
      </c>
      <c r="N121" s="1496"/>
      <c r="O121" s="1496"/>
      <c r="P121" s="1496">
        <v>25800</v>
      </c>
      <c r="Q121" s="1496"/>
      <c r="R121" s="1497"/>
      <c r="S121" s="1510"/>
      <c r="T121" s="1510"/>
      <c r="U121" s="1510"/>
      <c r="V121" s="1510"/>
      <c r="W121" s="1510"/>
      <c r="X121" s="1510"/>
      <c r="Y121" s="1510"/>
      <c r="Z121" s="1510"/>
      <c r="AA121" s="1510"/>
      <c r="AB121" s="1510"/>
      <c r="AC121" s="1510"/>
      <c r="AD121" s="1510"/>
    </row>
    <row r="122" spans="1:30" s="1511" customFormat="1" ht="18" customHeight="1">
      <c r="A122" s="1470">
        <v>115</v>
      </c>
      <c r="B122" s="1600"/>
      <c r="C122" s="1627"/>
      <c r="D122" s="1581"/>
      <c r="E122" s="163" t="s">
        <v>765</v>
      </c>
      <c r="F122" s="1647"/>
      <c r="G122" s="1648"/>
      <c r="H122" s="1648"/>
      <c r="I122" s="1629"/>
      <c r="J122" s="1488">
        <f>SUM(K122:R122)</f>
        <v>187807</v>
      </c>
      <c r="K122" s="173"/>
      <c r="L122" s="173"/>
      <c r="M122" s="173">
        <v>149007</v>
      </c>
      <c r="N122" s="173"/>
      <c r="O122" s="173"/>
      <c r="P122" s="173">
        <v>38800</v>
      </c>
      <c r="Q122" s="175"/>
      <c r="R122" s="1649"/>
      <c r="S122" s="1510"/>
      <c r="T122" s="1510"/>
      <c r="U122" s="1510"/>
      <c r="V122" s="1510"/>
      <c r="W122" s="1510"/>
      <c r="X122" s="1510"/>
      <c r="Y122" s="1510"/>
      <c r="Z122" s="1510"/>
      <c r="AA122" s="1510"/>
      <c r="AB122" s="1510"/>
      <c r="AC122" s="1510"/>
      <c r="AD122" s="1510"/>
    </row>
    <row r="123" spans="1:30" s="1511" customFormat="1" ht="18" customHeight="1">
      <c r="A123" s="1470">
        <v>116</v>
      </c>
      <c r="B123" s="1600"/>
      <c r="C123" s="1627"/>
      <c r="D123" s="1581"/>
      <c r="E123" s="165" t="s">
        <v>1021</v>
      </c>
      <c r="F123" s="1647"/>
      <c r="G123" s="1648"/>
      <c r="H123" s="1648"/>
      <c r="I123" s="1630"/>
      <c r="J123" s="1501">
        <f>SUM(K123:R123)</f>
        <v>106296</v>
      </c>
      <c r="K123" s="175"/>
      <c r="L123" s="175"/>
      <c r="M123" s="1650">
        <v>87879</v>
      </c>
      <c r="N123" s="1650"/>
      <c r="O123" s="1650"/>
      <c r="P123" s="1650">
        <v>18417</v>
      </c>
      <c r="Q123" s="175"/>
      <c r="R123" s="1649"/>
      <c r="S123" s="1510"/>
      <c r="T123" s="1510"/>
      <c r="U123" s="1510"/>
      <c r="V123" s="1510"/>
      <c r="W123" s="1510"/>
      <c r="X123" s="1510"/>
      <c r="Y123" s="1510"/>
      <c r="Z123" s="1510"/>
      <c r="AA123" s="1510"/>
      <c r="AB123" s="1510"/>
      <c r="AC123" s="1510"/>
      <c r="AD123" s="1510"/>
    </row>
    <row r="124" spans="1:30" s="1659" customFormat="1" ht="19.5" customHeight="1">
      <c r="A124" s="1470">
        <v>117</v>
      </c>
      <c r="B124" s="1651"/>
      <c r="C124" s="1624">
        <v>53</v>
      </c>
      <c r="D124" s="1924" t="s">
        <v>236</v>
      </c>
      <c r="E124" s="1924"/>
      <c r="F124" s="1652"/>
      <c r="G124" s="1653">
        <v>182</v>
      </c>
      <c r="H124" s="1653">
        <v>1118</v>
      </c>
      <c r="I124" s="1654">
        <v>1645</v>
      </c>
      <c r="J124" s="1655"/>
      <c r="K124" s="1656"/>
      <c r="L124" s="1656"/>
      <c r="M124" s="1656"/>
      <c r="N124" s="1656"/>
      <c r="O124" s="1656"/>
      <c r="P124" s="1656"/>
      <c r="Q124" s="1656"/>
      <c r="R124" s="1657"/>
      <c r="S124" s="1658"/>
      <c r="T124" s="1658"/>
      <c r="U124" s="1658"/>
      <c r="V124" s="1658"/>
      <c r="W124" s="1658"/>
      <c r="X124" s="1658"/>
      <c r="Y124" s="1658"/>
      <c r="Z124" s="1658"/>
      <c r="AA124" s="1658"/>
      <c r="AB124" s="1658"/>
      <c r="AC124" s="1658"/>
      <c r="AD124" s="1658"/>
    </row>
    <row r="125" spans="1:30" s="1659" customFormat="1" ht="19.5" customHeight="1">
      <c r="A125" s="1470">
        <v>118</v>
      </c>
      <c r="B125" s="1651"/>
      <c r="C125" s="1624"/>
      <c r="D125" s="1660"/>
      <c r="E125" s="1628" t="s">
        <v>198</v>
      </c>
      <c r="F125" s="1652"/>
      <c r="G125" s="1653"/>
      <c r="H125" s="1653"/>
      <c r="I125" s="1654"/>
      <c r="J125" s="1495">
        <f>SUM(K125:R125)</f>
        <v>40</v>
      </c>
      <c r="K125" s="1656">
        <v>35</v>
      </c>
      <c r="L125" s="1656">
        <v>5</v>
      </c>
      <c r="M125" s="1656"/>
      <c r="N125" s="1656"/>
      <c r="O125" s="1656"/>
      <c r="P125" s="1656"/>
      <c r="Q125" s="1656"/>
      <c r="R125" s="1657"/>
      <c r="S125" s="1658"/>
      <c r="T125" s="1658"/>
      <c r="U125" s="1658"/>
      <c r="V125" s="1658"/>
      <c r="W125" s="1658"/>
      <c r="X125" s="1658"/>
      <c r="Y125" s="1658"/>
      <c r="Z125" s="1658"/>
      <c r="AA125" s="1658"/>
      <c r="AB125" s="1658"/>
      <c r="AC125" s="1658"/>
      <c r="AD125" s="1658"/>
    </row>
    <row r="126" spans="1:30" s="1659" customFormat="1" ht="19.5" customHeight="1">
      <c r="A126" s="1470">
        <v>119</v>
      </c>
      <c r="B126" s="1651"/>
      <c r="C126" s="1624"/>
      <c r="D126" s="1660"/>
      <c r="E126" s="163" t="s">
        <v>765</v>
      </c>
      <c r="F126" s="1652"/>
      <c r="G126" s="1653"/>
      <c r="H126" s="1653"/>
      <c r="I126" s="1654"/>
      <c r="J126" s="1488">
        <f>SUM(K126:R126)</f>
        <v>40</v>
      </c>
      <c r="K126" s="1661">
        <v>35</v>
      </c>
      <c r="L126" s="1661">
        <v>5</v>
      </c>
      <c r="M126" s="1656"/>
      <c r="N126" s="1656"/>
      <c r="O126" s="1656"/>
      <c r="P126" s="1656"/>
      <c r="Q126" s="1656"/>
      <c r="R126" s="1657"/>
      <c r="S126" s="1658"/>
      <c r="T126" s="1658"/>
      <c r="U126" s="1658"/>
      <c r="V126" s="1658"/>
      <c r="W126" s="1658"/>
      <c r="X126" s="1658"/>
      <c r="Y126" s="1658"/>
      <c r="Z126" s="1658"/>
      <c r="AA126" s="1658"/>
      <c r="AB126" s="1658"/>
      <c r="AC126" s="1658"/>
      <c r="AD126" s="1658"/>
    </row>
    <row r="127" spans="1:30" s="1659" customFormat="1" ht="19.5" customHeight="1">
      <c r="A127" s="1470">
        <v>120</v>
      </c>
      <c r="B127" s="1651"/>
      <c r="C127" s="1624"/>
      <c r="D127" s="1660"/>
      <c r="E127" s="165" t="s">
        <v>1022</v>
      </c>
      <c r="F127" s="1652"/>
      <c r="G127" s="1653"/>
      <c r="H127" s="1653"/>
      <c r="I127" s="1662"/>
      <c r="J127" s="1501">
        <f>SUM(K127:R127)</f>
        <v>0</v>
      </c>
      <c r="K127" s="1656"/>
      <c r="L127" s="1656"/>
      <c r="M127" s="1656"/>
      <c r="N127" s="1656"/>
      <c r="O127" s="1656"/>
      <c r="P127" s="1656"/>
      <c r="Q127" s="1656"/>
      <c r="R127" s="1657"/>
      <c r="S127" s="1658"/>
      <c r="T127" s="1658"/>
      <c r="U127" s="1658"/>
      <c r="V127" s="1658"/>
      <c r="W127" s="1658"/>
      <c r="X127" s="1658"/>
      <c r="Y127" s="1658"/>
      <c r="Z127" s="1658"/>
      <c r="AA127" s="1658"/>
      <c r="AB127" s="1658"/>
      <c r="AC127" s="1658"/>
      <c r="AD127" s="1658"/>
    </row>
    <row r="128" spans="1:30" s="1659" customFormat="1" ht="19.5" customHeight="1">
      <c r="A128" s="1470">
        <v>121</v>
      </c>
      <c r="B128" s="1651"/>
      <c r="C128" s="1624">
        <v>59</v>
      </c>
      <c r="D128" s="1924" t="s">
        <v>237</v>
      </c>
      <c r="E128" s="1924"/>
      <c r="F128" s="1652"/>
      <c r="G128" s="1653"/>
      <c r="H128" s="1653">
        <v>46331</v>
      </c>
      <c r="I128" s="1654">
        <v>50636</v>
      </c>
      <c r="J128" s="1655"/>
      <c r="K128" s="1656"/>
      <c r="L128" s="1656"/>
      <c r="M128" s="1656"/>
      <c r="N128" s="1656"/>
      <c r="O128" s="1656"/>
      <c r="P128" s="1656"/>
      <c r="Q128" s="1656"/>
      <c r="R128" s="1657"/>
      <c r="S128" s="1658"/>
      <c r="T128" s="1658"/>
      <c r="U128" s="1658"/>
      <c r="V128" s="1658"/>
      <c r="W128" s="1658"/>
      <c r="X128" s="1658"/>
      <c r="Y128" s="1658"/>
      <c r="Z128" s="1658"/>
      <c r="AA128" s="1658"/>
      <c r="AB128" s="1658"/>
      <c r="AC128" s="1658"/>
      <c r="AD128" s="1658"/>
    </row>
    <row r="129" spans="1:30" s="1659" customFormat="1" ht="19.5" customHeight="1">
      <c r="A129" s="1470">
        <v>122</v>
      </c>
      <c r="B129" s="1651"/>
      <c r="C129" s="1663"/>
      <c r="D129" s="1660"/>
      <c r="E129" s="1628" t="s">
        <v>198</v>
      </c>
      <c r="F129" s="1652"/>
      <c r="G129" s="1653"/>
      <c r="H129" s="1653"/>
      <c r="I129" s="1654"/>
      <c r="J129" s="1495">
        <f>SUM(K129:R129)</f>
        <v>4973</v>
      </c>
      <c r="K129" s="1656">
        <v>4400</v>
      </c>
      <c r="L129" s="1656">
        <v>573</v>
      </c>
      <c r="M129" s="1656"/>
      <c r="N129" s="1656"/>
      <c r="O129" s="1656"/>
      <c r="P129" s="1656"/>
      <c r="Q129" s="1656"/>
      <c r="R129" s="1657"/>
      <c r="S129" s="1658"/>
      <c r="T129" s="1658"/>
      <c r="U129" s="1658"/>
      <c r="V129" s="1658"/>
      <c r="W129" s="1658"/>
      <c r="X129" s="1658"/>
      <c r="Y129" s="1658"/>
      <c r="Z129" s="1658"/>
      <c r="AA129" s="1658"/>
      <c r="AB129" s="1658"/>
      <c r="AC129" s="1658"/>
      <c r="AD129" s="1658"/>
    </row>
    <row r="130" spans="1:30" s="1659" customFormat="1" ht="19.5" customHeight="1">
      <c r="A130" s="1470">
        <v>123</v>
      </c>
      <c r="B130" s="1651"/>
      <c r="C130" s="1663"/>
      <c r="D130" s="1660"/>
      <c r="E130" s="163" t="s">
        <v>765</v>
      </c>
      <c r="F130" s="1652"/>
      <c r="G130" s="1653"/>
      <c r="H130" s="1653"/>
      <c r="I130" s="1654"/>
      <c r="J130" s="1488">
        <f>SUM(K130:R130)</f>
        <v>4158</v>
      </c>
      <c r="K130" s="1661">
        <v>3680</v>
      </c>
      <c r="L130" s="1661">
        <v>478</v>
      </c>
      <c r="M130" s="1656"/>
      <c r="N130" s="1656"/>
      <c r="O130" s="1656"/>
      <c r="P130" s="1656"/>
      <c r="Q130" s="1656"/>
      <c r="R130" s="1657"/>
      <c r="S130" s="1658"/>
      <c r="T130" s="1658"/>
      <c r="U130" s="1658"/>
      <c r="V130" s="1658"/>
      <c r="W130" s="1658"/>
      <c r="X130" s="1658"/>
      <c r="Y130" s="1658"/>
      <c r="Z130" s="1658"/>
      <c r="AA130" s="1658"/>
      <c r="AB130" s="1658"/>
      <c r="AC130" s="1658"/>
      <c r="AD130" s="1658"/>
    </row>
    <row r="131" spans="1:30" s="1659" customFormat="1" ht="19.5" customHeight="1">
      <c r="A131" s="1470">
        <v>124</v>
      </c>
      <c r="B131" s="1651"/>
      <c r="C131" s="1663"/>
      <c r="D131" s="1660"/>
      <c r="E131" s="165" t="s">
        <v>1021</v>
      </c>
      <c r="F131" s="1652"/>
      <c r="G131" s="1653"/>
      <c r="H131" s="1653"/>
      <c r="I131" s="1662"/>
      <c r="J131" s="1501">
        <f>SUM(K131:R131)</f>
        <v>4158</v>
      </c>
      <c r="K131" s="1664">
        <v>3680</v>
      </c>
      <c r="L131" s="1664">
        <v>478</v>
      </c>
      <c r="M131" s="1656"/>
      <c r="N131" s="1656"/>
      <c r="O131" s="1656"/>
      <c r="P131" s="1656"/>
      <c r="Q131" s="1656"/>
      <c r="R131" s="1657"/>
      <c r="S131" s="1658"/>
      <c r="T131" s="1658"/>
      <c r="U131" s="1658"/>
      <c r="V131" s="1658"/>
      <c r="W131" s="1658"/>
      <c r="X131" s="1658"/>
      <c r="Y131" s="1658"/>
      <c r="Z131" s="1658"/>
      <c r="AA131" s="1658"/>
      <c r="AB131" s="1658"/>
      <c r="AC131" s="1658"/>
      <c r="AD131" s="1658"/>
    </row>
    <row r="132" spans="1:30" s="1659" customFormat="1" ht="30.75" customHeight="1">
      <c r="A132" s="1470">
        <v>125</v>
      </c>
      <c r="B132" s="1651"/>
      <c r="C132" s="1665">
        <v>60</v>
      </c>
      <c r="D132" s="1904" t="s">
        <v>238</v>
      </c>
      <c r="E132" s="1904"/>
      <c r="F132" s="1652"/>
      <c r="G132" s="1653"/>
      <c r="H132" s="1653"/>
      <c r="I132" s="1654">
        <v>7754</v>
      </c>
      <c r="J132" s="1655"/>
      <c r="K132" s="1656"/>
      <c r="L132" s="1656"/>
      <c r="M132" s="1656"/>
      <c r="N132" s="1656"/>
      <c r="O132" s="1656"/>
      <c r="P132" s="1656"/>
      <c r="Q132" s="1656"/>
      <c r="R132" s="1657"/>
      <c r="S132" s="1658"/>
      <c r="T132" s="1658"/>
      <c r="U132" s="1658"/>
      <c r="V132" s="1658"/>
      <c r="W132" s="1658"/>
      <c r="X132" s="1658"/>
      <c r="Y132" s="1658"/>
      <c r="Z132" s="1658"/>
      <c r="AA132" s="1658"/>
      <c r="AB132" s="1658"/>
      <c r="AC132" s="1658"/>
      <c r="AD132" s="1658"/>
    </row>
    <row r="133" spans="1:30" s="1659" customFormat="1" ht="19.5" customHeight="1">
      <c r="A133" s="1470">
        <v>126</v>
      </c>
      <c r="B133" s="1651"/>
      <c r="C133" s="1624"/>
      <c r="D133" s="1660"/>
      <c r="E133" s="1628" t="s">
        <v>198</v>
      </c>
      <c r="F133" s="1652"/>
      <c r="G133" s="1653"/>
      <c r="H133" s="1653"/>
      <c r="I133" s="1654"/>
      <c r="J133" s="1495">
        <f>SUM(K133:R133)</f>
        <v>2207</v>
      </c>
      <c r="K133" s="1656">
        <v>1953</v>
      </c>
      <c r="L133" s="1656">
        <v>254</v>
      </c>
      <c r="M133" s="1656"/>
      <c r="N133" s="1656"/>
      <c r="O133" s="1656"/>
      <c r="P133" s="1656"/>
      <c r="Q133" s="1656"/>
      <c r="R133" s="1657"/>
      <c r="S133" s="1658"/>
      <c r="T133" s="1658"/>
      <c r="U133" s="1658"/>
      <c r="V133" s="1658"/>
      <c r="W133" s="1658"/>
      <c r="X133" s="1658"/>
      <c r="Y133" s="1658"/>
      <c r="Z133" s="1658"/>
      <c r="AA133" s="1658"/>
      <c r="AB133" s="1658"/>
      <c r="AC133" s="1658"/>
      <c r="AD133" s="1658"/>
    </row>
    <row r="134" spans="1:30" s="1659" customFormat="1" ht="19.5" customHeight="1">
      <c r="A134" s="1470">
        <v>127</v>
      </c>
      <c r="B134" s="1651"/>
      <c r="C134" s="1624"/>
      <c r="D134" s="1660"/>
      <c r="E134" s="163" t="s">
        <v>765</v>
      </c>
      <c r="F134" s="1652"/>
      <c r="G134" s="1653"/>
      <c r="H134" s="1653"/>
      <c r="I134" s="1654"/>
      <c r="J134" s="1488">
        <f>SUM(K134:R134)</f>
        <v>2207</v>
      </c>
      <c r="K134" s="1661">
        <v>1953</v>
      </c>
      <c r="L134" s="1661">
        <v>254</v>
      </c>
      <c r="M134" s="1656"/>
      <c r="N134" s="1656"/>
      <c r="O134" s="1656"/>
      <c r="P134" s="1656"/>
      <c r="Q134" s="1656"/>
      <c r="R134" s="1657"/>
      <c r="S134" s="1658"/>
      <c r="T134" s="1658"/>
      <c r="U134" s="1658"/>
      <c r="V134" s="1658"/>
      <c r="W134" s="1658"/>
      <c r="X134" s="1658"/>
      <c r="Y134" s="1658"/>
      <c r="Z134" s="1658"/>
      <c r="AA134" s="1658"/>
      <c r="AB134" s="1658"/>
      <c r="AC134" s="1658"/>
      <c r="AD134" s="1658"/>
    </row>
    <row r="135" spans="1:30" s="1659" customFormat="1" ht="19.5" customHeight="1">
      <c r="A135" s="1470">
        <v>128</v>
      </c>
      <c r="B135" s="1651"/>
      <c r="C135" s="1624"/>
      <c r="D135" s="1660"/>
      <c r="E135" s="165" t="s">
        <v>1022</v>
      </c>
      <c r="F135" s="1652"/>
      <c r="G135" s="1653"/>
      <c r="H135" s="1653"/>
      <c r="I135" s="1662"/>
      <c r="J135" s="1501">
        <f>SUM(K135:R135)</f>
        <v>2207</v>
      </c>
      <c r="K135" s="1664">
        <v>1953</v>
      </c>
      <c r="L135" s="1664">
        <v>254</v>
      </c>
      <c r="M135" s="1656"/>
      <c r="N135" s="1656"/>
      <c r="O135" s="1656"/>
      <c r="P135" s="1656"/>
      <c r="Q135" s="1656"/>
      <c r="R135" s="1657"/>
      <c r="S135" s="1658"/>
      <c r="T135" s="1658"/>
      <c r="U135" s="1658"/>
      <c r="V135" s="1658"/>
      <c r="W135" s="1658"/>
      <c r="X135" s="1658"/>
      <c r="Y135" s="1658"/>
      <c r="Z135" s="1658"/>
      <c r="AA135" s="1658"/>
      <c r="AB135" s="1658"/>
      <c r="AC135" s="1658"/>
      <c r="AD135" s="1658"/>
    </row>
    <row r="136" spans="1:30" s="1659" customFormat="1" ht="19.5" customHeight="1">
      <c r="A136" s="1470">
        <v>129</v>
      </c>
      <c r="B136" s="1651"/>
      <c r="C136" s="1624">
        <v>61</v>
      </c>
      <c r="D136" s="1924" t="s">
        <v>239</v>
      </c>
      <c r="E136" s="1924"/>
      <c r="F136" s="1652"/>
      <c r="G136" s="1653"/>
      <c r="H136" s="1653"/>
      <c r="I136" s="1654">
        <v>3043</v>
      </c>
      <c r="J136" s="1655"/>
      <c r="K136" s="1656"/>
      <c r="L136" s="1656"/>
      <c r="M136" s="1656"/>
      <c r="N136" s="1656"/>
      <c r="O136" s="1656"/>
      <c r="P136" s="1656"/>
      <c r="Q136" s="1656"/>
      <c r="R136" s="1657"/>
      <c r="S136" s="1658"/>
      <c r="T136" s="1658"/>
      <c r="U136" s="1658"/>
      <c r="V136" s="1658"/>
      <c r="W136" s="1658"/>
      <c r="X136" s="1658"/>
      <c r="Y136" s="1658"/>
      <c r="Z136" s="1658"/>
      <c r="AA136" s="1658"/>
      <c r="AB136" s="1658"/>
      <c r="AC136" s="1658"/>
      <c r="AD136" s="1658"/>
    </row>
    <row r="137" spans="1:30" s="1659" customFormat="1" ht="19.5" customHeight="1">
      <c r="A137" s="1470">
        <v>130</v>
      </c>
      <c r="B137" s="1651"/>
      <c r="C137" s="1663"/>
      <c r="D137" s="1660"/>
      <c r="E137" s="1628" t="s">
        <v>198</v>
      </c>
      <c r="F137" s="1652"/>
      <c r="G137" s="1653"/>
      <c r="H137" s="1653"/>
      <c r="I137" s="1654"/>
      <c r="J137" s="1495">
        <f>SUM(K137:R137)</f>
        <v>126</v>
      </c>
      <c r="K137" s="1656">
        <v>111</v>
      </c>
      <c r="L137" s="1656">
        <v>15</v>
      </c>
      <c r="M137" s="1656"/>
      <c r="N137" s="1656"/>
      <c r="O137" s="1656"/>
      <c r="P137" s="1656"/>
      <c r="Q137" s="1656"/>
      <c r="R137" s="1657"/>
      <c r="S137" s="1658"/>
      <c r="T137" s="1658"/>
      <c r="U137" s="1658"/>
      <c r="V137" s="1658"/>
      <c r="W137" s="1658"/>
      <c r="X137" s="1658"/>
      <c r="Y137" s="1658"/>
      <c r="Z137" s="1658"/>
      <c r="AA137" s="1658"/>
      <c r="AB137" s="1658"/>
      <c r="AC137" s="1658"/>
      <c r="AD137" s="1658"/>
    </row>
    <row r="138" spans="1:30" s="1659" customFormat="1" ht="19.5" customHeight="1">
      <c r="A138" s="1470">
        <v>131</v>
      </c>
      <c r="B138" s="1651"/>
      <c r="C138" s="1663"/>
      <c r="D138" s="1660"/>
      <c r="E138" s="163" t="s">
        <v>765</v>
      </c>
      <c r="F138" s="1652"/>
      <c r="G138" s="1653"/>
      <c r="H138" s="1653"/>
      <c r="I138" s="1654"/>
      <c r="J138" s="1488">
        <f>SUM(K138:R138)</f>
        <v>126</v>
      </c>
      <c r="K138" s="1661">
        <v>111</v>
      </c>
      <c r="L138" s="1661">
        <v>15</v>
      </c>
      <c r="M138" s="1656"/>
      <c r="N138" s="1656"/>
      <c r="O138" s="1656"/>
      <c r="P138" s="1656"/>
      <c r="Q138" s="1656"/>
      <c r="R138" s="1657"/>
      <c r="S138" s="1658"/>
      <c r="T138" s="1658"/>
      <c r="U138" s="1658"/>
      <c r="V138" s="1658"/>
      <c r="W138" s="1658"/>
      <c r="X138" s="1658"/>
      <c r="Y138" s="1658"/>
      <c r="Z138" s="1658"/>
      <c r="AA138" s="1658"/>
      <c r="AB138" s="1658"/>
      <c r="AC138" s="1658"/>
      <c r="AD138" s="1658"/>
    </row>
    <row r="139" spans="1:30" s="1659" customFormat="1" ht="19.5" customHeight="1">
      <c r="A139" s="1470">
        <v>132</v>
      </c>
      <c r="B139" s="1651"/>
      <c r="C139" s="1663"/>
      <c r="D139" s="1660"/>
      <c r="E139" s="165" t="s">
        <v>1022</v>
      </c>
      <c r="F139" s="1652"/>
      <c r="G139" s="1653"/>
      <c r="H139" s="1653"/>
      <c r="I139" s="1662"/>
      <c r="J139" s="1501">
        <f>SUM(K139:R139)</f>
        <v>127</v>
      </c>
      <c r="K139" s="1664">
        <v>112</v>
      </c>
      <c r="L139" s="1664">
        <v>15</v>
      </c>
      <c r="M139" s="1656"/>
      <c r="N139" s="1656"/>
      <c r="O139" s="1656"/>
      <c r="P139" s="1656"/>
      <c r="Q139" s="1656"/>
      <c r="R139" s="1657"/>
      <c r="S139" s="1658"/>
      <c r="T139" s="1658"/>
      <c r="U139" s="1658"/>
      <c r="V139" s="1658"/>
      <c r="W139" s="1658"/>
      <c r="X139" s="1658"/>
      <c r="Y139" s="1658"/>
      <c r="Z139" s="1658"/>
      <c r="AA139" s="1658"/>
      <c r="AB139" s="1658"/>
      <c r="AC139" s="1658"/>
      <c r="AD139" s="1658"/>
    </row>
    <row r="140" spans="1:30" s="1659" customFormat="1" ht="19.5" customHeight="1">
      <c r="A140" s="1470">
        <v>133</v>
      </c>
      <c r="B140" s="1651"/>
      <c r="C140" s="1624">
        <v>62</v>
      </c>
      <c r="D140" s="1924" t="s">
        <v>240</v>
      </c>
      <c r="E140" s="1924"/>
      <c r="F140" s="1652"/>
      <c r="G140" s="1653"/>
      <c r="H140" s="1653"/>
      <c r="I140" s="1654">
        <v>6300</v>
      </c>
      <c r="J140" s="1655"/>
      <c r="K140" s="1656"/>
      <c r="L140" s="1656"/>
      <c r="M140" s="1656"/>
      <c r="N140" s="1656"/>
      <c r="O140" s="1656"/>
      <c r="P140" s="1656"/>
      <c r="Q140" s="1656"/>
      <c r="R140" s="1657"/>
      <c r="S140" s="1658"/>
      <c r="T140" s="1658"/>
      <c r="U140" s="1658"/>
      <c r="V140" s="1658"/>
      <c r="W140" s="1658"/>
      <c r="X140" s="1658"/>
      <c r="Y140" s="1658"/>
      <c r="Z140" s="1658"/>
      <c r="AA140" s="1658"/>
      <c r="AB140" s="1658"/>
      <c r="AC140" s="1658"/>
      <c r="AD140" s="1658"/>
    </row>
    <row r="141" spans="1:30" s="1659" customFormat="1" ht="19.5" customHeight="1">
      <c r="A141" s="1470">
        <v>134</v>
      </c>
      <c r="B141" s="1651"/>
      <c r="C141" s="1624"/>
      <c r="D141" s="1660"/>
      <c r="E141" s="1628" t="s">
        <v>198</v>
      </c>
      <c r="F141" s="1652"/>
      <c r="G141" s="1653"/>
      <c r="H141" s="1653"/>
      <c r="I141" s="1654"/>
      <c r="J141" s="1495">
        <f>SUM(K141:R141)</f>
        <v>705</v>
      </c>
      <c r="K141" s="175">
        <v>625</v>
      </c>
      <c r="L141" s="175">
        <v>80</v>
      </c>
      <c r="M141" s="1656"/>
      <c r="N141" s="1656"/>
      <c r="O141" s="1656"/>
      <c r="P141" s="1656"/>
      <c r="Q141" s="1656"/>
      <c r="R141" s="1657"/>
      <c r="S141" s="1658"/>
      <c r="T141" s="1658"/>
      <c r="U141" s="1658"/>
      <c r="V141" s="1658"/>
      <c r="W141" s="1658"/>
      <c r="X141" s="1658"/>
      <c r="Y141" s="1658"/>
      <c r="Z141" s="1658"/>
      <c r="AA141" s="1658"/>
      <c r="AB141" s="1658"/>
      <c r="AC141" s="1658"/>
      <c r="AD141" s="1658"/>
    </row>
    <row r="142" spans="1:30" s="1659" customFormat="1" ht="19.5" customHeight="1">
      <c r="A142" s="1470">
        <v>135</v>
      </c>
      <c r="B142" s="1651"/>
      <c r="C142" s="1624"/>
      <c r="D142" s="1660"/>
      <c r="E142" s="163" t="s">
        <v>765</v>
      </c>
      <c r="F142" s="1652"/>
      <c r="G142" s="1653"/>
      <c r="H142" s="1653"/>
      <c r="I142" s="1654"/>
      <c r="J142" s="1488">
        <f>SUM(K142:R142)</f>
        <v>1411</v>
      </c>
      <c r="K142" s="1661">
        <v>1249</v>
      </c>
      <c r="L142" s="1661">
        <v>162</v>
      </c>
      <c r="M142" s="1656"/>
      <c r="N142" s="1656"/>
      <c r="O142" s="1656"/>
      <c r="P142" s="1656"/>
      <c r="Q142" s="1656"/>
      <c r="R142" s="1657"/>
      <c r="S142" s="1658"/>
      <c r="T142" s="1658"/>
      <c r="U142" s="1658"/>
      <c r="V142" s="1658"/>
      <c r="W142" s="1658"/>
      <c r="X142" s="1658"/>
      <c r="Y142" s="1658"/>
      <c r="Z142" s="1658"/>
      <c r="AA142" s="1658"/>
      <c r="AB142" s="1658"/>
      <c r="AC142" s="1658"/>
      <c r="AD142" s="1658"/>
    </row>
    <row r="143" spans="1:30" s="1659" customFormat="1" ht="19.5" customHeight="1">
      <c r="A143" s="1470">
        <v>136</v>
      </c>
      <c r="B143" s="1651"/>
      <c r="C143" s="1624"/>
      <c r="D143" s="1660"/>
      <c r="E143" s="165" t="s">
        <v>1021</v>
      </c>
      <c r="F143" s="1652"/>
      <c r="G143" s="1653"/>
      <c r="H143" s="1653"/>
      <c r="I143" s="1662"/>
      <c r="J143" s="1501">
        <f>SUM(K143:R143)</f>
        <v>1411</v>
      </c>
      <c r="K143" s="1664">
        <v>1249</v>
      </c>
      <c r="L143" s="1664">
        <v>162</v>
      </c>
      <c r="M143" s="1656"/>
      <c r="N143" s="1656"/>
      <c r="O143" s="1656"/>
      <c r="P143" s="1656"/>
      <c r="Q143" s="1656"/>
      <c r="R143" s="1657"/>
      <c r="S143" s="1658"/>
      <c r="T143" s="1658"/>
      <c r="U143" s="1658"/>
      <c r="V143" s="1658"/>
      <c r="W143" s="1658"/>
      <c r="X143" s="1658"/>
      <c r="Y143" s="1658"/>
      <c r="Z143" s="1658"/>
      <c r="AA143" s="1658"/>
      <c r="AB143" s="1658"/>
      <c r="AC143" s="1658"/>
      <c r="AD143" s="1658"/>
    </row>
    <row r="144" spans="1:30" s="1659" customFormat="1" ht="19.5" customHeight="1">
      <c r="A144" s="1470">
        <v>137</v>
      </c>
      <c r="B144" s="1651"/>
      <c r="C144" s="1624">
        <v>64</v>
      </c>
      <c r="D144" s="1924" t="s">
        <v>241</v>
      </c>
      <c r="E144" s="1924"/>
      <c r="F144" s="1652"/>
      <c r="G144" s="1653"/>
      <c r="H144" s="1653"/>
      <c r="I144" s="1654">
        <v>2434</v>
      </c>
      <c r="J144" s="1655"/>
      <c r="K144" s="1656"/>
      <c r="L144" s="1656"/>
      <c r="M144" s="1656"/>
      <c r="N144" s="1656"/>
      <c r="O144" s="1656"/>
      <c r="P144" s="1656"/>
      <c r="Q144" s="1656"/>
      <c r="R144" s="1657"/>
      <c r="S144" s="1658"/>
      <c r="T144" s="1658"/>
      <c r="U144" s="1658"/>
      <c r="V144" s="1658"/>
      <c r="W144" s="1658"/>
      <c r="X144" s="1658"/>
      <c r="Y144" s="1658"/>
      <c r="Z144" s="1658"/>
      <c r="AA144" s="1658"/>
      <c r="AB144" s="1658"/>
      <c r="AC144" s="1658"/>
      <c r="AD144" s="1658"/>
    </row>
    <row r="145" spans="1:30" s="1659" customFormat="1" ht="19.5" customHeight="1">
      <c r="A145" s="1470">
        <v>138</v>
      </c>
      <c r="B145" s="1651"/>
      <c r="C145" s="1624"/>
      <c r="D145" s="1660"/>
      <c r="E145" s="1628" t="s">
        <v>198</v>
      </c>
      <c r="F145" s="1652"/>
      <c r="G145" s="1653"/>
      <c r="H145" s="1653"/>
      <c r="I145" s="1654"/>
      <c r="J145" s="1495">
        <f>SUM(K145:R145)</f>
        <v>206</v>
      </c>
      <c r="K145" s="1656">
        <v>141</v>
      </c>
      <c r="L145" s="1656">
        <v>65</v>
      </c>
      <c r="M145" s="1656"/>
      <c r="N145" s="1656"/>
      <c r="O145" s="1656"/>
      <c r="P145" s="1656"/>
      <c r="Q145" s="1656"/>
      <c r="R145" s="1657"/>
      <c r="S145" s="1658"/>
      <c r="T145" s="1658"/>
      <c r="U145" s="1658"/>
      <c r="V145" s="1658"/>
      <c r="W145" s="1658"/>
      <c r="X145" s="1658"/>
      <c r="Y145" s="1658"/>
      <c r="Z145" s="1658"/>
      <c r="AA145" s="1658"/>
      <c r="AB145" s="1658"/>
      <c r="AC145" s="1658"/>
      <c r="AD145" s="1658"/>
    </row>
    <row r="146" spans="1:30" s="1659" customFormat="1" ht="19.5" customHeight="1">
      <c r="A146" s="1470">
        <v>139</v>
      </c>
      <c r="B146" s="1651"/>
      <c r="C146" s="1624"/>
      <c r="D146" s="1660"/>
      <c r="E146" s="163" t="s">
        <v>765</v>
      </c>
      <c r="F146" s="1479"/>
      <c r="G146" s="1666"/>
      <c r="H146" s="1666"/>
      <c r="I146" s="1654"/>
      <c r="J146" s="1488">
        <f>SUM(K146:R146)</f>
        <v>566</v>
      </c>
      <c r="K146" s="1661">
        <v>501</v>
      </c>
      <c r="L146" s="1661">
        <v>65</v>
      </c>
      <c r="M146" s="1656"/>
      <c r="N146" s="1656"/>
      <c r="O146" s="1656"/>
      <c r="P146" s="1656"/>
      <c r="Q146" s="1656"/>
      <c r="R146" s="1657"/>
      <c r="S146" s="1658"/>
      <c r="T146" s="1658"/>
      <c r="U146" s="1658"/>
      <c r="V146" s="1658"/>
      <c r="W146" s="1658"/>
      <c r="X146" s="1658"/>
      <c r="Y146" s="1658"/>
      <c r="Z146" s="1658"/>
      <c r="AA146" s="1658"/>
      <c r="AB146" s="1658"/>
      <c r="AC146" s="1658"/>
      <c r="AD146" s="1658"/>
    </row>
    <row r="147" spans="1:30" s="1659" customFormat="1" ht="19.5" customHeight="1">
      <c r="A147" s="1470">
        <v>140</v>
      </c>
      <c r="B147" s="1651"/>
      <c r="C147" s="1624"/>
      <c r="D147" s="1660"/>
      <c r="E147" s="165" t="s">
        <v>1021</v>
      </c>
      <c r="F147" s="1652"/>
      <c r="G147" s="1653"/>
      <c r="H147" s="1653"/>
      <c r="I147" s="1662"/>
      <c r="J147" s="1501">
        <f>SUM(K147:R147)</f>
        <v>566</v>
      </c>
      <c r="K147" s="1664">
        <v>501</v>
      </c>
      <c r="L147" s="1664">
        <v>65</v>
      </c>
      <c r="M147" s="1656"/>
      <c r="N147" s="1656"/>
      <c r="O147" s="1656"/>
      <c r="P147" s="1656"/>
      <c r="Q147" s="1656"/>
      <c r="R147" s="1657"/>
      <c r="S147" s="1658"/>
      <c r="T147" s="1658"/>
      <c r="U147" s="1658"/>
      <c r="V147" s="1658"/>
      <c r="W147" s="1658"/>
      <c r="X147" s="1658"/>
      <c r="Y147" s="1658"/>
      <c r="Z147" s="1658"/>
      <c r="AA147" s="1658"/>
      <c r="AB147" s="1658"/>
      <c r="AC147" s="1658"/>
      <c r="AD147" s="1658"/>
    </row>
    <row r="148" spans="1:30" s="1659" customFormat="1" ht="19.5" customHeight="1">
      <c r="A148" s="1470">
        <v>141</v>
      </c>
      <c r="B148" s="1651"/>
      <c r="C148" s="1624">
        <v>66</v>
      </c>
      <c r="D148" s="1924" t="s">
        <v>242</v>
      </c>
      <c r="E148" s="1924"/>
      <c r="F148" s="1652"/>
      <c r="G148" s="1653"/>
      <c r="H148" s="1653"/>
      <c r="I148" s="1667">
        <v>5227</v>
      </c>
      <c r="J148" s="1668"/>
      <c r="K148" s="1656"/>
      <c r="L148" s="1656"/>
      <c r="M148" s="1656"/>
      <c r="N148" s="1656"/>
      <c r="O148" s="1656"/>
      <c r="P148" s="1656"/>
      <c r="Q148" s="1656"/>
      <c r="R148" s="1657"/>
      <c r="S148" s="1658"/>
      <c r="T148" s="1658"/>
      <c r="U148" s="1658"/>
      <c r="V148" s="1658"/>
      <c r="W148" s="1658"/>
      <c r="X148" s="1658"/>
      <c r="Y148" s="1658"/>
      <c r="Z148" s="1658"/>
      <c r="AA148" s="1658"/>
      <c r="AB148" s="1658"/>
      <c r="AC148" s="1658"/>
      <c r="AD148" s="1658"/>
    </row>
    <row r="149" spans="1:30" s="1659" customFormat="1" ht="19.5" customHeight="1">
      <c r="A149" s="1470">
        <v>142</v>
      </c>
      <c r="B149" s="1651"/>
      <c r="C149" s="1624"/>
      <c r="D149" s="1660"/>
      <c r="E149" s="1628" t="s">
        <v>198</v>
      </c>
      <c r="F149" s="1652"/>
      <c r="G149" s="1653"/>
      <c r="H149" s="1653"/>
      <c r="I149" s="1667"/>
      <c r="J149" s="1509">
        <f>SUM(K149:R149)</f>
        <v>50</v>
      </c>
      <c r="K149" s="1656">
        <v>44</v>
      </c>
      <c r="L149" s="1656">
        <v>6</v>
      </c>
      <c r="M149" s="1656"/>
      <c r="N149" s="1656"/>
      <c r="O149" s="1656"/>
      <c r="P149" s="1656"/>
      <c r="Q149" s="1656"/>
      <c r="R149" s="1657"/>
      <c r="S149" s="1658"/>
      <c r="T149" s="1658"/>
      <c r="U149" s="1658"/>
      <c r="V149" s="1658"/>
      <c r="W149" s="1658"/>
      <c r="X149" s="1658"/>
      <c r="Y149" s="1658"/>
      <c r="Z149" s="1658"/>
      <c r="AA149" s="1658"/>
      <c r="AB149" s="1658"/>
      <c r="AC149" s="1658"/>
      <c r="AD149" s="1658"/>
    </row>
    <row r="150" spans="1:30" s="1659" customFormat="1" ht="19.5" customHeight="1">
      <c r="A150" s="1470">
        <v>143</v>
      </c>
      <c r="B150" s="1651"/>
      <c r="C150" s="1624"/>
      <c r="D150" s="1660"/>
      <c r="E150" s="163" t="s">
        <v>765</v>
      </c>
      <c r="F150" s="1652"/>
      <c r="G150" s="1653"/>
      <c r="H150" s="1653"/>
      <c r="I150" s="1667"/>
      <c r="J150" s="1509">
        <f>SUM(K150:R150)</f>
        <v>0</v>
      </c>
      <c r="K150" s="1656">
        <v>0</v>
      </c>
      <c r="L150" s="1656">
        <v>0</v>
      </c>
      <c r="M150" s="1656"/>
      <c r="N150" s="1656"/>
      <c r="O150" s="1656"/>
      <c r="P150" s="1656"/>
      <c r="Q150" s="1656"/>
      <c r="R150" s="1657"/>
      <c r="S150" s="1658"/>
      <c r="T150" s="1658"/>
      <c r="U150" s="1658"/>
      <c r="V150" s="1658"/>
      <c r="W150" s="1658"/>
      <c r="X150" s="1658"/>
      <c r="Y150" s="1658"/>
      <c r="Z150" s="1658"/>
      <c r="AA150" s="1658"/>
      <c r="AB150" s="1658"/>
      <c r="AC150" s="1658"/>
      <c r="AD150" s="1658"/>
    </row>
    <row r="151" spans="1:30" s="1659" customFormat="1" ht="19.5" customHeight="1">
      <c r="A151" s="1470">
        <v>144</v>
      </c>
      <c r="B151" s="1651"/>
      <c r="C151" s="1624"/>
      <c r="D151" s="1660"/>
      <c r="E151" s="165" t="s">
        <v>1021</v>
      </c>
      <c r="F151" s="1652"/>
      <c r="G151" s="1653"/>
      <c r="H151" s="1653"/>
      <c r="I151" s="1667"/>
      <c r="J151" s="1501">
        <f>SUM(K151:R151)</f>
        <v>0</v>
      </c>
      <c r="K151" s="1664"/>
      <c r="L151" s="1664"/>
      <c r="M151" s="1656"/>
      <c r="N151" s="1656"/>
      <c r="O151" s="1656"/>
      <c r="P151" s="1656"/>
      <c r="Q151" s="1656"/>
      <c r="R151" s="1657"/>
      <c r="S151" s="1658"/>
      <c r="T151" s="1658"/>
      <c r="U151" s="1658"/>
      <c r="V151" s="1658"/>
      <c r="W151" s="1658"/>
      <c r="X151" s="1658"/>
      <c r="Y151" s="1658"/>
      <c r="Z151" s="1658"/>
      <c r="AA151" s="1658"/>
      <c r="AB151" s="1658"/>
      <c r="AC151" s="1658"/>
      <c r="AD151" s="1658"/>
    </row>
    <row r="152" spans="1:30" s="1659" customFormat="1" ht="19.5" customHeight="1">
      <c r="A152" s="1470">
        <v>145</v>
      </c>
      <c r="B152" s="1651"/>
      <c r="C152" s="1624">
        <v>68</v>
      </c>
      <c r="D152" s="1924" t="s">
        <v>243</v>
      </c>
      <c r="E152" s="1924"/>
      <c r="F152" s="1652"/>
      <c r="G152" s="1653"/>
      <c r="H152" s="1653"/>
      <c r="I152" s="1667">
        <v>2172</v>
      </c>
      <c r="J152" s="1668"/>
      <c r="K152" s="1656"/>
      <c r="L152" s="1656"/>
      <c r="M152" s="1656"/>
      <c r="N152" s="1656"/>
      <c r="O152" s="1656"/>
      <c r="P152" s="1656"/>
      <c r="Q152" s="1656"/>
      <c r="R152" s="1657"/>
      <c r="S152" s="1658"/>
      <c r="T152" s="1658"/>
      <c r="U152" s="1658"/>
      <c r="V152" s="1658"/>
      <c r="W152" s="1658"/>
      <c r="X152" s="1658"/>
      <c r="Y152" s="1658"/>
      <c r="Z152" s="1658"/>
      <c r="AA152" s="1658"/>
      <c r="AB152" s="1658"/>
      <c r="AC152" s="1658"/>
      <c r="AD152" s="1658"/>
    </row>
    <row r="153" spans="1:30" s="1659" customFormat="1" ht="19.5" customHeight="1">
      <c r="A153" s="1470">
        <v>146</v>
      </c>
      <c r="B153" s="1651"/>
      <c r="C153" s="1624"/>
      <c r="D153" s="1660"/>
      <c r="E153" s="1628" t="s">
        <v>198</v>
      </c>
      <c r="F153" s="1652"/>
      <c r="G153" s="1653"/>
      <c r="H153" s="1653"/>
      <c r="I153" s="1667"/>
      <c r="J153" s="1509">
        <f>SUM(K153:R153)</f>
        <v>21</v>
      </c>
      <c r="K153" s="1656">
        <v>19</v>
      </c>
      <c r="L153" s="1656">
        <v>2</v>
      </c>
      <c r="M153" s="1656"/>
      <c r="N153" s="1656"/>
      <c r="O153" s="1656"/>
      <c r="P153" s="1656"/>
      <c r="Q153" s="1656"/>
      <c r="R153" s="1657"/>
      <c r="S153" s="1658"/>
      <c r="T153" s="1658"/>
      <c r="U153" s="1658"/>
      <c r="V153" s="1658"/>
      <c r="W153" s="1658"/>
      <c r="X153" s="1658"/>
      <c r="Y153" s="1658"/>
      <c r="Z153" s="1658"/>
      <c r="AA153" s="1658"/>
      <c r="AB153" s="1658"/>
      <c r="AC153" s="1658"/>
      <c r="AD153" s="1658"/>
    </row>
    <row r="154" spans="1:30" s="1659" customFormat="1" ht="19.5" customHeight="1">
      <c r="A154" s="1470">
        <v>147</v>
      </c>
      <c r="B154" s="1651"/>
      <c r="C154" s="1624"/>
      <c r="D154" s="1660"/>
      <c r="E154" s="163" t="s">
        <v>765</v>
      </c>
      <c r="F154" s="1652"/>
      <c r="G154" s="1653"/>
      <c r="H154" s="1653"/>
      <c r="I154" s="1667"/>
      <c r="J154" s="1508">
        <f>SUM(K154:R154)</f>
        <v>0</v>
      </c>
      <c r="K154" s="1661">
        <v>0</v>
      </c>
      <c r="L154" s="1661">
        <v>0</v>
      </c>
      <c r="M154" s="1656"/>
      <c r="N154" s="1656"/>
      <c r="O154" s="1656"/>
      <c r="P154" s="1656"/>
      <c r="Q154" s="1656"/>
      <c r="R154" s="1657"/>
      <c r="S154" s="1658"/>
      <c r="T154" s="1658"/>
      <c r="U154" s="1658"/>
      <c r="V154" s="1658"/>
      <c r="W154" s="1658"/>
      <c r="X154" s="1658"/>
      <c r="Y154" s="1658"/>
      <c r="Z154" s="1658"/>
      <c r="AA154" s="1658"/>
      <c r="AB154" s="1658"/>
      <c r="AC154" s="1658"/>
      <c r="AD154" s="1658"/>
    </row>
    <row r="155" spans="1:30" s="1659" customFormat="1" ht="19.5" customHeight="1">
      <c r="A155" s="1470">
        <v>148</v>
      </c>
      <c r="B155" s="1651"/>
      <c r="C155" s="1624"/>
      <c r="D155" s="1660"/>
      <c r="E155" s="165" t="s">
        <v>1021</v>
      </c>
      <c r="F155" s="1652"/>
      <c r="G155" s="1653"/>
      <c r="H155" s="1653"/>
      <c r="I155" s="1667"/>
      <c r="J155" s="1501">
        <f>SUM(K155:R155)</f>
        <v>0</v>
      </c>
      <c r="K155" s="1669"/>
      <c r="L155" s="1669"/>
      <c r="M155" s="1656"/>
      <c r="N155" s="1656"/>
      <c r="O155" s="1656"/>
      <c r="P155" s="1656"/>
      <c r="Q155" s="1656"/>
      <c r="R155" s="1657"/>
      <c r="S155" s="1658"/>
      <c r="T155" s="1658"/>
      <c r="U155" s="1658"/>
      <c r="V155" s="1658"/>
      <c r="W155" s="1658"/>
      <c r="X155" s="1658"/>
      <c r="Y155" s="1658"/>
      <c r="Z155" s="1658"/>
      <c r="AA155" s="1658"/>
      <c r="AB155" s="1658"/>
      <c r="AC155" s="1658"/>
      <c r="AD155" s="1658"/>
    </row>
    <row r="156" spans="1:30" s="1659" customFormat="1" ht="19.5" customHeight="1">
      <c r="A156" s="1470">
        <v>149</v>
      </c>
      <c r="B156" s="1651"/>
      <c r="C156" s="1624">
        <v>71</v>
      </c>
      <c r="D156" s="1924" t="s">
        <v>244</v>
      </c>
      <c r="E156" s="1924"/>
      <c r="F156" s="1652"/>
      <c r="G156" s="1653"/>
      <c r="H156" s="1653"/>
      <c r="I156" s="1667">
        <v>7233</v>
      </c>
      <c r="J156" s="1668"/>
      <c r="K156" s="1656"/>
      <c r="L156" s="1656"/>
      <c r="M156" s="1656"/>
      <c r="N156" s="1656"/>
      <c r="O156" s="1656"/>
      <c r="P156" s="1656"/>
      <c r="Q156" s="1656"/>
      <c r="R156" s="1657"/>
      <c r="S156" s="1658"/>
      <c r="T156" s="1658"/>
      <c r="U156" s="1658"/>
      <c r="V156" s="1658"/>
      <c r="W156" s="1658"/>
      <c r="X156" s="1658"/>
      <c r="Y156" s="1658"/>
      <c r="Z156" s="1658"/>
      <c r="AA156" s="1658"/>
      <c r="AB156" s="1658"/>
      <c r="AC156" s="1658"/>
      <c r="AD156" s="1658"/>
    </row>
    <row r="157" spans="1:30" s="1659" customFormat="1" ht="19.5" customHeight="1">
      <c r="A157" s="1470">
        <v>150</v>
      </c>
      <c r="B157" s="1651"/>
      <c r="C157" s="1663"/>
      <c r="D157" s="1660"/>
      <c r="E157" s="1628" t="s">
        <v>198</v>
      </c>
      <c r="F157" s="1652"/>
      <c r="G157" s="1653"/>
      <c r="H157" s="1653"/>
      <c r="I157" s="1667"/>
      <c r="J157" s="1509">
        <f>SUM(K157:R157)</f>
        <v>30</v>
      </c>
      <c r="K157" s="1656">
        <v>26</v>
      </c>
      <c r="L157" s="1656">
        <v>4</v>
      </c>
      <c r="M157" s="1656"/>
      <c r="N157" s="1656"/>
      <c r="O157" s="1656"/>
      <c r="P157" s="1656"/>
      <c r="Q157" s="1656"/>
      <c r="R157" s="1657"/>
      <c r="S157" s="1658"/>
      <c r="T157" s="1658"/>
      <c r="U157" s="1658"/>
      <c r="V157" s="1658"/>
      <c r="W157" s="1658"/>
      <c r="X157" s="1658"/>
      <c r="Y157" s="1658"/>
      <c r="Z157" s="1658"/>
      <c r="AA157" s="1658"/>
      <c r="AB157" s="1658"/>
      <c r="AC157" s="1658"/>
      <c r="AD157" s="1658"/>
    </row>
    <row r="158" spans="1:30" s="1659" customFormat="1" ht="19.5" customHeight="1">
      <c r="A158" s="1470">
        <v>151</v>
      </c>
      <c r="B158" s="1651"/>
      <c r="C158" s="1663"/>
      <c r="D158" s="1660"/>
      <c r="E158" s="163" t="s">
        <v>765</v>
      </c>
      <c r="F158" s="1652"/>
      <c r="G158" s="1653"/>
      <c r="H158" s="1653"/>
      <c r="I158" s="1667"/>
      <c r="J158" s="1509">
        <f>SUM(K158:R158)</f>
        <v>0</v>
      </c>
      <c r="K158" s="1656">
        <v>0</v>
      </c>
      <c r="L158" s="1656">
        <v>0</v>
      </c>
      <c r="M158" s="1656"/>
      <c r="N158" s="1656"/>
      <c r="O158" s="1656"/>
      <c r="P158" s="1656"/>
      <c r="Q158" s="1656"/>
      <c r="R158" s="1657"/>
      <c r="S158" s="1658"/>
      <c r="T158" s="1658"/>
      <c r="U158" s="1658"/>
      <c r="V158" s="1658"/>
      <c r="W158" s="1658"/>
      <c r="X158" s="1658"/>
      <c r="Y158" s="1658"/>
      <c r="Z158" s="1658"/>
      <c r="AA158" s="1658"/>
      <c r="AB158" s="1658"/>
      <c r="AC158" s="1658"/>
      <c r="AD158" s="1658"/>
    </row>
    <row r="159" spans="1:30" s="1659" customFormat="1" ht="19.5" customHeight="1">
      <c r="A159" s="1470">
        <v>152</v>
      </c>
      <c r="B159" s="1651"/>
      <c r="C159" s="1663"/>
      <c r="D159" s="1660"/>
      <c r="E159" s="165" t="s">
        <v>1021</v>
      </c>
      <c r="F159" s="1652"/>
      <c r="G159" s="1653"/>
      <c r="H159" s="1653"/>
      <c r="I159" s="1667"/>
      <c r="J159" s="1501">
        <f>SUM(K159:R159)</f>
        <v>0</v>
      </c>
      <c r="K159" s="1664"/>
      <c r="L159" s="1664"/>
      <c r="M159" s="1656"/>
      <c r="N159" s="1656"/>
      <c r="O159" s="1656"/>
      <c r="P159" s="1656"/>
      <c r="Q159" s="1656"/>
      <c r="R159" s="1657"/>
      <c r="S159" s="1658"/>
      <c r="T159" s="1658"/>
      <c r="U159" s="1658"/>
      <c r="V159" s="1658"/>
      <c r="W159" s="1658"/>
      <c r="X159" s="1658"/>
      <c r="Y159" s="1658"/>
      <c r="Z159" s="1658"/>
      <c r="AA159" s="1658"/>
      <c r="AB159" s="1658"/>
      <c r="AC159" s="1658"/>
      <c r="AD159" s="1658"/>
    </row>
    <row r="160" spans="1:30" s="1659" customFormat="1" ht="19.5" customHeight="1">
      <c r="A160" s="1470">
        <v>153</v>
      </c>
      <c r="B160" s="1651"/>
      <c r="C160" s="1624">
        <v>73</v>
      </c>
      <c r="D160" s="1924" t="s">
        <v>245</v>
      </c>
      <c r="E160" s="1924"/>
      <c r="F160" s="1652"/>
      <c r="G160" s="1653"/>
      <c r="H160" s="1653"/>
      <c r="I160" s="1667">
        <v>2010</v>
      </c>
      <c r="J160" s="1668"/>
      <c r="K160" s="1656"/>
      <c r="L160" s="1656"/>
      <c r="M160" s="1656"/>
      <c r="N160" s="1656"/>
      <c r="O160" s="1656"/>
      <c r="P160" s="1656"/>
      <c r="Q160" s="1656"/>
      <c r="R160" s="1657"/>
      <c r="S160" s="1658"/>
      <c r="T160" s="1658"/>
      <c r="U160" s="1658"/>
      <c r="V160" s="1658"/>
      <c r="W160" s="1658"/>
      <c r="X160" s="1658"/>
      <c r="Y160" s="1658"/>
      <c r="Z160" s="1658"/>
      <c r="AA160" s="1658"/>
      <c r="AB160" s="1658"/>
      <c r="AC160" s="1658"/>
      <c r="AD160" s="1658"/>
    </row>
    <row r="161" spans="1:30" s="1659" customFormat="1" ht="19.5" customHeight="1">
      <c r="A161" s="1470">
        <v>154</v>
      </c>
      <c r="B161" s="1651"/>
      <c r="C161" s="1663"/>
      <c r="D161" s="1660"/>
      <c r="E161" s="1628" t="s">
        <v>198</v>
      </c>
      <c r="F161" s="1652"/>
      <c r="G161" s="1653"/>
      <c r="H161" s="1653"/>
      <c r="I161" s="1667"/>
      <c r="J161" s="1509">
        <f>SUM(K161:R161)</f>
        <v>27</v>
      </c>
      <c r="K161" s="1656">
        <v>24</v>
      </c>
      <c r="L161" s="1656">
        <v>3</v>
      </c>
      <c r="M161" s="1656"/>
      <c r="N161" s="1656"/>
      <c r="O161" s="1656"/>
      <c r="P161" s="1656"/>
      <c r="Q161" s="1656"/>
      <c r="R161" s="1657"/>
      <c r="S161" s="1658"/>
      <c r="T161" s="1658"/>
      <c r="U161" s="1658"/>
      <c r="V161" s="1658"/>
      <c r="W161" s="1658"/>
      <c r="X161" s="1658"/>
      <c r="Y161" s="1658"/>
      <c r="Z161" s="1658"/>
      <c r="AA161" s="1658"/>
      <c r="AB161" s="1658"/>
      <c r="AC161" s="1658"/>
      <c r="AD161" s="1658"/>
    </row>
    <row r="162" spans="1:30" s="1659" customFormat="1" ht="19.5" customHeight="1">
      <c r="A162" s="1470">
        <v>155</v>
      </c>
      <c r="B162" s="1651"/>
      <c r="C162" s="1663"/>
      <c r="D162" s="1660"/>
      <c r="E162" s="163" t="s">
        <v>765</v>
      </c>
      <c r="F162" s="1652"/>
      <c r="G162" s="1653"/>
      <c r="H162" s="1653"/>
      <c r="I162" s="1667"/>
      <c r="J162" s="1508">
        <f>SUM(K162:R162)</f>
        <v>0</v>
      </c>
      <c r="K162" s="1661">
        <v>0</v>
      </c>
      <c r="L162" s="1661">
        <v>0</v>
      </c>
      <c r="M162" s="1656"/>
      <c r="N162" s="1656"/>
      <c r="O162" s="1656"/>
      <c r="P162" s="1656"/>
      <c r="Q162" s="1656"/>
      <c r="R162" s="1657"/>
      <c r="S162" s="1658"/>
      <c r="T162" s="1658"/>
      <c r="U162" s="1658"/>
      <c r="V162" s="1658"/>
      <c r="W162" s="1658"/>
      <c r="X162" s="1658"/>
      <c r="Y162" s="1658"/>
      <c r="Z162" s="1658"/>
      <c r="AA162" s="1658"/>
      <c r="AB162" s="1658"/>
      <c r="AC162" s="1658"/>
      <c r="AD162" s="1658"/>
    </row>
    <row r="163" spans="1:30" s="1659" customFormat="1" ht="19.5" customHeight="1">
      <c r="A163" s="1470">
        <v>156</v>
      </c>
      <c r="B163" s="1651"/>
      <c r="C163" s="1663"/>
      <c r="D163" s="1660"/>
      <c r="E163" s="165" t="s">
        <v>1021</v>
      </c>
      <c r="F163" s="1652"/>
      <c r="G163" s="1653"/>
      <c r="H163" s="1653"/>
      <c r="I163" s="1667"/>
      <c r="J163" s="1501">
        <f>SUM(K163:R163)</f>
        <v>0</v>
      </c>
      <c r="K163" s="1664"/>
      <c r="L163" s="1664"/>
      <c r="M163" s="1656"/>
      <c r="N163" s="1656"/>
      <c r="O163" s="1656"/>
      <c r="P163" s="1656"/>
      <c r="Q163" s="1656"/>
      <c r="R163" s="1657"/>
      <c r="S163" s="1658"/>
      <c r="T163" s="1658"/>
      <c r="U163" s="1658"/>
      <c r="V163" s="1658"/>
      <c r="W163" s="1658"/>
      <c r="X163" s="1658"/>
      <c r="Y163" s="1658"/>
      <c r="Z163" s="1658"/>
      <c r="AA163" s="1658"/>
      <c r="AB163" s="1658"/>
      <c r="AC163" s="1658"/>
      <c r="AD163" s="1658"/>
    </row>
    <row r="164" spans="1:30" s="1659" customFormat="1" ht="19.5" customHeight="1">
      <c r="A164" s="1470">
        <v>157</v>
      </c>
      <c r="B164" s="1651"/>
      <c r="C164" s="1624">
        <v>75</v>
      </c>
      <c r="D164" s="1924" t="s">
        <v>246</v>
      </c>
      <c r="E164" s="1924"/>
      <c r="F164" s="1652"/>
      <c r="G164" s="1653"/>
      <c r="H164" s="1653"/>
      <c r="I164" s="1667">
        <v>1819</v>
      </c>
      <c r="J164" s="1668"/>
      <c r="K164" s="1656"/>
      <c r="L164" s="1656"/>
      <c r="M164" s="1656"/>
      <c r="N164" s="1656"/>
      <c r="O164" s="1656"/>
      <c r="P164" s="1656"/>
      <c r="Q164" s="1656"/>
      <c r="R164" s="1657"/>
      <c r="S164" s="1658"/>
      <c r="T164" s="1658"/>
      <c r="U164" s="1658"/>
      <c r="V164" s="1658"/>
      <c r="W164" s="1658"/>
      <c r="X164" s="1658"/>
      <c r="Y164" s="1658"/>
      <c r="Z164" s="1658"/>
      <c r="AA164" s="1658"/>
      <c r="AB164" s="1658"/>
      <c r="AC164" s="1658"/>
      <c r="AD164" s="1658"/>
    </row>
    <row r="165" spans="1:30" s="1659" customFormat="1" ht="19.5" customHeight="1">
      <c r="A165" s="1470">
        <v>158</v>
      </c>
      <c r="B165" s="1651"/>
      <c r="C165" s="1663"/>
      <c r="D165" s="1660"/>
      <c r="E165" s="1628" t="s">
        <v>198</v>
      </c>
      <c r="F165" s="1652"/>
      <c r="G165" s="1653"/>
      <c r="H165" s="1653"/>
      <c r="I165" s="1667"/>
      <c r="J165" s="1509">
        <f>SUM(K165:R165)</f>
        <v>658</v>
      </c>
      <c r="K165" s="1656">
        <v>548</v>
      </c>
      <c r="L165" s="1656">
        <v>110</v>
      </c>
      <c r="M165" s="1656"/>
      <c r="N165" s="1656"/>
      <c r="O165" s="1656"/>
      <c r="P165" s="1656"/>
      <c r="Q165" s="1656"/>
      <c r="R165" s="1657"/>
      <c r="S165" s="1658"/>
      <c r="T165" s="1658"/>
      <c r="U165" s="1658"/>
      <c r="V165" s="1658"/>
      <c r="W165" s="1658"/>
      <c r="X165" s="1658"/>
      <c r="Y165" s="1658"/>
      <c r="Z165" s="1658"/>
      <c r="AA165" s="1658"/>
      <c r="AB165" s="1658"/>
      <c r="AC165" s="1658"/>
      <c r="AD165" s="1658"/>
    </row>
    <row r="166" spans="1:30" s="1659" customFormat="1" ht="19.5" customHeight="1">
      <c r="A166" s="1470">
        <v>159</v>
      </c>
      <c r="B166" s="1651"/>
      <c r="C166" s="1663"/>
      <c r="D166" s="1660"/>
      <c r="E166" s="163" t="s">
        <v>765</v>
      </c>
      <c r="F166" s="1652"/>
      <c r="G166" s="1653"/>
      <c r="H166" s="1653"/>
      <c r="I166" s="1667"/>
      <c r="J166" s="1508">
        <f>SUM(K166:R166)</f>
        <v>958</v>
      </c>
      <c r="K166" s="1661">
        <v>848</v>
      </c>
      <c r="L166" s="1661">
        <v>110</v>
      </c>
      <c r="M166" s="1656"/>
      <c r="N166" s="1656"/>
      <c r="O166" s="1656"/>
      <c r="P166" s="1656"/>
      <c r="Q166" s="1656"/>
      <c r="R166" s="1657"/>
      <c r="S166" s="1658"/>
      <c r="T166" s="1658"/>
      <c r="U166" s="1658"/>
      <c r="V166" s="1658"/>
      <c r="W166" s="1658"/>
      <c r="X166" s="1658"/>
      <c r="Y166" s="1658"/>
      <c r="Z166" s="1658"/>
      <c r="AA166" s="1658"/>
      <c r="AB166" s="1658"/>
      <c r="AC166" s="1658"/>
      <c r="AD166" s="1658"/>
    </row>
    <row r="167" spans="1:30" s="1659" customFormat="1" ht="19.5" customHeight="1">
      <c r="A167" s="1470">
        <v>160</v>
      </c>
      <c r="B167" s="1651"/>
      <c r="C167" s="1663"/>
      <c r="D167" s="1660"/>
      <c r="E167" s="165" t="s">
        <v>1021</v>
      </c>
      <c r="F167" s="1652"/>
      <c r="G167" s="1653"/>
      <c r="H167" s="1653"/>
      <c r="I167" s="1667"/>
      <c r="J167" s="1501">
        <f>SUM(K167:R167)</f>
        <v>958</v>
      </c>
      <c r="K167" s="1664">
        <v>848</v>
      </c>
      <c r="L167" s="1664">
        <v>110</v>
      </c>
      <c r="M167" s="1656"/>
      <c r="N167" s="1656"/>
      <c r="O167" s="1656"/>
      <c r="P167" s="1656"/>
      <c r="Q167" s="1656"/>
      <c r="R167" s="1657"/>
      <c r="S167" s="1658"/>
      <c r="T167" s="1658"/>
      <c r="U167" s="1658"/>
      <c r="V167" s="1658"/>
      <c r="W167" s="1658"/>
      <c r="X167" s="1658"/>
      <c r="Y167" s="1658"/>
      <c r="Z167" s="1658"/>
      <c r="AA167" s="1658"/>
      <c r="AB167" s="1658"/>
      <c r="AC167" s="1658"/>
      <c r="AD167" s="1658"/>
    </row>
    <row r="168" spans="1:30" s="1659" customFormat="1" ht="44.25" customHeight="1">
      <c r="A168" s="1470">
        <v>161</v>
      </c>
      <c r="B168" s="1651"/>
      <c r="C168" s="1665">
        <v>76</v>
      </c>
      <c r="D168" s="1925" t="s">
        <v>247</v>
      </c>
      <c r="E168" s="1925"/>
      <c r="F168" s="1652"/>
      <c r="G168" s="1653"/>
      <c r="H168" s="1653"/>
      <c r="I168" s="1654">
        <v>1366</v>
      </c>
      <c r="J168" s="1655"/>
      <c r="K168" s="1656"/>
      <c r="L168" s="1656"/>
      <c r="M168" s="1656"/>
      <c r="N168" s="1656"/>
      <c r="O168" s="1656"/>
      <c r="P168" s="1656"/>
      <c r="Q168" s="1656"/>
      <c r="R168" s="1657"/>
      <c r="S168" s="1658"/>
      <c r="T168" s="1658"/>
      <c r="U168" s="1658"/>
      <c r="V168" s="1658"/>
      <c r="W168" s="1658"/>
      <c r="X168" s="1658"/>
      <c r="Y168" s="1658"/>
      <c r="Z168" s="1658"/>
      <c r="AA168" s="1658"/>
      <c r="AB168" s="1658"/>
      <c r="AC168" s="1658"/>
      <c r="AD168" s="1658"/>
    </row>
    <row r="169" spans="1:30" s="1659" customFormat="1" ht="19.5" customHeight="1">
      <c r="A169" s="1470">
        <v>162</v>
      </c>
      <c r="B169" s="1651"/>
      <c r="C169" s="1624"/>
      <c r="D169" s="1660"/>
      <c r="E169" s="1628" t="s">
        <v>198</v>
      </c>
      <c r="F169" s="1652"/>
      <c r="G169" s="1653"/>
      <c r="H169" s="1653"/>
      <c r="I169" s="1654"/>
      <c r="J169" s="1495">
        <f>SUM(K169:R169)</f>
        <v>329</v>
      </c>
      <c r="K169" s="1656">
        <v>291</v>
      </c>
      <c r="L169" s="1656">
        <v>38</v>
      </c>
      <c r="M169" s="1656"/>
      <c r="N169" s="1656"/>
      <c r="O169" s="1656"/>
      <c r="P169" s="1656"/>
      <c r="Q169" s="1656"/>
      <c r="R169" s="1657"/>
      <c r="S169" s="1658"/>
      <c r="T169" s="1658"/>
      <c r="U169" s="1658"/>
      <c r="V169" s="1658"/>
      <c r="W169" s="1658"/>
      <c r="X169" s="1658"/>
      <c r="Y169" s="1658"/>
      <c r="Z169" s="1658"/>
      <c r="AA169" s="1658"/>
      <c r="AB169" s="1658"/>
      <c r="AC169" s="1658"/>
      <c r="AD169" s="1658"/>
    </row>
    <row r="170" spans="1:30" s="1659" customFormat="1" ht="19.5" customHeight="1">
      <c r="A170" s="1470">
        <v>163</v>
      </c>
      <c r="B170" s="1651"/>
      <c r="C170" s="1624"/>
      <c r="D170" s="1660"/>
      <c r="E170" s="163" t="s">
        <v>765</v>
      </c>
      <c r="F170" s="1652"/>
      <c r="G170" s="1653"/>
      <c r="H170" s="1653"/>
      <c r="I170" s="1654"/>
      <c r="J170" s="1488">
        <f>SUM(K170:R170)</f>
        <v>3329</v>
      </c>
      <c r="K170" s="1661">
        <v>2946</v>
      </c>
      <c r="L170" s="1661">
        <v>383</v>
      </c>
      <c r="M170" s="1656"/>
      <c r="N170" s="1656"/>
      <c r="O170" s="1656"/>
      <c r="P170" s="1656"/>
      <c r="Q170" s="1656"/>
      <c r="R170" s="1657"/>
      <c r="S170" s="1658"/>
      <c r="T170" s="1658"/>
      <c r="U170" s="1658"/>
      <c r="V170" s="1658"/>
      <c r="W170" s="1658"/>
      <c r="X170" s="1658"/>
      <c r="Y170" s="1658"/>
      <c r="Z170" s="1658"/>
      <c r="AA170" s="1658"/>
      <c r="AB170" s="1658"/>
      <c r="AC170" s="1658"/>
      <c r="AD170" s="1658"/>
    </row>
    <row r="171" spans="1:30" s="1659" customFormat="1" ht="19.5" customHeight="1">
      <c r="A171" s="1470">
        <v>164</v>
      </c>
      <c r="B171" s="1651"/>
      <c r="C171" s="1624"/>
      <c r="D171" s="1660"/>
      <c r="E171" s="165" t="s">
        <v>1021</v>
      </c>
      <c r="F171" s="1652"/>
      <c r="G171" s="1653"/>
      <c r="H171" s="1653"/>
      <c r="I171" s="1662"/>
      <c r="J171" s="1501">
        <f>SUM(K171:R171)</f>
        <v>2981</v>
      </c>
      <c r="K171" s="1664">
        <v>2638</v>
      </c>
      <c r="L171" s="1664">
        <v>343</v>
      </c>
      <c r="M171" s="1656"/>
      <c r="N171" s="1656"/>
      <c r="O171" s="1656"/>
      <c r="P171" s="1656"/>
      <c r="Q171" s="1656"/>
      <c r="R171" s="1657"/>
      <c r="S171" s="1658"/>
      <c r="T171" s="1658"/>
      <c r="U171" s="1658"/>
      <c r="V171" s="1658"/>
      <c r="W171" s="1658"/>
      <c r="X171" s="1658"/>
      <c r="Y171" s="1658"/>
      <c r="Z171" s="1658"/>
      <c r="AA171" s="1658"/>
      <c r="AB171" s="1658"/>
      <c r="AC171" s="1658"/>
      <c r="AD171" s="1658"/>
    </row>
    <row r="172" spans="1:30" s="1659" customFormat="1" ht="60" customHeight="1">
      <c r="A172" s="1470">
        <v>165</v>
      </c>
      <c r="B172" s="1651"/>
      <c r="C172" s="1665">
        <v>77</v>
      </c>
      <c r="D172" s="1925" t="s">
        <v>248</v>
      </c>
      <c r="E172" s="1925"/>
      <c r="F172" s="1652"/>
      <c r="G172" s="1653"/>
      <c r="H172" s="1653"/>
      <c r="I172" s="1654">
        <v>1302</v>
      </c>
      <c r="J172" s="1655"/>
      <c r="K172" s="1656"/>
      <c r="L172" s="1656"/>
      <c r="M172" s="1656"/>
      <c r="N172" s="1656"/>
      <c r="O172" s="1656"/>
      <c r="P172" s="1656"/>
      <c r="Q172" s="1656"/>
      <c r="R172" s="1657"/>
      <c r="S172" s="1658"/>
      <c r="T172" s="1658"/>
      <c r="U172" s="1658"/>
      <c r="V172" s="1658"/>
      <c r="W172" s="1658"/>
      <c r="X172" s="1658"/>
      <c r="Y172" s="1658"/>
      <c r="Z172" s="1658"/>
      <c r="AA172" s="1658"/>
      <c r="AB172" s="1658"/>
      <c r="AC172" s="1658"/>
      <c r="AD172" s="1658"/>
    </row>
    <row r="173" spans="1:30" s="1659" customFormat="1" ht="19.5" customHeight="1">
      <c r="A173" s="1470">
        <v>166</v>
      </c>
      <c r="B173" s="1651"/>
      <c r="C173" s="1663"/>
      <c r="D173" s="1660"/>
      <c r="E173" s="1628" t="s">
        <v>198</v>
      </c>
      <c r="F173" s="1652"/>
      <c r="G173" s="1653"/>
      <c r="H173" s="1653"/>
      <c r="I173" s="1654"/>
      <c r="J173" s="1495">
        <f>SUM(K173:R173)</f>
        <v>258</v>
      </c>
      <c r="K173" s="1656">
        <v>228</v>
      </c>
      <c r="L173" s="1656">
        <v>30</v>
      </c>
      <c r="M173" s="1656"/>
      <c r="N173" s="1656"/>
      <c r="O173" s="1656"/>
      <c r="P173" s="1656"/>
      <c r="Q173" s="1656"/>
      <c r="R173" s="1657"/>
      <c r="S173" s="1658"/>
      <c r="T173" s="1658"/>
      <c r="U173" s="1658"/>
      <c r="V173" s="1658"/>
      <c r="W173" s="1658"/>
      <c r="X173" s="1658"/>
      <c r="Y173" s="1658"/>
      <c r="Z173" s="1658"/>
      <c r="AA173" s="1658"/>
      <c r="AB173" s="1658"/>
      <c r="AC173" s="1658"/>
      <c r="AD173" s="1658"/>
    </row>
    <row r="174" spans="1:30" s="1659" customFormat="1" ht="19.5" customHeight="1">
      <c r="A174" s="1470">
        <v>167</v>
      </c>
      <c r="B174" s="1651"/>
      <c r="C174" s="1663"/>
      <c r="D174" s="1660"/>
      <c r="E174" s="163" t="s">
        <v>765</v>
      </c>
      <c r="F174" s="1652"/>
      <c r="G174" s="1653"/>
      <c r="H174" s="1653"/>
      <c r="I174" s="1654"/>
      <c r="J174" s="1488">
        <f>SUM(K174:R174)</f>
        <v>4258</v>
      </c>
      <c r="K174" s="1661">
        <v>3768</v>
      </c>
      <c r="L174" s="1661">
        <v>490</v>
      </c>
      <c r="M174" s="1656"/>
      <c r="N174" s="1656"/>
      <c r="O174" s="1656"/>
      <c r="P174" s="1656"/>
      <c r="Q174" s="1656"/>
      <c r="R174" s="1657"/>
      <c r="S174" s="1658"/>
      <c r="T174" s="1658"/>
      <c r="U174" s="1658"/>
      <c r="V174" s="1658"/>
      <c r="W174" s="1658"/>
      <c r="X174" s="1658"/>
      <c r="Y174" s="1658"/>
      <c r="Z174" s="1658"/>
      <c r="AA174" s="1658"/>
      <c r="AB174" s="1658"/>
      <c r="AC174" s="1658"/>
      <c r="AD174" s="1658"/>
    </row>
    <row r="175" spans="1:30" s="1659" customFormat="1" ht="19.5" customHeight="1">
      <c r="A175" s="1470">
        <v>168</v>
      </c>
      <c r="B175" s="1651"/>
      <c r="C175" s="1663"/>
      <c r="D175" s="1660"/>
      <c r="E175" s="165" t="s">
        <v>1021</v>
      </c>
      <c r="F175" s="1652"/>
      <c r="G175" s="1653"/>
      <c r="H175" s="1653"/>
      <c r="I175" s="1662"/>
      <c r="J175" s="1501">
        <f>SUM(K175:R175)</f>
        <v>3757</v>
      </c>
      <c r="K175" s="1650">
        <v>3325</v>
      </c>
      <c r="L175" s="1650">
        <v>432</v>
      </c>
      <c r="M175" s="1656"/>
      <c r="N175" s="1656"/>
      <c r="O175" s="1656"/>
      <c r="P175" s="1656"/>
      <c r="Q175" s="1656"/>
      <c r="R175" s="1657"/>
      <c r="S175" s="1658"/>
      <c r="T175" s="1658"/>
      <c r="U175" s="1658"/>
      <c r="V175" s="1658"/>
      <c r="W175" s="1658"/>
      <c r="X175" s="1658"/>
      <c r="Y175" s="1658"/>
      <c r="Z175" s="1658"/>
      <c r="AA175" s="1658"/>
      <c r="AB175" s="1658"/>
      <c r="AC175" s="1658"/>
      <c r="AD175" s="1658"/>
    </row>
    <row r="176" spans="1:30" s="1659" customFormat="1" ht="19.5" customHeight="1">
      <c r="A176" s="1470">
        <v>169</v>
      </c>
      <c r="B176" s="1651"/>
      <c r="C176" s="1624">
        <v>79</v>
      </c>
      <c r="D176" s="1925" t="s">
        <v>249</v>
      </c>
      <c r="E176" s="1925"/>
      <c r="F176" s="1652"/>
      <c r="G176" s="1653"/>
      <c r="H176" s="1653"/>
      <c r="I176" s="1667">
        <v>771</v>
      </c>
      <c r="J176" s="1668"/>
      <c r="K176" s="1656"/>
      <c r="L176" s="1656"/>
      <c r="M176" s="1656"/>
      <c r="N176" s="1656"/>
      <c r="O176" s="1656"/>
      <c r="P176" s="1656"/>
      <c r="Q176" s="1656"/>
      <c r="R176" s="1657"/>
      <c r="S176" s="1658"/>
      <c r="T176" s="1658"/>
      <c r="U176" s="1658"/>
      <c r="V176" s="1658"/>
      <c r="W176" s="1658"/>
      <c r="X176" s="1658"/>
      <c r="Y176" s="1658"/>
      <c r="Z176" s="1658"/>
      <c r="AA176" s="1658"/>
      <c r="AB176" s="1658"/>
      <c r="AC176" s="1658"/>
      <c r="AD176" s="1658"/>
    </row>
    <row r="177" spans="1:30" s="1659" customFormat="1" ht="19.5" customHeight="1">
      <c r="A177" s="1470">
        <v>170</v>
      </c>
      <c r="B177" s="1651"/>
      <c r="C177" s="1663"/>
      <c r="D177" s="1660"/>
      <c r="E177" s="1628" t="s">
        <v>198</v>
      </c>
      <c r="F177" s="1652"/>
      <c r="G177" s="1653"/>
      <c r="H177" s="1653"/>
      <c r="I177" s="1667"/>
      <c r="J177" s="1509">
        <f>SUM(K177:R177)</f>
        <v>1082</v>
      </c>
      <c r="K177" s="1656">
        <v>958</v>
      </c>
      <c r="L177" s="1656">
        <v>124</v>
      </c>
      <c r="M177" s="1656"/>
      <c r="N177" s="1656"/>
      <c r="O177" s="1656"/>
      <c r="P177" s="1656"/>
      <c r="Q177" s="1656"/>
      <c r="R177" s="1657"/>
      <c r="S177" s="1658"/>
      <c r="T177" s="1658"/>
      <c r="U177" s="1658"/>
      <c r="V177" s="1658"/>
      <c r="W177" s="1658"/>
      <c r="X177" s="1658"/>
      <c r="Y177" s="1658"/>
      <c r="Z177" s="1658"/>
      <c r="AA177" s="1658"/>
      <c r="AB177" s="1658"/>
      <c r="AC177" s="1658"/>
      <c r="AD177" s="1658"/>
    </row>
    <row r="178" spans="1:30" s="1659" customFormat="1" ht="19.5" customHeight="1">
      <c r="A178" s="1470">
        <v>171</v>
      </c>
      <c r="B178" s="1651"/>
      <c r="C178" s="1663"/>
      <c r="D178" s="1660"/>
      <c r="E178" s="163" t="s">
        <v>765</v>
      </c>
      <c r="F178" s="1652"/>
      <c r="G178" s="1653"/>
      <c r="H178" s="1653"/>
      <c r="I178" s="1667"/>
      <c r="J178" s="1508">
        <f>SUM(K178:R178)</f>
        <v>1082</v>
      </c>
      <c r="K178" s="1661">
        <v>958</v>
      </c>
      <c r="L178" s="1661">
        <v>124</v>
      </c>
      <c r="M178" s="1656"/>
      <c r="N178" s="1656"/>
      <c r="O178" s="1656"/>
      <c r="P178" s="1656"/>
      <c r="Q178" s="1656"/>
      <c r="R178" s="1657"/>
      <c r="S178" s="1658"/>
      <c r="T178" s="1658"/>
      <c r="U178" s="1658"/>
      <c r="V178" s="1658"/>
      <c r="W178" s="1658"/>
      <c r="X178" s="1658"/>
      <c r="Y178" s="1658"/>
      <c r="Z178" s="1658"/>
      <c r="AA178" s="1658"/>
      <c r="AB178" s="1658"/>
      <c r="AC178" s="1658"/>
      <c r="AD178" s="1658"/>
    </row>
    <row r="179" spans="1:30" s="1659" customFormat="1" ht="19.5" customHeight="1">
      <c r="A179" s="1470">
        <v>172</v>
      </c>
      <c r="B179" s="1651"/>
      <c r="C179" s="1663"/>
      <c r="D179" s="1660"/>
      <c r="E179" s="165" t="s">
        <v>1022</v>
      </c>
      <c r="F179" s="1652"/>
      <c r="G179" s="1653"/>
      <c r="H179" s="1653"/>
      <c r="I179" s="1667"/>
      <c r="J179" s="1501">
        <f>SUM(K179:R179)</f>
        <v>1080</v>
      </c>
      <c r="K179" s="1664">
        <v>956</v>
      </c>
      <c r="L179" s="1664">
        <v>124</v>
      </c>
      <c r="M179" s="1656"/>
      <c r="N179" s="1656"/>
      <c r="O179" s="1656"/>
      <c r="P179" s="1656"/>
      <c r="Q179" s="1656"/>
      <c r="R179" s="1657"/>
      <c r="S179" s="1658"/>
      <c r="T179" s="1658"/>
      <c r="U179" s="1658"/>
      <c r="V179" s="1658"/>
      <c r="W179" s="1658"/>
      <c r="X179" s="1658"/>
      <c r="Y179" s="1658"/>
      <c r="Z179" s="1658"/>
      <c r="AA179" s="1658"/>
      <c r="AB179" s="1658"/>
      <c r="AC179" s="1658"/>
      <c r="AD179" s="1658"/>
    </row>
    <row r="180" spans="1:30" s="1659" customFormat="1" ht="30" customHeight="1">
      <c r="A180" s="1470">
        <v>173</v>
      </c>
      <c r="B180" s="1651"/>
      <c r="C180" s="1665">
        <v>80</v>
      </c>
      <c r="D180" s="1925" t="s">
        <v>250</v>
      </c>
      <c r="E180" s="1925"/>
      <c r="F180" s="1652"/>
      <c r="G180" s="1653"/>
      <c r="H180" s="1653"/>
      <c r="I180" s="1667"/>
      <c r="J180" s="1668"/>
      <c r="K180" s="1656"/>
      <c r="L180" s="1656"/>
      <c r="M180" s="1656"/>
      <c r="N180" s="1656"/>
      <c r="O180" s="1656"/>
      <c r="P180" s="1656"/>
      <c r="Q180" s="1656"/>
      <c r="R180" s="1657"/>
      <c r="S180" s="1658"/>
      <c r="T180" s="1658"/>
      <c r="U180" s="1658"/>
      <c r="V180" s="1658"/>
      <c r="W180" s="1658"/>
      <c r="X180" s="1658"/>
      <c r="Y180" s="1658"/>
      <c r="Z180" s="1658"/>
      <c r="AA180" s="1658"/>
      <c r="AB180" s="1658"/>
      <c r="AC180" s="1658"/>
      <c r="AD180" s="1658"/>
    </row>
    <row r="181" spans="1:30" s="1659" customFormat="1" ht="19.5" customHeight="1">
      <c r="A181" s="1470">
        <v>174</v>
      </c>
      <c r="B181" s="1651"/>
      <c r="C181" s="1663"/>
      <c r="D181" s="1660"/>
      <c r="E181" s="1628" t="s">
        <v>198</v>
      </c>
      <c r="F181" s="1652"/>
      <c r="G181" s="1653"/>
      <c r="H181" s="1653"/>
      <c r="I181" s="1654"/>
      <c r="J181" s="1495">
        <f>SUM(K181:R181)</f>
        <v>4550</v>
      </c>
      <c r="K181" s="1656"/>
      <c r="L181" s="1656"/>
      <c r="M181" s="1656"/>
      <c r="N181" s="1656"/>
      <c r="O181" s="1656"/>
      <c r="P181" s="1656">
        <v>4550</v>
      </c>
      <c r="Q181" s="1656"/>
      <c r="R181" s="1657"/>
      <c r="S181" s="1658"/>
      <c r="T181" s="1658"/>
      <c r="U181" s="1658"/>
      <c r="V181" s="1658"/>
      <c r="W181" s="1658"/>
      <c r="X181" s="1658"/>
      <c r="Y181" s="1658"/>
      <c r="Z181" s="1658"/>
      <c r="AA181" s="1658"/>
      <c r="AB181" s="1658"/>
      <c r="AC181" s="1658"/>
      <c r="AD181" s="1658"/>
    </row>
    <row r="182" spans="1:30" s="1659" customFormat="1" ht="19.5" customHeight="1">
      <c r="A182" s="1470">
        <v>175</v>
      </c>
      <c r="B182" s="1651"/>
      <c r="C182" s="1663"/>
      <c r="D182" s="1660"/>
      <c r="E182" s="163" t="s">
        <v>765</v>
      </c>
      <c r="F182" s="1652"/>
      <c r="G182" s="1653"/>
      <c r="H182" s="1653"/>
      <c r="I182" s="1654"/>
      <c r="J182" s="1488">
        <f>SUM(K182:R182)</f>
        <v>39173</v>
      </c>
      <c r="K182" s="1661">
        <v>25281</v>
      </c>
      <c r="L182" s="1661">
        <v>3653</v>
      </c>
      <c r="M182" s="1661">
        <v>5946</v>
      </c>
      <c r="N182" s="1661"/>
      <c r="O182" s="1661"/>
      <c r="P182" s="1661">
        <v>4293</v>
      </c>
      <c r="Q182" s="1656"/>
      <c r="R182" s="1657"/>
      <c r="S182" s="1658"/>
      <c r="T182" s="1658"/>
      <c r="U182" s="1658"/>
      <c r="V182" s="1658"/>
      <c r="W182" s="1658"/>
      <c r="X182" s="1658"/>
      <c r="Y182" s="1658"/>
      <c r="Z182" s="1658"/>
      <c r="AA182" s="1658"/>
      <c r="AB182" s="1658"/>
      <c r="AC182" s="1658"/>
      <c r="AD182" s="1658"/>
    </row>
    <row r="183" spans="1:30" s="1659" customFormat="1" ht="19.5" customHeight="1">
      <c r="A183" s="1470">
        <v>176</v>
      </c>
      <c r="B183" s="1651"/>
      <c r="C183" s="1663"/>
      <c r="D183" s="1660"/>
      <c r="E183" s="165" t="s">
        <v>1021</v>
      </c>
      <c r="F183" s="1652"/>
      <c r="G183" s="1653"/>
      <c r="H183" s="1653"/>
      <c r="I183" s="1662"/>
      <c r="J183" s="1501">
        <f>SUM(K183:R183)</f>
        <v>39173</v>
      </c>
      <c r="K183" s="1650">
        <v>25281</v>
      </c>
      <c r="L183" s="1650">
        <v>3653</v>
      </c>
      <c r="M183" s="1650">
        <v>5946</v>
      </c>
      <c r="N183" s="1656"/>
      <c r="O183" s="1656"/>
      <c r="P183" s="1664">
        <v>4293</v>
      </c>
      <c r="Q183" s="1656"/>
      <c r="R183" s="1657"/>
      <c r="S183" s="1658"/>
      <c r="T183" s="1658"/>
      <c r="U183" s="1658"/>
      <c r="V183" s="1658"/>
      <c r="W183" s="1658"/>
      <c r="X183" s="1658"/>
      <c r="Y183" s="1658"/>
      <c r="Z183" s="1658"/>
      <c r="AA183" s="1658"/>
      <c r="AB183" s="1658"/>
      <c r="AC183" s="1658"/>
      <c r="AD183" s="1658"/>
    </row>
    <row r="184" spans="1:30" s="1659" customFormat="1" ht="19.5" customHeight="1">
      <c r="A184" s="1470">
        <v>177</v>
      </c>
      <c r="B184" s="1651"/>
      <c r="C184" s="1665">
        <v>81</v>
      </c>
      <c r="D184" s="1925" t="s">
        <v>251</v>
      </c>
      <c r="E184" s="1925"/>
      <c r="F184" s="1652"/>
      <c r="G184" s="1653"/>
      <c r="H184" s="1653"/>
      <c r="I184" s="1662"/>
      <c r="J184" s="1508"/>
      <c r="K184" s="1656"/>
      <c r="L184" s="1656"/>
      <c r="M184" s="1656"/>
      <c r="N184" s="1656"/>
      <c r="O184" s="1656"/>
      <c r="P184" s="1661"/>
      <c r="Q184" s="1656"/>
      <c r="R184" s="1657"/>
      <c r="S184" s="1658"/>
      <c r="T184" s="1658"/>
      <c r="U184" s="1658"/>
      <c r="V184" s="1658"/>
      <c r="W184" s="1658"/>
      <c r="X184" s="1658"/>
      <c r="Y184" s="1658"/>
      <c r="Z184" s="1658"/>
      <c r="AA184" s="1658"/>
      <c r="AB184" s="1658"/>
      <c r="AC184" s="1658"/>
      <c r="AD184" s="1658"/>
    </row>
    <row r="185" spans="1:30" s="1659" customFormat="1" ht="18" customHeight="1">
      <c r="A185" s="1470">
        <v>178</v>
      </c>
      <c r="B185" s="1651"/>
      <c r="C185" s="1670"/>
      <c r="D185" s="1671"/>
      <c r="E185" s="163" t="s">
        <v>765</v>
      </c>
      <c r="F185" s="1652"/>
      <c r="G185" s="1653"/>
      <c r="H185" s="1653"/>
      <c r="I185" s="1667"/>
      <c r="J185" s="1508">
        <f>SUM(K185:R185)</f>
        <v>13217</v>
      </c>
      <c r="K185" s="1661">
        <v>11697</v>
      </c>
      <c r="L185" s="1661">
        <v>1520</v>
      </c>
      <c r="M185" s="1656"/>
      <c r="N185" s="1656"/>
      <c r="O185" s="1656"/>
      <c r="P185" s="1661"/>
      <c r="Q185" s="1656"/>
      <c r="R185" s="1657"/>
      <c r="S185" s="1658"/>
      <c r="T185" s="1658"/>
      <c r="U185" s="1658"/>
      <c r="V185" s="1658"/>
      <c r="W185" s="1658"/>
      <c r="X185" s="1658"/>
      <c r="Y185" s="1658"/>
      <c r="Z185" s="1658"/>
      <c r="AA185" s="1658"/>
      <c r="AB185" s="1658"/>
      <c r="AC185" s="1658"/>
      <c r="AD185" s="1658"/>
    </row>
    <row r="186" spans="1:30" s="1659" customFormat="1" ht="19.5" customHeight="1">
      <c r="A186" s="1470">
        <v>179</v>
      </c>
      <c r="B186" s="1651"/>
      <c r="C186" s="1663"/>
      <c r="D186" s="1660"/>
      <c r="E186" s="165" t="s">
        <v>1021</v>
      </c>
      <c r="F186" s="1652"/>
      <c r="G186" s="1653"/>
      <c r="H186" s="1653"/>
      <c r="I186" s="1667"/>
      <c r="J186" s="1501">
        <f>SUM(K186:R186)</f>
        <v>12196</v>
      </c>
      <c r="K186" s="1664">
        <v>10793</v>
      </c>
      <c r="L186" s="1664">
        <v>1403</v>
      </c>
      <c r="M186" s="1656"/>
      <c r="N186" s="1656"/>
      <c r="O186" s="1656"/>
      <c r="P186" s="1661"/>
      <c r="Q186" s="1656"/>
      <c r="R186" s="1657"/>
      <c r="S186" s="1658"/>
      <c r="T186" s="1658"/>
      <c r="U186" s="1658"/>
      <c r="V186" s="1658"/>
      <c r="W186" s="1658"/>
      <c r="X186" s="1658"/>
      <c r="Y186" s="1658"/>
      <c r="Z186" s="1658"/>
      <c r="AA186" s="1658"/>
      <c r="AB186" s="1658"/>
      <c r="AC186" s="1658"/>
      <c r="AD186" s="1658"/>
    </row>
    <row r="187" spans="1:30" s="1659" customFormat="1" ht="19.5" customHeight="1">
      <c r="A187" s="1470">
        <v>180</v>
      </c>
      <c r="B187" s="1651"/>
      <c r="C187" s="1665">
        <v>82</v>
      </c>
      <c r="D187" s="1925" t="s">
        <v>252</v>
      </c>
      <c r="E187" s="1925"/>
      <c r="F187" s="1652"/>
      <c r="G187" s="1653"/>
      <c r="H187" s="1653"/>
      <c r="I187" s="1667"/>
      <c r="J187" s="1508"/>
      <c r="K187" s="1656"/>
      <c r="L187" s="1656"/>
      <c r="M187" s="1656"/>
      <c r="N187" s="1656"/>
      <c r="O187" s="1656"/>
      <c r="P187" s="1661"/>
      <c r="Q187" s="1656"/>
      <c r="R187" s="1657"/>
      <c r="S187" s="1658"/>
      <c r="T187" s="1658"/>
      <c r="U187" s="1658"/>
      <c r="V187" s="1658"/>
      <c r="W187" s="1658"/>
      <c r="X187" s="1658"/>
      <c r="Y187" s="1658"/>
      <c r="Z187" s="1658"/>
      <c r="AA187" s="1658"/>
      <c r="AB187" s="1658"/>
      <c r="AC187" s="1658"/>
      <c r="AD187" s="1658"/>
    </row>
    <row r="188" spans="1:30" s="1659" customFormat="1" ht="18" customHeight="1">
      <c r="A188" s="1470">
        <v>181</v>
      </c>
      <c r="B188" s="1651"/>
      <c r="C188" s="1670"/>
      <c r="D188" s="1671"/>
      <c r="E188" s="163" t="s">
        <v>765</v>
      </c>
      <c r="F188" s="1652"/>
      <c r="G188" s="1653"/>
      <c r="H188" s="1653"/>
      <c r="I188" s="1667"/>
      <c r="J188" s="1508">
        <f>SUM(K188:R188)</f>
        <v>9270</v>
      </c>
      <c r="K188" s="1661">
        <v>8204</v>
      </c>
      <c r="L188" s="1661">
        <v>1066</v>
      </c>
      <c r="M188" s="1656"/>
      <c r="N188" s="1656"/>
      <c r="O188" s="1656"/>
      <c r="P188" s="1661"/>
      <c r="Q188" s="1656"/>
      <c r="R188" s="1657"/>
      <c r="S188" s="1658"/>
      <c r="T188" s="1658"/>
      <c r="U188" s="1658"/>
      <c r="V188" s="1658"/>
      <c r="W188" s="1658"/>
      <c r="X188" s="1658"/>
      <c r="Y188" s="1658"/>
      <c r="Z188" s="1658"/>
      <c r="AA188" s="1658"/>
      <c r="AB188" s="1658"/>
      <c r="AC188" s="1658"/>
      <c r="AD188" s="1658"/>
    </row>
    <row r="189" spans="1:30" s="1659" customFormat="1" ht="19.5" customHeight="1">
      <c r="A189" s="1470">
        <v>182</v>
      </c>
      <c r="B189" s="1651"/>
      <c r="C189" s="1663"/>
      <c r="D189" s="1660"/>
      <c r="E189" s="165" t="s">
        <v>1021</v>
      </c>
      <c r="F189" s="1652"/>
      <c r="G189" s="1653"/>
      <c r="H189" s="1653"/>
      <c r="I189" s="1667"/>
      <c r="J189" s="1501">
        <f>SUM(K189:R189)</f>
        <v>8206</v>
      </c>
      <c r="K189" s="1664">
        <v>7262</v>
      </c>
      <c r="L189" s="1664">
        <v>944</v>
      </c>
      <c r="M189" s="1656"/>
      <c r="N189" s="1656"/>
      <c r="O189" s="1656"/>
      <c r="P189" s="1661"/>
      <c r="Q189" s="1656"/>
      <c r="R189" s="1657"/>
      <c r="S189" s="1658"/>
      <c r="T189" s="1658"/>
      <c r="U189" s="1658"/>
      <c r="V189" s="1658"/>
      <c r="W189" s="1658"/>
      <c r="X189" s="1658"/>
      <c r="Y189" s="1658"/>
      <c r="Z189" s="1658"/>
      <c r="AA189" s="1658"/>
      <c r="AB189" s="1658"/>
      <c r="AC189" s="1658"/>
      <c r="AD189" s="1658"/>
    </row>
    <row r="190" spans="1:30" s="1659" customFormat="1" ht="19.5" customHeight="1">
      <c r="A190" s="1470">
        <v>183</v>
      </c>
      <c r="B190" s="1651"/>
      <c r="C190" s="1670">
        <v>83</v>
      </c>
      <c r="D190" s="1925" t="s">
        <v>253</v>
      </c>
      <c r="E190" s="1925"/>
      <c r="F190" s="1652"/>
      <c r="G190" s="1653"/>
      <c r="H190" s="1653"/>
      <c r="I190" s="1662"/>
      <c r="J190" s="1508"/>
      <c r="K190" s="1661"/>
      <c r="L190" s="1661"/>
      <c r="M190" s="1656"/>
      <c r="N190" s="1656"/>
      <c r="O190" s="1656"/>
      <c r="P190" s="1661"/>
      <c r="Q190" s="1656"/>
      <c r="R190" s="1657"/>
      <c r="S190" s="1658"/>
      <c r="T190" s="1658"/>
      <c r="U190" s="1658"/>
      <c r="V190" s="1658"/>
      <c r="W190" s="1658"/>
      <c r="X190" s="1658"/>
      <c r="Y190" s="1658"/>
      <c r="Z190" s="1658"/>
      <c r="AA190" s="1658"/>
      <c r="AB190" s="1658"/>
      <c r="AC190" s="1658"/>
      <c r="AD190" s="1658"/>
    </row>
    <row r="191" spans="1:30" s="1659" customFormat="1" ht="18" customHeight="1">
      <c r="A191" s="1470">
        <v>184</v>
      </c>
      <c r="B191" s="1651"/>
      <c r="C191" s="1670"/>
      <c r="D191" s="1671"/>
      <c r="E191" s="163" t="s">
        <v>765</v>
      </c>
      <c r="F191" s="1652"/>
      <c r="G191" s="1653"/>
      <c r="H191" s="1653"/>
      <c r="I191" s="1667"/>
      <c r="J191" s="1508">
        <f>SUM(K191:R191)</f>
        <v>50285</v>
      </c>
      <c r="K191" s="173">
        <v>44500</v>
      </c>
      <c r="L191" s="173">
        <v>5785</v>
      </c>
      <c r="M191" s="1656"/>
      <c r="N191" s="1656"/>
      <c r="O191" s="1656"/>
      <c r="P191" s="1661"/>
      <c r="Q191" s="1656"/>
      <c r="R191" s="1657"/>
      <c r="S191" s="1658"/>
      <c r="T191" s="1658"/>
      <c r="U191" s="1658"/>
      <c r="V191" s="1658"/>
      <c r="W191" s="1658"/>
      <c r="X191" s="1658"/>
      <c r="Y191" s="1658"/>
      <c r="Z191" s="1658"/>
      <c r="AA191" s="1658"/>
      <c r="AB191" s="1658"/>
      <c r="AC191" s="1658"/>
      <c r="AD191" s="1658"/>
    </row>
    <row r="192" spans="1:30" s="1659" customFormat="1" ht="18" customHeight="1">
      <c r="A192" s="1470">
        <v>185</v>
      </c>
      <c r="B192" s="1651"/>
      <c r="C192" s="1663"/>
      <c r="D192" s="1660"/>
      <c r="E192" s="165" t="s">
        <v>1021</v>
      </c>
      <c r="F192" s="1652"/>
      <c r="G192" s="1653"/>
      <c r="H192" s="1653"/>
      <c r="I192" s="1667"/>
      <c r="J192" s="1501">
        <f>SUM(K192:R192)</f>
        <v>50257</v>
      </c>
      <c r="K192" s="1650">
        <v>44475</v>
      </c>
      <c r="L192" s="1650">
        <v>5782</v>
      </c>
      <c r="M192" s="1656"/>
      <c r="N192" s="1656"/>
      <c r="O192" s="1656"/>
      <c r="P192" s="1661"/>
      <c r="Q192" s="1656"/>
      <c r="R192" s="1657"/>
      <c r="S192" s="1658"/>
      <c r="T192" s="1658"/>
      <c r="U192" s="1658"/>
      <c r="V192" s="1658"/>
      <c r="W192" s="1658"/>
      <c r="X192" s="1658"/>
      <c r="Y192" s="1658"/>
      <c r="Z192" s="1658"/>
      <c r="AA192" s="1658"/>
      <c r="AB192" s="1658"/>
      <c r="AC192" s="1658"/>
      <c r="AD192" s="1658"/>
    </row>
    <row r="193" spans="1:30" s="1513" customFormat="1" ht="18" customHeight="1">
      <c r="A193" s="1470">
        <v>186</v>
      </c>
      <c r="B193" s="1551"/>
      <c r="C193" s="1624">
        <v>13</v>
      </c>
      <c r="D193" s="1625" t="s">
        <v>254</v>
      </c>
      <c r="E193" s="1672"/>
      <c r="F193" s="1504"/>
      <c r="G193" s="1583">
        <v>2802</v>
      </c>
      <c r="H193" s="1583"/>
      <c r="I193" s="1584"/>
      <c r="J193" s="1488"/>
      <c r="K193" s="1673"/>
      <c r="L193" s="1673"/>
      <c r="M193" s="1674"/>
      <c r="N193" s="1674"/>
      <c r="O193" s="1674"/>
      <c r="P193" s="1674"/>
      <c r="Q193" s="1674"/>
      <c r="R193" s="1675"/>
      <c r="S193" s="1512"/>
      <c r="T193" s="1512"/>
      <c r="U193" s="1512"/>
      <c r="V193" s="1512"/>
      <c r="W193" s="1512"/>
      <c r="X193" s="1512"/>
      <c r="Y193" s="1512"/>
      <c r="Z193" s="1512"/>
      <c r="AA193" s="1512"/>
      <c r="AB193" s="1512"/>
      <c r="AC193" s="1512"/>
      <c r="AD193" s="1512"/>
    </row>
    <row r="194" spans="1:30" s="1513" customFormat="1" ht="19.5" customHeight="1">
      <c r="A194" s="1470">
        <v>187</v>
      </c>
      <c r="B194" s="1551"/>
      <c r="C194" s="1624">
        <v>19</v>
      </c>
      <c r="D194" s="1625" t="s">
        <v>255</v>
      </c>
      <c r="E194" s="1672"/>
      <c r="F194" s="1676"/>
      <c r="G194" s="1583">
        <v>5982</v>
      </c>
      <c r="H194" s="1583">
        <v>500</v>
      </c>
      <c r="I194" s="1584">
        <v>472</v>
      </c>
      <c r="J194" s="1488"/>
      <c r="K194" s="1674"/>
      <c r="L194" s="1674"/>
      <c r="M194" s="1674"/>
      <c r="N194" s="1674"/>
      <c r="O194" s="1674"/>
      <c r="P194" s="1674"/>
      <c r="Q194" s="1674"/>
      <c r="R194" s="1675"/>
      <c r="S194" s="1512"/>
      <c r="T194" s="1512"/>
      <c r="U194" s="1512"/>
      <c r="V194" s="1512"/>
      <c r="W194" s="1512"/>
      <c r="X194" s="1512"/>
      <c r="Y194" s="1512"/>
      <c r="Z194" s="1512"/>
      <c r="AA194" s="1512"/>
      <c r="AB194" s="1512"/>
      <c r="AC194" s="1512"/>
      <c r="AD194" s="1512"/>
    </row>
    <row r="195" spans="1:30" s="1513" customFormat="1" ht="19.5" customHeight="1">
      <c r="A195" s="1470">
        <v>188</v>
      </c>
      <c r="B195" s="1551"/>
      <c r="C195" s="1624">
        <v>20</v>
      </c>
      <c r="D195" s="1625" t="s">
        <v>256</v>
      </c>
      <c r="E195" s="1672"/>
      <c r="F195" s="1676"/>
      <c r="G195" s="1583">
        <v>30169</v>
      </c>
      <c r="H195" s="1583">
        <v>16544</v>
      </c>
      <c r="I195" s="1584">
        <v>16544</v>
      </c>
      <c r="J195" s="1488"/>
      <c r="K195" s="1674"/>
      <c r="L195" s="1674"/>
      <c r="M195" s="1674"/>
      <c r="N195" s="1674"/>
      <c r="O195" s="1674"/>
      <c r="P195" s="1674"/>
      <c r="Q195" s="1674"/>
      <c r="R195" s="1675"/>
      <c r="S195" s="1512"/>
      <c r="T195" s="1512"/>
      <c r="U195" s="1512"/>
      <c r="V195" s="1512"/>
      <c r="W195" s="1512"/>
      <c r="X195" s="1512"/>
      <c r="Y195" s="1512"/>
      <c r="Z195" s="1512"/>
      <c r="AA195" s="1512"/>
      <c r="AB195" s="1512"/>
      <c r="AC195" s="1512"/>
      <c r="AD195" s="1512"/>
    </row>
    <row r="196" spans="1:30" s="1506" customFormat="1" ht="30" customHeight="1">
      <c r="A196" s="1470">
        <v>189</v>
      </c>
      <c r="B196" s="1551"/>
      <c r="C196" s="1665">
        <v>21</v>
      </c>
      <c r="D196" s="1904" t="s">
        <v>257</v>
      </c>
      <c r="E196" s="1904"/>
      <c r="F196" s="1504"/>
      <c r="G196" s="1583">
        <v>6022</v>
      </c>
      <c r="H196" s="1583">
        <v>629</v>
      </c>
      <c r="I196" s="1584">
        <v>531</v>
      </c>
      <c r="J196" s="1488"/>
      <c r="K196" s="1677"/>
      <c r="L196" s="1677"/>
      <c r="M196" s="1674"/>
      <c r="N196" s="1674"/>
      <c r="O196" s="1674"/>
      <c r="P196" s="1674"/>
      <c r="Q196" s="1674"/>
      <c r="R196" s="1675"/>
      <c r="S196" s="1505"/>
      <c r="T196" s="1505"/>
      <c r="U196" s="1505"/>
      <c r="V196" s="1505"/>
      <c r="W196" s="1505"/>
      <c r="X196" s="1505"/>
      <c r="Y196" s="1505"/>
      <c r="Z196" s="1505"/>
      <c r="AA196" s="1505"/>
      <c r="AB196" s="1505"/>
      <c r="AC196" s="1505"/>
      <c r="AD196" s="1505"/>
    </row>
    <row r="197" spans="1:30" s="1513" customFormat="1" ht="19.5" customHeight="1">
      <c r="A197" s="1470">
        <v>190</v>
      </c>
      <c r="B197" s="1551"/>
      <c r="C197" s="1624">
        <v>22</v>
      </c>
      <c r="D197" s="1904" t="s">
        <v>258</v>
      </c>
      <c r="E197" s="1904"/>
      <c r="F197" s="1676"/>
      <c r="G197" s="1583">
        <v>7197</v>
      </c>
      <c r="H197" s="1583">
        <v>128</v>
      </c>
      <c r="I197" s="1584"/>
      <c r="J197" s="1488"/>
      <c r="K197" s="1673"/>
      <c r="L197" s="1673"/>
      <c r="M197" s="1674"/>
      <c r="N197" s="1674"/>
      <c r="O197" s="1674"/>
      <c r="P197" s="1674"/>
      <c r="Q197" s="1674"/>
      <c r="R197" s="1675"/>
      <c r="S197" s="1512"/>
      <c r="T197" s="1512"/>
      <c r="U197" s="1512"/>
      <c r="V197" s="1512"/>
      <c r="W197" s="1512"/>
      <c r="X197" s="1512"/>
      <c r="Y197" s="1512"/>
      <c r="Z197" s="1512"/>
      <c r="AA197" s="1512"/>
      <c r="AB197" s="1512"/>
      <c r="AC197" s="1512"/>
      <c r="AD197" s="1512"/>
    </row>
    <row r="198" spans="1:30" s="1513" customFormat="1" ht="19.5" customHeight="1">
      <c r="A198" s="1470">
        <v>191</v>
      </c>
      <c r="B198" s="1551"/>
      <c r="C198" s="1624">
        <v>25</v>
      </c>
      <c r="D198" s="1924" t="s">
        <v>259</v>
      </c>
      <c r="E198" s="1924"/>
      <c r="F198" s="1504"/>
      <c r="G198" s="1583">
        <v>5132</v>
      </c>
      <c r="H198" s="1583"/>
      <c r="I198" s="1584"/>
      <c r="J198" s="1488"/>
      <c r="K198" s="1674"/>
      <c r="L198" s="1674"/>
      <c r="M198" s="1674"/>
      <c r="N198" s="1674"/>
      <c r="O198" s="1674"/>
      <c r="P198" s="1674"/>
      <c r="Q198" s="1674"/>
      <c r="R198" s="1675"/>
      <c r="S198" s="1512"/>
      <c r="T198" s="1512"/>
      <c r="U198" s="1512"/>
      <c r="V198" s="1512"/>
      <c r="W198" s="1512"/>
      <c r="X198" s="1512"/>
      <c r="Y198" s="1512"/>
      <c r="Z198" s="1512"/>
      <c r="AA198" s="1512"/>
      <c r="AB198" s="1512"/>
      <c r="AC198" s="1512"/>
      <c r="AD198" s="1512"/>
    </row>
    <row r="199" spans="1:30" s="1513" customFormat="1" ht="19.5" customHeight="1">
      <c r="A199" s="1470">
        <v>192</v>
      </c>
      <c r="B199" s="1551"/>
      <c r="C199" s="1624">
        <v>27</v>
      </c>
      <c r="D199" s="1924" t="s">
        <v>260</v>
      </c>
      <c r="E199" s="1924"/>
      <c r="F199" s="1504"/>
      <c r="G199" s="1583">
        <v>9209</v>
      </c>
      <c r="H199" s="1583">
        <v>4591</v>
      </c>
      <c r="I199" s="1584">
        <v>5294</v>
      </c>
      <c r="J199" s="1488"/>
      <c r="K199" s="1674"/>
      <c r="L199" s="1674"/>
      <c r="M199" s="1674"/>
      <c r="N199" s="1674"/>
      <c r="O199" s="1674"/>
      <c r="P199" s="1674"/>
      <c r="Q199" s="1674"/>
      <c r="R199" s="1675"/>
      <c r="S199" s="1512"/>
      <c r="T199" s="1512"/>
      <c r="U199" s="1512"/>
      <c r="V199" s="1512"/>
      <c r="W199" s="1512"/>
      <c r="X199" s="1512"/>
      <c r="Y199" s="1512"/>
      <c r="Z199" s="1512"/>
      <c r="AA199" s="1512"/>
      <c r="AB199" s="1512"/>
      <c r="AC199" s="1512"/>
      <c r="AD199" s="1512"/>
    </row>
    <row r="200" spans="1:30" s="1513" customFormat="1" ht="19.5" customHeight="1">
      <c r="A200" s="1470">
        <v>193</v>
      </c>
      <c r="B200" s="1551"/>
      <c r="C200" s="1624">
        <v>28</v>
      </c>
      <c r="D200" s="1924" t="s">
        <v>261</v>
      </c>
      <c r="E200" s="1924"/>
      <c r="F200" s="1504"/>
      <c r="G200" s="1583">
        <v>15363</v>
      </c>
      <c r="H200" s="1583">
        <v>6569</v>
      </c>
      <c r="I200" s="1584">
        <v>7425</v>
      </c>
      <c r="J200" s="1488"/>
      <c r="K200" s="1673"/>
      <c r="L200" s="1673"/>
      <c r="M200" s="1674"/>
      <c r="N200" s="1674"/>
      <c r="O200" s="1674"/>
      <c r="P200" s="1674"/>
      <c r="Q200" s="1674"/>
      <c r="R200" s="1675"/>
      <c r="S200" s="1512"/>
      <c r="T200" s="1512"/>
      <c r="U200" s="1512"/>
      <c r="V200" s="1512"/>
      <c r="W200" s="1512"/>
      <c r="X200" s="1512"/>
      <c r="Y200" s="1512"/>
      <c r="Z200" s="1512"/>
      <c r="AA200" s="1512"/>
      <c r="AB200" s="1512"/>
      <c r="AC200" s="1512"/>
      <c r="AD200" s="1512"/>
    </row>
    <row r="201" spans="1:30" s="1513" customFormat="1" ht="19.5" customHeight="1">
      <c r="A201" s="1470">
        <v>194</v>
      </c>
      <c r="B201" s="1551"/>
      <c r="C201" s="1624">
        <v>40</v>
      </c>
      <c r="D201" s="1924" t="s">
        <v>262</v>
      </c>
      <c r="E201" s="1924"/>
      <c r="F201" s="1504"/>
      <c r="G201" s="1583">
        <v>32606</v>
      </c>
      <c r="H201" s="1583"/>
      <c r="I201" s="1584"/>
      <c r="J201" s="1488"/>
      <c r="K201" s="1674"/>
      <c r="L201" s="1674"/>
      <c r="M201" s="1674"/>
      <c r="N201" s="1674"/>
      <c r="O201" s="1674"/>
      <c r="P201" s="1674"/>
      <c r="Q201" s="1674"/>
      <c r="R201" s="1675"/>
      <c r="S201" s="1512"/>
      <c r="T201" s="1512"/>
      <c r="U201" s="1512"/>
      <c r="V201" s="1512"/>
      <c r="W201" s="1512"/>
      <c r="X201" s="1512"/>
      <c r="Y201" s="1512"/>
      <c r="Z201" s="1512"/>
      <c r="AA201" s="1512"/>
      <c r="AB201" s="1512"/>
      <c r="AC201" s="1512"/>
      <c r="AD201" s="1512"/>
    </row>
    <row r="202" spans="1:30" s="1513" customFormat="1" ht="19.5" customHeight="1">
      <c r="A202" s="1470">
        <v>195</v>
      </c>
      <c r="B202" s="1551"/>
      <c r="C202" s="1624">
        <v>41</v>
      </c>
      <c r="D202" s="1924" t="s">
        <v>263</v>
      </c>
      <c r="E202" s="1924"/>
      <c r="F202" s="1504"/>
      <c r="G202" s="1583">
        <v>2887</v>
      </c>
      <c r="H202" s="1583"/>
      <c r="I202" s="1584"/>
      <c r="J202" s="1488"/>
      <c r="K202" s="1674"/>
      <c r="L202" s="1674"/>
      <c r="M202" s="1674"/>
      <c r="N202" s="1674"/>
      <c r="O202" s="1674"/>
      <c r="P202" s="1674"/>
      <c r="Q202" s="1674"/>
      <c r="R202" s="1675"/>
      <c r="S202" s="1512"/>
      <c r="T202" s="1512"/>
      <c r="U202" s="1512"/>
      <c r="V202" s="1512"/>
      <c r="W202" s="1512"/>
      <c r="X202" s="1512"/>
      <c r="Y202" s="1512"/>
      <c r="Z202" s="1512"/>
      <c r="AA202" s="1512"/>
      <c r="AB202" s="1512"/>
      <c r="AC202" s="1512"/>
      <c r="AD202" s="1512"/>
    </row>
    <row r="203" spans="1:30" s="1513" customFormat="1" ht="19.5" customHeight="1">
      <c r="A203" s="1470">
        <v>196</v>
      </c>
      <c r="B203" s="1551"/>
      <c r="C203" s="1624">
        <v>42</v>
      </c>
      <c r="D203" s="1924" t="s">
        <v>264</v>
      </c>
      <c r="E203" s="1924"/>
      <c r="F203" s="1504"/>
      <c r="G203" s="1583">
        <v>336</v>
      </c>
      <c r="H203" s="1583"/>
      <c r="I203" s="1584"/>
      <c r="J203" s="1488"/>
      <c r="K203" s="1674"/>
      <c r="L203" s="1674"/>
      <c r="M203" s="1674"/>
      <c r="N203" s="1674"/>
      <c r="O203" s="1674"/>
      <c r="P203" s="1674"/>
      <c r="Q203" s="1674"/>
      <c r="R203" s="1675"/>
      <c r="S203" s="1512"/>
      <c r="T203" s="1512"/>
      <c r="U203" s="1512"/>
      <c r="V203" s="1512"/>
      <c r="W203" s="1512"/>
      <c r="X203" s="1512"/>
      <c r="Y203" s="1512"/>
      <c r="Z203" s="1512"/>
      <c r="AA203" s="1512"/>
      <c r="AB203" s="1512"/>
      <c r="AC203" s="1512"/>
      <c r="AD203" s="1512"/>
    </row>
    <row r="204" spans="1:30" s="1513" customFormat="1" ht="19.5" customHeight="1">
      <c r="A204" s="1470">
        <v>197</v>
      </c>
      <c r="B204" s="1551"/>
      <c r="C204" s="1624">
        <v>43</v>
      </c>
      <c r="D204" s="1924" t="s">
        <v>265</v>
      </c>
      <c r="E204" s="1924"/>
      <c r="F204" s="1504"/>
      <c r="G204" s="1583">
        <v>20000</v>
      </c>
      <c r="H204" s="1583"/>
      <c r="I204" s="1584"/>
      <c r="J204" s="1488"/>
      <c r="K204" s="1674"/>
      <c r="L204" s="1674"/>
      <c r="M204" s="1674"/>
      <c r="N204" s="1674"/>
      <c r="O204" s="1674"/>
      <c r="P204" s="1674"/>
      <c r="Q204" s="1674"/>
      <c r="R204" s="1675"/>
      <c r="S204" s="1512"/>
      <c r="T204" s="1512"/>
      <c r="U204" s="1512"/>
      <c r="V204" s="1512"/>
      <c r="W204" s="1512"/>
      <c r="X204" s="1512"/>
      <c r="Y204" s="1512"/>
      <c r="Z204" s="1512"/>
      <c r="AA204" s="1512"/>
      <c r="AB204" s="1512"/>
      <c r="AC204" s="1512"/>
      <c r="AD204" s="1512"/>
    </row>
    <row r="205" spans="1:30" s="1513" customFormat="1" ht="19.5" customHeight="1">
      <c r="A205" s="1470">
        <v>198</v>
      </c>
      <c r="B205" s="1551"/>
      <c r="C205" s="1624">
        <v>44</v>
      </c>
      <c r="D205" s="1924" t="s">
        <v>266</v>
      </c>
      <c r="E205" s="1924"/>
      <c r="F205" s="1504"/>
      <c r="G205" s="1583">
        <v>255</v>
      </c>
      <c r="H205" s="1583"/>
      <c r="I205" s="1584"/>
      <c r="J205" s="1488"/>
      <c r="K205" s="1674"/>
      <c r="L205" s="1674"/>
      <c r="M205" s="1674"/>
      <c r="N205" s="1674"/>
      <c r="O205" s="1674"/>
      <c r="P205" s="1674"/>
      <c r="Q205" s="1674"/>
      <c r="R205" s="1675"/>
      <c r="S205" s="1512"/>
      <c r="T205" s="1512"/>
      <c r="U205" s="1512"/>
      <c r="V205" s="1512"/>
      <c r="W205" s="1512"/>
      <c r="X205" s="1512"/>
      <c r="Y205" s="1512"/>
      <c r="Z205" s="1512"/>
      <c r="AA205" s="1512"/>
      <c r="AB205" s="1512"/>
      <c r="AC205" s="1512"/>
      <c r="AD205" s="1512"/>
    </row>
    <row r="206" spans="1:30" s="1513" customFormat="1" ht="19.5" customHeight="1">
      <c r="A206" s="1470">
        <v>199</v>
      </c>
      <c r="B206" s="1551"/>
      <c r="C206" s="1624">
        <v>45</v>
      </c>
      <c r="D206" s="1924" t="s">
        <v>267</v>
      </c>
      <c r="E206" s="1924"/>
      <c r="F206" s="1504"/>
      <c r="G206" s="1583">
        <v>4967</v>
      </c>
      <c r="H206" s="1583">
        <v>99</v>
      </c>
      <c r="I206" s="1584">
        <v>2640</v>
      </c>
      <c r="J206" s="1488"/>
      <c r="K206" s="1674"/>
      <c r="L206" s="1674"/>
      <c r="M206" s="1674"/>
      <c r="N206" s="1674"/>
      <c r="O206" s="1674"/>
      <c r="P206" s="1674"/>
      <c r="Q206" s="1674"/>
      <c r="R206" s="1675"/>
      <c r="S206" s="1512"/>
      <c r="T206" s="1512"/>
      <c r="U206" s="1512"/>
      <c r="V206" s="1512"/>
      <c r="W206" s="1512"/>
      <c r="X206" s="1512"/>
      <c r="Y206" s="1512"/>
      <c r="Z206" s="1512"/>
      <c r="AA206" s="1512"/>
      <c r="AB206" s="1512"/>
      <c r="AC206" s="1512"/>
      <c r="AD206" s="1512"/>
    </row>
    <row r="207" spans="1:30" s="1659" customFormat="1" ht="19.5" customHeight="1">
      <c r="A207" s="1470">
        <v>200</v>
      </c>
      <c r="B207" s="1651"/>
      <c r="C207" s="1624">
        <v>46</v>
      </c>
      <c r="D207" s="1924" t="s">
        <v>268</v>
      </c>
      <c r="E207" s="1924"/>
      <c r="F207" s="1652"/>
      <c r="G207" s="1653">
        <v>1748</v>
      </c>
      <c r="H207" s="1653">
        <v>1552</v>
      </c>
      <c r="I207" s="1654">
        <v>1553</v>
      </c>
      <c r="J207" s="1655"/>
      <c r="K207" s="1656"/>
      <c r="L207" s="1656"/>
      <c r="M207" s="1656"/>
      <c r="N207" s="1656"/>
      <c r="O207" s="1656"/>
      <c r="P207" s="1656"/>
      <c r="Q207" s="1656"/>
      <c r="R207" s="1657"/>
      <c r="S207" s="1658"/>
      <c r="T207" s="1658"/>
      <c r="U207" s="1658"/>
      <c r="V207" s="1658"/>
      <c r="W207" s="1658"/>
      <c r="X207" s="1658"/>
      <c r="Y207" s="1658"/>
      <c r="Z207" s="1658"/>
      <c r="AA207" s="1658"/>
      <c r="AB207" s="1658"/>
      <c r="AC207" s="1658"/>
      <c r="AD207" s="1658"/>
    </row>
    <row r="208" spans="1:30" s="1659" customFormat="1" ht="19.5" customHeight="1">
      <c r="A208" s="1470">
        <v>201</v>
      </c>
      <c r="B208" s="1651"/>
      <c r="C208" s="1624">
        <v>47</v>
      </c>
      <c r="D208" s="1924" t="s">
        <v>269</v>
      </c>
      <c r="E208" s="1924"/>
      <c r="F208" s="1652"/>
      <c r="G208" s="1653">
        <v>1345</v>
      </c>
      <c r="H208" s="1653">
        <v>2020</v>
      </c>
      <c r="I208" s="1654">
        <v>4249</v>
      </c>
      <c r="J208" s="1655"/>
      <c r="K208" s="1656"/>
      <c r="L208" s="1656"/>
      <c r="M208" s="1656"/>
      <c r="N208" s="1656"/>
      <c r="O208" s="1656"/>
      <c r="P208" s="1656"/>
      <c r="Q208" s="1656"/>
      <c r="R208" s="1657"/>
      <c r="S208" s="1658"/>
      <c r="T208" s="1658"/>
      <c r="U208" s="1658"/>
      <c r="V208" s="1658"/>
      <c r="W208" s="1658"/>
      <c r="X208" s="1658"/>
      <c r="Y208" s="1658"/>
      <c r="Z208" s="1658"/>
      <c r="AA208" s="1658"/>
      <c r="AB208" s="1658"/>
      <c r="AC208" s="1658"/>
      <c r="AD208" s="1658"/>
    </row>
    <row r="209" spans="1:30" s="1659" customFormat="1" ht="19.5" customHeight="1">
      <c r="A209" s="1470">
        <v>202</v>
      </c>
      <c r="B209" s="1651"/>
      <c r="C209" s="1624">
        <v>48</v>
      </c>
      <c r="D209" s="1924" t="s">
        <v>270</v>
      </c>
      <c r="E209" s="1924"/>
      <c r="F209" s="1652"/>
      <c r="G209" s="1653">
        <v>219</v>
      </c>
      <c r="H209" s="1653"/>
      <c r="I209" s="1654"/>
      <c r="J209" s="1655"/>
      <c r="K209" s="1656"/>
      <c r="L209" s="1656"/>
      <c r="M209" s="1656"/>
      <c r="N209" s="1656"/>
      <c r="O209" s="1656"/>
      <c r="P209" s="1656"/>
      <c r="Q209" s="1656"/>
      <c r="R209" s="1657"/>
      <c r="S209" s="1658"/>
      <c r="T209" s="1658"/>
      <c r="U209" s="1658"/>
      <c r="V209" s="1658"/>
      <c r="W209" s="1658"/>
      <c r="X209" s="1658"/>
      <c r="Y209" s="1658"/>
      <c r="Z209" s="1658"/>
      <c r="AA209" s="1658"/>
      <c r="AB209" s="1658"/>
      <c r="AC209" s="1658"/>
      <c r="AD209" s="1658"/>
    </row>
    <row r="210" spans="1:30" s="1659" customFormat="1" ht="19.5" customHeight="1">
      <c r="A210" s="1470">
        <v>203</v>
      </c>
      <c r="B210" s="1651"/>
      <c r="C210" s="1624">
        <v>49</v>
      </c>
      <c r="D210" s="1924" t="s">
        <v>271</v>
      </c>
      <c r="E210" s="1924"/>
      <c r="F210" s="1652"/>
      <c r="G210" s="1653">
        <v>1050</v>
      </c>
      <c r="H210" s="1653">
        <v>1391</v>
      </c>
      <c r="I210" s="1654">
        <v>1433</v>
      </c>
      <c r="J210" s="1655"/>
      <c r="K210" s="1656"/>
      <c r="L210" s="1656"/>
      <c r="M210" s="1656"/>
      <c r="N210" s="1656"/>
      <c r="O210" s="1656"/>
      <c r="P210" s="1656"/>
      <c r="Q210" s="1656"/>
      <c r="R210" s="1657"/>
      <c r="S210" s="1658"/>
      <c r="T210" s="1658"/>
      <c r="U210" s="1658"/>
      <c r="V210" s="1658"/>
      <c r="W210" s="1658"/>
      <c r="X210" s="1658"/>
      <c r="Y210" s="1658"/>
      <c r="Z210" s="1658"/>
      <c r="AA210" s="1658"/>
      <c r="AB210" s="1658"/>
      <c r="AC210" s="1658"/>
      <c r="AD210" s="1658"/>
    </row>
    <row r="211" spans="1:30" s="1659" customFormat="1" ht="19.5" customHeight="1">
      <c r="A211" s="1470">
        <v>204</v>
      </c>
      <c r="B211" s="1651"/>
      <c r="C211" s="1624">
        <v>50</v>
      </c>
      <c r="D211" s="1924" t="s">
        <v>272</v>
      </c>
      <c r="E211" s="1924"/>
      <c r="F211" s="1652"/>
      <c r="G211" s="1653">
        <v>331</v>
      </c>
      <c r="H211" s="1653">
        <v>364</v>
      </c>
      <c r="I211" s="1654">
        <v>365</v>
      </c>
      <c r="J211" s="1655"/>
      <c r="K211" s="1656"/>
      <c r="L211" s="1656"/>
      <c r="M211" s="1656"/>
      <c r="N211" s="1656"/>
      <c r="O211" s="1656"/>
      <c r="P211" s="1656"/>
      <c r="Q211" s="1656"/>
      <c r="R211" s="1657"/>
      <c r="S211" s="1658"/>
      <c r="T211" s="1658"/>
      <c r="U211" s="1658"/>
      <c r="V211" s="1658"/>
      <c r="W211" s="1658"/>
      <c r="X211" s="1658"/>
      <c r="Y211" s="1658"/>
      <c r="Z211" s="1658"/>
      <c r="AA211" s="1658"/>
      <c r="AB211" s="1658"/>
      <c r="AC211" s="1658"/>
      <c r="AD211" s="1658"/>
    </row>
    <row r="212" spans="1:30" s="1659" customFormat="1" ht="19.5" customHeight="1">
      <c r="A212" s="1470">
        <v>205</v>
      </c>
      <c r="B212" s="1651"/>
      <c r="C212" s="1624">
        <v>51</v>
      </c>
      <c r="D212" s="1924" t="s">
        <v>273</v>
      </c>
      <c r="E212" s="1924"/>
      <c r="F212" s="1652"/>
      <c r="G212" s="1653">
        <v>300</v>
      </c>
      <c r="H212" s="1653"/>
      <c r="I212" s="1654"/>
      <c r="J212" s="1655"/>
      <c r="K212" s="1656"/>
      <c r="L212" s="1656"/>
      <c r="M212" s="1656"/>
      <c r="N212" s="1656"/>
      <c r="O212" s="1656"/>
      <c r="P212" s="1656"/>
      <c r="Q212" s="1656"/>
      <c r="R212" s="1657"/>
      <c r="S212" s="1658"/>
      <c r="T212" s="1658"/>
      <c r="U212" s="1658"/>
      <c r="V212" s="1658"/>
      <c r="W212" s="1658"/>
      <c r="X212" s="1658"/>
      <c r="Y212" s="1658"/>
      <c r="Z212" s="1658"/>
      <c r="AA212" s="1658"/>
      <c r="AB212" s="1658"/>
      <c r="AC212" s="1658"/>
      <c r="AD212" s="1658"/>
    </row>
    <row r="213" spans="1:30" s="1659" customFormat="1" ht="19.5" customHeight="1">
      <c r="A213" s="1470">
        <v>206</v>
      </c>
      <c r="B213" s="1651"/>
      <c r="C213" s="1624">
        <v>52</v>
      </c>
      <c r="D213" s="1924" t="s">
        <v>274</v>
      </c>
      <c r="E213" s="1924"/>
      <c r="F213" s="1652"/>
      <c r="G213" s="1653">
        <v>692</v>
      </c>
      <c r="H213" s="1653">
        <v>908</v>
      </c>
      <c r="I213" s="1654">
        <v>908</v>
      </c>
      <c r="J213" s="1655"/>
      <c r="K213" s="1656"/>
      <c r="L213" s="1656"/>
      <c r="M213" s="1656"/>
      <c r="N213" s="1656"/>
      <c r="O213" s="1656"/>
      <c r="P213" s="1656"/>
      <c r="Q213" s="1656"/>
      <c r="R213" s="1657"/>
      <c r="S213" s="1658"/>
      <c r="T213" s="1658"/>
      <c r="U213" s="1658"/>
      <c r="V213" s="1658"/>
      <c r="W213" s="1658"/>
      <c r="X213" s="1658"/>
      <c r="Y213" s="1658"/>
      <c r="Z213" s="1658"/>
      <c r="AA213" s="1658"/>
      <c r="AB213" s="1658"/>
      <c r="AC213" s="1658"/>
      <c r="AD213" s="1658"/>
    </row>
    <row r="214" spans="1:30" s="1659" customFormat="1" ht="19.5" customHeight="1">
      <c r="A214" s="1470">
        <v>207</v>
      </c>
      <c r="B214" s="1651"/>
      <c r="C214" s="1624">
        <v>54</v>
      </c>
      <c r="D214" s="1924" t="s">
        <v>236</v>
      </c>
      <c r="E214" s="1924"/>
      <c r="F214" s="1652"/>
      <c r="G214" s="1653">
        <v>114</v>
      </c>
      <c r="H214" s="1653">
        <v>833</v>
      </c>
      <c r="I214" s="1654">
        <v>803</v>
      </c>
      <c r="J214" s="1655"/>
      <c r="K214" s="1656"/>
      <c r="L214" s="1656"/>
      <c r="M214" s="1656"/>
      <c r="N214" s="1656"/>
      <c r="O214" s="1656"/>
      <c r="P214" s="1656"/>
      <c r="Q214" s="1656"/>
      <c r="R214" s="1657"/>
      <c r="S214" s="1658"/>
      <c r="T214" s="1658"/>
      <c r="U214" s="1658"/>
      <c r="V214" s="1658"/>
      <c r="W214" s="1658"/>
      <c r="X214" s="1658"/>
      <c r="Y214" s="1658"/>
      <c r="Z214" s="1658"/>
      <c r="AA214" s="1658"/>
      <c r="AB214" s="1658"/>
      <c r="AC214" s="1658"/>
      <c r="AD214" s="1658"/>
    </row>
    <row r="215" spans="1:30" s="1659" customFormat="1" ht="19.5" customHeight="1">
      <c r="A215" s="1470">
        <v>208</v>
      </c>
      <c r="B215" s="1651"/>
      <c r="C215" s="1624">
        <v>55</v>
      </c>
      <c r="D215" s="1924" t="s">
        <v>275</v>
      </c>
      <c r="E215" s="1924"/>
      <c r="F215" s="1652"/>
      <c r="G215" s="1653">
        <v>35</v>
      </c>
      <c r="H215" s="1653">
        <v>730</v>
      </c>
      <c r="I215" s="1654">
        <v>730</v>
      </c>
      <c r="J215" s="1655"/>
      <c r="K215" s="1656"/>
      <c r="L215" s="1656"/>
      <c r="M215" s="1656"/>
      <c r="N215" s="1656"/>
      <c r="O215" s="1656"/>
      <c r="P215" s="1656"/>
      <c r="Q215" s="1656"/>
      <c r="R215" s="1657"/>
      <c r="S215" s="1658"/>
      <c r="T215" s="1658"/>
      <c r="U215" s="1658"/>
      <c r="V215" s="1658"/>
      <c r="W215" s="1658"/>
      <c r="X215" s="1658"/>
      <c r="Y215" s="1658"/>
      <c r="Z215" s="1658"/>
      <c r="AA215" s="1658"/>
      <c r="AB215" s="1658"/>
      <c r="AC215" s="1658"/>
      <c r="AD215" s="1658"/>
    </row>
    <row r="216" spans="1:30" s="1659" customFormat="1" ht="19.5" customHeight="1">
      <c r="A216" s="1470">
        <v>209</v>
      </c>
      <c r="B216" s="1651"/>
      <c r="C216" s="1624">
        <v>56</v>
      </c>
      <c r="D216" s="1924" t="s">
        <v>276</v>
      </c>
      <c r="E216" s="1924"/>
      <c r="F216" s="1652"/>
      <c r="G216" s="1653"/>
      <c r="H216" s="1653">
        <v>1900</v>
      </c>
      <c r="I216" s="1654">
        <v>1900</v>
      </c>
      <c r="J216" s="1655"/>
      <c r="K216" s="1656"/>
      <c r="L216" s="1656"/>
      <c r="M216" s="1656"/>
      <c r="N216" s="1656"/>
      <c r="O216" s="1656"/>
      <c r="P216" s="1656"/>
      <c r="Q216" s="1656"/>
      <c r="R216" s="1657"/>
      <c r="S216" s="1658"/>
      <c r="T216" s="1658"/>
      <c r="U216" s="1658"/>
      <c r="V216" s="1658"/>
      <c r="W216" s="1658"/>
      <c r="X216" s="1658"/>
      <c r="Y216" s="1658"/>
      <c r="Z216" s="1658"/>
      <c r="AA216" s="1658"/>
      <c r="AB216" s="1658"/>
      <c r="AC216" s="1658"/>
      <c r="AD216" s="1658"/>
    </row>
    <row r="217" spans="1:30" s="1659" customFormat="1" ht="19.5" customHeight="1">
      <c r="A217" s="1470">
        <v>210</v>
      </c>
      <c r="B217" s="1651"/>
      <c r="C217" s="1624">
        <v>57</v>
      </c>
      <c r="D217" s="1924" t="s">
        <v>277</v>
      </c>
      <c r="E217" s="1924"/>
      <c r="F217" s="1652"/>
      <c r="G217" s="1653"/>
      <c r="H217" s="1653">
        <v>600</v>
      </c>
      <c r="I217" s="1654">
        <v>435</v>
      </c>
      <c r="J217" s="1655"/>
      <c r="K217" s="1656"/>
      <c r="L217" s="1656"/>
      <c r="M217" s="1656"/>
      <c r="N217" s="1656"/>
      <c r="O217" s="1656"/>
      <c r="P217" s="1656"/>
      <c r="Q217" s="1656"/>
      <c r="R217" s="1657"/>
      <c r="S217" s="1658"/>
      <c r="T217" s="1658"/>
      <c r="U217" s="1658"/>
      <c r="V217" s="1658"/>
      <c r="W217" s="1658"/>
      <c r="X217" s="1658"/>
      <c r="Y217" s="1658"/>
      <c r="Z217" s="1658"/>
      <c r="AA217" s="1658"/>
      <c r="AB217" s="1658"/>
      <c r="AC217" s="1658"/>
      <c r="AD217" s="1658"/>
    </row>
    <row r="218" spans="1:30" s="1659" customFormat="1" ht="19.5" customHeight="1">
      <c r="A218" s="1470">
        <v>211</v>
      </c>
      <c r="B218" s="1651"/>
      <c r="C218" s="1624">
        <v>58</v>
      </c>
      <c r="D218" s="1924" t="s">
        <v>278</v>
      </c>
      <c r="E218" s="1924"/>
      <c r="F218" s="1652"/>
      <c r="G218" s="1653"/>
      <c r="H218" s="1653">
        <v>690</v>
      </c>
      <c r="I218" s="1654">
        <v>1466</v>
      </c>
      <c r="J218" s="1655"/>
      <c r="K218" s="1656"/>
      <c r="L218" s="1656"/>
      <c r="M218" s="1656"/>
      <c r="N218" s="1656"/>
      <c r="O218" s="1656"/>
      <c r="P218" s="1656"/>
      <c r="Q218" s="1656"/>
      <c r="R218" s="1657"/>
      <c r="S218" s="1658"/>
      <c r="T218" s="1658"/>
      <c r="U218" s="1658"/>
      <c r="V218" s="1658"/>
      <c r="W218" s="1658"/>
      <c r="X218" s="1658"/>
      <c r="Y218" s="1658"/>
      <c r="Z218" s="1658"/>
      <c r="AA218" s="1658"/>
      <c r="AB218" s="1658"/>
      <c r="AC218" s="1658"/>
      <c r="AD218" s="1658"/>
    </row>
    <row r="219" spans="1:30" s="1659" customFormat="1" ht="19.5" customHeight="1">
      <c r="A219" s="1470">
        <v>212</v>
      </c>
      <c r="B219" s="1651"/>
      <c r="C219" s="1624">
        <v>63</v>
      </c>
      <c r="D219" s="1924" t="s">
        <v>279</v>
      </c>
      <c r="E219" s="1924"/>
      <c r="F219" s="1652"/>
      <c r="G219" s="1653"/>
      <c r="H219" s="1653"/>
      <c r="I219" s="1654">
        <v>1950</v>
      </c>
      <c r="J219" s="1655"/>
      <c r="K219" s="1656"/>
      <c r="L219" s="1656"/>
      <c r="M219" s="1656"/>
      <c r="N219" s="1656"/>
      <c r="O219" s="1656"/>
      <c r="P219" s="1656"/>
      <c r="Q219" s="1656"/>
      <c r="R219" s="1657"/>
      <c r="S219" s="1658"/>
      <c r="T219" s="1658"/>
      <c r="U219" s="1658"/>
      <c r="V219" s="1658"/>
      <c r="W219" s="1658"/>
      <c r="X219" s="1658"/>
      <c r="Y219" s="1658"/>
      <c r="Z219" s="1658"/>
      <c r="AA219" s="1658"/>
      <c r="AB219" s="1658"/>
      <c r="AC219" s="1658"/>
      <c r="AD219" s="1658"/>
    </row>
    <row r="220" spans="1:30" s="1659" customFormat="1" ht="19.5" customHeight="1">
      <c r="A220" s="1470">
        <v>213</v>
      </c>
      <c r="B220" s="1651"/>
      <c r="C220" s="1624">
        <v>65</v>
      </c>
      <c r="D220" s="1924" t="s">
        <v>280</v>
      </c>
      <c r="E220" s="1924"/>
      <c r="F220" s="1652"/>
      <c r="G220" s="1653"/>
      <c r="H220" s="1653"/>
      <c r="I220" s="1654">
        <v>1000</v>
      </c>
      <c r="J220" s="1655"/>
      <c r="K220" s="1656"/>
      <c r="L220" s="1656"/>
      <c r="M220" s="1656"/>
      <c r="N220" s="1656"/>
      <c r="O220" s="1656"/>
      <c r="P220" s="1656"/>
      <c r="Q220" s="1656"/>
      <c r="R220" s="1657"/>
      <c r="S220" s="1658"/>
      <c r="T220" s="1658"/>
      <c r="U220" s="1658"/>
      <c r="V220" s="1658"/>
      <c r="W220" s="1658"/>
      <c r="X220" s="1658"/>
      <c r="Y220" s="1658"/>
      <c r="Z220" s="1658"/>
      <c r="AA220" s="1658"/>
      <c r="AB220" s="1658"/>
      <c r="AC220" s="1658"/>
      <c r="AD220" s="1658"/>
    </row>
    <row r="221" spans="1:30" s="1659" customFormat="1" ht="19.5" customHeight="1">
      <c r="A221" s="1470">
        <v>214</v>
      </c>
      <c r="B221" s="1651"/>
      <c r="C221" s="1624">
        <v>67</v>
      </c>
      <c r="D221" s="1924" t="s">
        <v>242</v>
      </c>
      <c r="E221" s="1924"/>
      <c r="F221" s="1652"/>
      <c r="G221" s="1653"/>
      <c r="H221" s="1653"/>
      <c r="I221" s="1654">
        <v>129</v>
      </c>
      <c r="J221" s="1655"/>
      <c r="K221" s="1656"/>
      <c r="L221" s="1656"/>
      <c r="M221" s="1656"/>
      <c r="N221" s="1656"/>
      <c r="O221" s="1656"/>
      <c r="P221" s="1656"/>
      <c r="Q221" s="1656"/>
      <c r="R221" s="1657"/>
      <c r="S221" s="1658"/>
      <c r="T221" s="1658"/>
      <c r="U221" s="1658"/>
      <c r="V221" s="1658"/>
      <c r="W221" s="1658"/>
      <c r="X221" s="1658"/>
      <c r="Y221" s="1658"/>
      <c r="Z221" s="1658"/>
      <c r="AA221" s="1658"/>
      <c r="AB221" s="1658"/>
      <c r="AC221" s="1658"/>
      <c r="AD221" s="1658"/>
    </row>
    <row r="222" spans="1:30" s="1659" customFormat="1" ht="19.5" customHeight="1">
      <c r="A222" s="1470">
        <v>215</v>
      </c>
      <c r="B222" s="1651"/>
      <c r="C222" s="1624">
        <v>69</v>
      </c>
      <c r="D222" s="1924" t="s">
        <v>281</v>
      </c>
      <c r="E222" s="1924"/>
      <c r="F222" s="1652"/>
      <c r="G222" s="1653"/>
      <c r="H222" s="1653"/>
      <c r="I222" s="1654">
        <v>1075</v>
      </c>
      <c r="J222" s="1655"/>
      <c r="K222" s="1656"/>
      <c r="L222" s="1656"/>
      <c r="M222" s="1656"/>
      <c r="N222" s="1656"/>
      <c r="O222" s="1656"/>
      <c r="P222" s="1656"/>
      <c r="Q222" s="1656"/>
      <c r="R222" s="1657"/>
      <c r="S222" s="1658"/>
      <c r="T222" s="1658"/>
      <c r="U222" s="1658"/>
      <c r="V222" s="1658"/>
      <c r="W222" s="1658"/>
      <c r="X222" s="1658"/>
      <c r="Y222" s="1658"/>
      <c r="Z222" s="1658"/>
      <c r="AA222" s="1658"/>
      <c r="AB222" s="1658"/>
      <c r="AC222" s="1658"/>
      <c r="AD222" s="1658"/>
    </row>
    <row r="223" spans="1:30" s="1659" customFormat="1" ht="19.5" customHeight="1">
      <c r="A223" s="1470">
        <v>216</v>
      </c>
      <c r="B223" s="1651"/>
      <c r="C223" s="1624">
        <v>72</v>
      </c>
      <c r="D223" s="1924" t="s">
        <v>282</v>
      </c>
      <c r="E223" s="1924"/>
      <c r="F223" s="1652"/>
      <c r="G223" s="1653"/>
      <c r="H223" s="1653"/>
      <c r="I223" s="1654">
        <v>1035</v>
      </c>
      <c r="J223" s="1655"/>
      <c r="K223" s="1656"/>
      <c r="L223" s="1656"/>
      <c r="M223" s="1656"/>
      <c r="N223" s="1656"/>
      <c r="O223" s="1656"/>
      <c r="P223" s="1656"/>
      <c r="Q223" s="1656"/>
      <c r="R223" s="1657"/>
      <c r="S223" s="1658"/>
      <c r="T223" s="1658"/>
      <c r="U223" s="1658"/>
      <c r="V223" s="1658"/>
      <c r="W223" s="1658"/>
      <c r="X223" s="1658"/>
      <c r="Y223" s="1658"/>
      <c r="Z223" s="1658"/>
      <c r="AA223" s="1658"/>
      <c r="AB223" s="1658"/>
      <c r="AC223" s="1658"/>
      <c r="AD223" s="1658"/>
    </row>
    <row r="224" spans="1:30" s="1659" customFormat="1" ht="19.5" customHeight="1">
      <c r="A224" s="1470">
        <v>217</v>
      </c>
      <c r="B224" s="1651"/>
      <c r="C224" s="1624">
        <v>74</v>
      </c>
      <c r="D224" s="1924" t="s">
        <v>283</v>
      </c>
      <c r="E224" s="1924"/>
      <c r="F224" s="1652"/>
      <c r="G224" s="1653"/>
      <c r="H224" s="1653"/>
      <c r="I224" s="1654">
        <v>175</v>
      </c>
      <c r="J224" s="1655"/>
      <c r="K224" s="1656"/>
      <c r="L224" s="1656"/>
      <c r="M224" s="1656"/>
      <c r="N224" s="1656"/>
      <c r="O224" s="1656"/>
      <c r="P224" s="1656"/>
      <c r="Q224" s="1656"/>
      <c r="R224" s="1657"/>
      <c r="S224" s="1658"/>
      <c r="T224" s="1658"/>
      <c r="U224" s="1658"/>
      <c r="V224" s="1658"/>
      <c r="W224" s="1658"/>
      <c r="X224" s="1658"/>
      <c r="Y224" s="1658"/>
      <c r="Z224" s="1658"/>
      <c r="AA224" s="1658"/>
      <c r="AB224" s="1658"/>
      <c r="AC224" s="1658"/>
      <c r="AD224" s="1658"/>
    </row>
    <row r="225" spans="1:31" s="1659" customFormat="1" ht="19.5" customHeight="1" thickBot="1">
      <c r="A225" s="1470">
        <v>218</v>
      </c>
      <c r="B225" s="1651"/>
      <c r="C225" s="1624">
        <v>78</v>
      </c>
      <c r="D225" s="1925" t="s">
        <v>284</v>
      </c>
      <c r="E225" s="1925"/>
      <c r="F225" s="1652"/>
      <c r="G225" s="1653"/>
      <c r="H225" s="1653"/>
      <c r="I225" s="1654">
        <v>2208</v>
      </c>
      <c r="J225" s="1655"/>
      <c r="K225" s="1656"/>
      <c r="L225" s="1656"/>
      <c r="M225" s="1656"/>
      <c r="N225" s="1656"/>
      <c r="O225" s="1656"/>
      <c r="P225" s="1656"/>
      <c r="Q225" s="1656"/>
      <c r="R225" s="1657"/>
      <c r="S225" s="1658"/>
      <c r="T225" s="1658"/>
      <c r="U225" s="1658"/>
      <c r="V225" s="1658"/>
      <c r="W225" s="1658"/>
      <c r="X225" s="1658"/>
      <c r="Y225" s="1658"/>
      <c r="Z225" s="1658"/>
      <c r="AA225" s="1658"/>
      <c r="AB225" s="1658"/>
      <c r="AC225" s="1658"/>
      <c r="AD225" s="1658"/>
    </row>
    <row r="226" spans="1:31" s="1506" customFormat="1" ht="22.5" customHeight="1" thickTop="1">
      <c r="A226" s="1470">
        <v>219</v>
      </c>
      <c r="B226" s="1678"/>
      <c r="C226" s="1922" t="s">
        <v>1206</v>
      </c>
      <c r="D226" s="1922"/>
      <c r="E226" s="1922"/>
      <c r="F226" s="1679"/>
      <c r="G226" s="1522">
        <f>SUM(G109:G225)-G114</f>
        <v>1858902</v>
      </c>
      <c r="H226" s="1522">
        <f>SUM(H109:H225)-H114</f>
        <v>2293390</v>
      </c>
      <c r="I226" s="1522">
        <f>SUM(I109:I225)-I114</f>
        <v>2164505</v>
      </c>
      <c r="J226" s="1524"/>
      <c r="K226" s="1570"/>
      <c r="L226" s="1570"/>
      <c r="M226" s="1570"/>
      <c r="N226" s="1570"/>
      <c r="O226" s="1570"/>
      <c r="P226" s="1570"/>
      <c r="Q226" s="1570"/>
      <c r="R226" s="1571"/>
      <c r="S226" s="1505"/>
      <c r="T226" s="1505"/>
      <c r="U226" s="1505"/>
      <c r="V226" s="1505"/>
      <c r="W226" s="1505"/>
      <c r="X226" s="1505"/>
      <c r="Y226" s="1505"/>
      <c r="Z226" s="1505"/>
      <c r="AA226" s="1505"/>
      <c r="AB226" s="1505"/>
      <c r="AC226" s="1505"/>
      <c r="AD226" s="1505"/>
      <c r="AE226" s="1505"/>
    </row>
    <row r="227" spans="1:31" s="1499" customFormat="1" ht="18" customHeight="1">
      <c r="A227" s="1470">
        <v>220</v>
      </c>
      <c r="B227" s="1490"/>
      <c r="C227" s="1680"/>
      <c r="D227" s="1529"/>
      <c r="E227" s="1681" t="s">
        <v>198</v>
      </c>
      <c r="F227" s="1682"/>
      <c r="G227" s="1531"/>
      <c r="H227" s="1531"/>
      <c r="I227" s="1532"/>
      <c r="J227" s="1683">
        <f>SUM(K227:R227)</f>
        <v>2584822</v>
      </c>
      <c r="K227" s="1684">
        <f t="shared" ref="K227:R227" si="10">SUM(K111,K117,K121,K125,K129,K133,K137,K141,K145,K149,K153,K157,K161,K165,K169,K173,K177,K181)</f>
        <v>1767184</v>
      </c>
      <c r="L227" s="1684">
        <f t="shared" si="10"/>
        <v>264753</v>
      </c>
      <c r="M227" s="1684">
        <f t="shared" si="10"/>
        <v>454735</v>
      </c>
      <c r="N227" s="1684">
        <f t="shared" si="10"/>
        <v>0</v>
      </c>
      <c r="O227" s="1684">
        <f t="shared" si="10"/>
        <v>0</v>
      </c>
      <c r="P227" s="1684">
        <f t="shared" si="10"/>
        <v>98150</v>
      </c>
      <c r="Q227" s="1684">
        <f t="shared" si="10"/>
        <v>0</v>
      </c>
      <c r="R227" s="1685">
        <f t="shared" si="10"/>
        <v>0</v>
      </c>
      <c r="S227" s="1498"/>
      <c r="T227" s="1498"/>
      <c r="U227" s="1498"/>
      <c r="V227" s="1498"/>
      <c r="W227" s="1498"/>
      <c r="X227" s="1498"/>
      <c r="Y227" s="1498"/>
      <c r="Z227" s="1498"/>
      <c r="AA227" s="1498"/>
      <c r="AB227" s="1498"/>
      <c r="AC227" s="1498"/>
      <c r="AD227" s="1498"/>
      <c r="AE227" s="1498"/>
    </row>
    <row r="228" spans="1:31" s="1499" customFormat="1" ht="18" customHeight="1">
      <c r="A228" s="1470">
        <v>221</v>
      </c>
      <c r="B228" s="1686"/>
      <c r="C228" s="1680"/>
      <c r="D228" s="1529"/>
      <c r="E228" s="163" t="s">
        <v>765</v>
      </c>
      <c r="F228" s="1682"/>
      <c r="G228" s="1531"/>
      <c r="H228" s="1531"/>
      <c r="I228" s="1532"/>
      <c r="J228" s="1687">
        <f>SUM(K228:R228)</f>
        <v>3438721</v>
      </c>
      <c r="K228" s="1688">
        <f t="shared" ref="K228:R228" si="11">SUM(K112,K118,K122,K126,K130,K134,K138,K142,K146,K150,K154,K158,K162,K166,K170,K174,K178,K182)+K185+K188+K191</f>
        <v>2151919</v>
      </c>
      <c r="L228" s="1688">
        <f t="shared" si="11"/>
        <v>321127</v>
      </c>
      <c r="M228" s="1688">
        <f t="shared" si="11"/>
        <v>762632</v>
      </c>
      <c r="N228" s="1688">
        <f t="shared" si="11"/>
        <v>0</v>
      </c>
      <c r="O228" s="1688">
        <f t="shared" si="11"/>
        <v>0</v>
      </c>
      <c r="P228" s="1688">
        <f t="shared" si="11"/>
        <v>203043</v>
      </c>
      <c r="Q228" s="1688">
        <f t="shared" si="11"/>
        <v>0</v>
      </c>
      <c r="R228" s="1689">
        <f t="shared" si="11"/>
        <v>0</v>
      </c>
      <c r="S228" s="1498"/>
      <c r="T228" s="1498"/>
      <c r="U228" s="1498"/>
      <c r="V228" s="1498"/>
      <c r="W228" s="1498"/>
      <c r="X228" s="1498"/>
      <c r="Y228" s="1498"/>
      <c r="Z228" s="1498"/>
      <c r="AA228" s="1498"/>
      <c r="AB228" s="1498"/>
      <c r="AC228" s="1498"/>
      <c r="AD228" s="1498"/>
      <c r="AE228" s="1498"/>
    </row>
    <row r="229" spans="1:31" s="1499" customFormat="1" ht="18" customHeight="1" thickBot="1">
      <c r="A229" s="1470">
        <v>222</v>
      </c>
      <c r="B229" s="1686"/>
      <c r="C229" s="1690"/>
      <c r="D229" s="1520"/>
      <c r="E229" s="165" t="s">
        <v>1022</v>
      </c>
      <c r="F229" s="1691"/>
      <c r="G229" s="1493"/>
      <c r="H229" s="1493"/>
      <c r="I229" s="1494"/>
      <c r="J229" s="1692">
        <f>SUM(K229:R229)</f>
        <v>2420617</v>
      </c>
      <c r="K229" s="1502">
        <f>K183+K179+K175+K171+K167+K163+K159+K155+K151+K147+K143+K139+K135+K131+K127+K123+K119+K113+K186+K189+K192</f>
        <v>1793998</v>
      </c>
      <c r="L229" s="1502">
        <f t="shared" ref="L229:R229" si="12">L183+L179+L175+L171+L167+L163+L159+L155+L151+L147+L143+L139+L135+L131+L127+L123+L119+L113+L186+L189+L192</f>
        <v>270824</v>
      </c>
      <c r="M229" s="1502">
        <f t="shared" si="12"/>
        <v>320699</v>
      </c>
      <c r="N229" s="1502">
        <f t="shared" si="12"/>
        <v>0</v>
      </c>
      <c r="O229" s="1502">
        <f t="shared" si="12"/>
        <v>0</v>
      </c>
      <c r="P229" s="1502">
        <f t="shared" si="12"/>
        <v>35096</v>
      </c>
      <c r="Q229" s="1502">
        <f t="shared" si="12"/>
        <v>0</v>
      </c>
      <c r="R229" s="1561">
        <f t="shared" si="12"/>
        <v>0</v>
      </c>
      <c r="S229" s="1498"/>
      <c r="T229" s="1498"/>
      <c r="U229" s="1498"/>
      <c r="V229" s="1498"/>
      <c r="W229" s="1498"/>
      <c r="X229" s="1498"/>
      <c r="Y229" s="1498"/>
      <c r="Z229" s="1498"/>
      <c r="AA229" s="1498"/>
      <c r="AB229" s="1498"/>
      <c r="AC229" s="1498"/>
      <c r="AD229" s="1498"/>
      <c r="AE229" s="1498"/>
    </row>
    <row r="230" spans="1:31" s="1506" customFormat="1" ht="36" customHeight="1">
      <c r="A230" s="1470">
        <v>223</v>
      </c>
      <c r="B230" s="1929" t="s">
        <v>221</v>
      </c>
      <c r="C230" s="1929"/>
      <c r="D230" s="1929"/>
      <c r="E230" s="1929"/>
      <c r="F230" s="1693"/>
      <c r="G230" s="1694">
        <f>SUM(G226,G105)</f>
        <v>10261489</v>
      </c>
      <c r="H230" s="1694">
        <f>SUM(H226,H105)</f>
        <v>11771027</v>
      </c>
      <c r="I230" s="1694">
        <f>SUM(I226,I105)</f>
        <v>12380731</v>
      </c>
      <c r="J230" s="1695"/>
      <c r="K230" s="1694"/>
      <c r="L230" s="1694"/>
      <c r="M230" s="1694"/>
      <c r="N230" s="1694"/>
      <c r="O230" s="1694"/>
      <c r="P230" s="1694"/>
      <c r="Q230" s="1694"/>
      <c r="R230" s="1696"/>
      <c r="S230" s="1505"/>
      <c r="T230" s="1505"/>
      <c r="U230" s="1505"/>
      <c r="V230" s="1505"/>
      <c r="W230" s="1505"/>
      <c r="X230" s="1505"/>
      <c r="Y230" s="1505"/>
      <c r="Z230" s="1505"/>
      <c r="AA230" s="1505"/>
      <c r="AB230" s="1505"/>
      <c r="AC230" s="1505"/>
      <c r="AD230" s="1505"/>
      <c r="AE230" s="1505"/>
    </row>
    <row r="231" spans="1:31" s="1499" customFormat="1" ht="18" customHeight="1">
      <c r="A231" s="1470">
        <v>224</v>
      </c>
      <c r="B231" s="1651"/>
      <c r="C231" s="1680"/>
      <c r="D231" s="1529"/>
      <c r="E231" s="1681" t="s">
        <v>198</v>
      </c>
      <c r="F231" s="1682"/>
      <c r="G231" s="1531"/>
      <c r="H231" s="1531"/>
      <c r="I231" s="1532"/>
      <c r="J231" s="1533">
        <f>SUM(K231:R231)</f>
        <v>13111714</v>
      </c>
      <c r="K231" s="1684">
        <f t="shared" ref="K231:R232" si="13">SUM(K227,K106)</f>
        <v>7373892</v>
      </c>
      <c r="L231" s="1684">
        <f t="shared" si="13"/>
        <v>1083960</v>
      </c>
      <c r="M231" s="1684">
        <f t="shared" si="13"/>
        <v>4272484</v>
      </c>
      <c r="N231" s="1684">
        <f t="shared" si="13"/>
        <v>0</v>
      </c>
      <c r="O231" s="1684">
        <f t="shared" si="13"/>
        <v>6754</v>
      </c>
      <c r="P231" s="1684">
        <f t="shared" si="13"/>
        <v>374624</v>
      </c>
      <c r="Q231" s="1684">
        <f t="shared" si="13"/>
        <v>0</v>
      </c>
      <c r="R231" s="1685">
        <f t="shared" si="13"/>
        <v>0</v>
      </c>
      <c r="S231" s="1498"/>
      <c r="T231" s="1498"/>
      <c r="U231" s="1498"/>
      <c r="V231" s="1498"/>
      <c r="W231" s="1498"/>
      <c r="X231" s="1498"/>
      <c r="Y231" s="1498"/>
      <c r="Z231" s="1498"/>
      <c r="AA231" s="1498"/>
      <c r="AB231" s="1498"/>
      <c r="AC231" s="1498"/>
      <c r="AD231" s="1498"/>
      <c r="AE231" s="1498"/>
    </row>
    <row r="232" spans="1:31" s="1499" customFormat="1" ht="18" customHeight="1">
      <c r="A232" s="1470">
        <v>225</v>
      </c>
      <c r="B232" s="1651"/>
      <c r="C232" s="1697"/>
      <c r="D232" s="1529"/>
      <c r="E232" s="170" t="s">
        <v>765</v>
      </c>
      <c r="F232" s="1682"/>
      <c r="G232" s="1531"/>
      <c r="H232" s="1531"/>
      <c r="I232" s="1532"/>
      <c r="J232" s="1536">
        <f>SUM(K232:R232)</f>
        <v>15811193</v>
      </c>
      <c r="K232" s="1688">
        <f t="shared" si="13"/>
        <v>8316143</v>
      </c>
      <c r="L232" s="1688">
        <f t="shared" si="13"/>
        <v>1220199</v>
      </c>
      <c r="M232" s="1688">
        <f t="shared" si="13"/>
        <v>5573512</v>
      </c>
      <c r="N232" s="1688">
        <f t="shared" si="13"/>
        <v>0</v>
      </c>
      <c r="O232" s="1688">
        <f t="shared" si="13"/>
        <v>11518</v>
      </c>
      <c r="P232" s="1688">
        <f t="shared" si="13"/>
        <v>687846</v>
      </c>
      <c r="Q232" s="1688">
        <f t="shared" si="13"/>
        <v>0</v>
      </c>
      <c r="R232" s="1689">
        <f t="shared" si="13"/>
        <v>1975</v>
      </c>
      <c r="S232" s="1498"/>
      <c r="T232" s="1498"/>
      <c r="U232" s="1498"/>
      <c r="V232" s="1498"/>
      <c r="W232" s="1498"/>
      <c r="X232" s="1498"/>
      <c r="Y232" s="1498"/>
      <c r="Z232" s="1498"/>
      <c r="AA232" s="1498"/>
      <c r="AB232" s="1498"/>
      <c r="AC232" s="1498"/>
      <c r="AD232" s="1498"/>
      <c r="AE232" s="1498"/>
    </row>
    <row r="233" spans="1:31" s="1499" customFormat="1" ht="18" customHeight="1" thickBot="1">
      <c r="A233" s="1470">
        <v>226</v>
      </c>
      <c r="B233" s="1490"/>
      <c r="C233" s="1698"/>
      <c r="D233" s="1491"/>
      <c r="E233" s="165" t="s">
        <v>1022</v>
      </c>
      <c r="F233" s="1691"/>
      <c r="G233" s="1493"/>
      <c r="H233" s="1493"/>
      <c r="I233" s="1494"/>
      <c r="J233" s="1614">
        <f>SUM(K233:R233)</f>
        <v>13552260</v>
      </c>
      <c r="K233" s="1699">
        <f t="shared" ref="K233:R233" si="14">K229+K108</f>
        <v>7739679</v>
      </c>
      <c r="L233" s="1699">
        <f t="shared" si="14"/>
        <v>1113445</v>
      </c>
      <c r="M233" s="1699">
        <f t="shared" si="14"/>
        <v>4218907</v>
      </c>
      <c r="N233" s="1699">
        <f t="shared" si="14"/>
        <v>0</v>
      </c>
      <c r="O233" s="1699">
        <f t="shared" si="14"/>
        <v>11375</v>
      </c>
      <c r="P233" s="1699">
        <f t="shared" si="14"/>
        <v>466880</v>
      </c>
      <c r="Q233" s="1699">
        <f t="shared" si="14"/>
        <v>0</v>
      </c>
      <c r="R233" s="1700">
        <f t="shared" si="14"/>
        <v>1974</v>
      </c>
      <c r="S233" s="1498"/>
      <c r="T233" s="1498"/>
      <c r="U233" s="1498"/>
      <c r="V233" s="1498"/>
      <c r="W233" s="1498"/>
      <c r="X233" s="1498"/>
      <c r="Y233" s="1498"/>
      <c r="Z233" s="1498"/>
      <c r="AA233" s="1498"/>
      <c r="AB233" s="1498"/>
      <c r="AC233" s="1498"/>
      <c r="AD233" s="1498"/>
      <c r="AE233" s="1498"/>
    </row>
    <row r="234" spans="1:31" s="1517" customFormat="1" ht="15" customHeight="1">
      <c r="A234" s="1470">
        <v>227</v>
      </c>
      <c r="B234" s="1930" t="s">
        <v>285</v>
      </c>
      <c r="C234" s="1930"/>
      <c r="D234" s="1930"/>
      <c r="E234" s="1930"/>
      <c r="F234" s="1701"/>
      <c r="G234" s="1610"/>
      <c r="H234" s="1610"/>
      <c r="I234" s="1702"/>
      <c r="J234" s="1703"/>
      <c r="K234" s="1610"/>
      <c r="L234" s="1610"/>
      <c r="M234" s="1610"/>
      <c r="N234" s="1610"/>
      <c r="O234" s="1610"/>
      <c r="P234" s="1610"/>
      <c r="Q234" s="1610"/>
      <c r="R234" s="1611"/>
      <c r="S234" s="24"/>
      <c r="T234" s="172"/>
      <c r="U234" s="172"/>
      <c r="V234" s="172"/>
      <c r="W234" s="172"/>
      <c r="X234" s="172"/>
      <c r="Y234" s="172"/>
      <c r="Z234" s="172"/>
      <c r="AA234" s="172"/>
      <c r="AB234" s="172"/>
      <c r="AC234" s="172"/>
      <c r="AD234" s="172"/>
      <c r="AE234" s="172"/>
    </row>
    <row r="235" spans="1:31" s="1517" customFormat="1" ht="15" customHeight="1">
      <c r="A235" s="1470">
        <v>228</v>
      </c>
      <c r="B235" s="1927" t="s">
        <v>286</v>
      </c>
      <c r="C235" s="1927"/>
      <c r="D235" s="1927"/>
      <c r="E235" s="1927"/>
      <c r="F235" s="1927"/>
      <c r="G235" s="1677">
        <f>SUM(G63:G85,G59,G38,G101)</f>
        <v>6971458</v>
      </c>
      <c r="H235" s="1677">
        <f>SUM(H63:H85,H59,H38,H101)</f>
        <v>8284258</v>
      </c>
      <c r="I235" s="1704">
        <f>SUM(I63:I85,I59,I38,I101)</f>
        <v>8601370</v>
      </c>
      <c r="J235" s="1705"/>
      <c r="K235" s="1583"/>
      <c r="L235" s="1583"/>
      <c r="M235" s="1583"/>
      <c r="N235" s="1583"/>
      <c r="O235" s="1583"/>
      <c r="P235" s="1583"/>
      <c r="Q235" s="1583"/>
      <c r="R235" s="1706"/>
      <c r="S235" s="24"/>
      <c r="T235" s="172"/>
      <c r="U235" s="172"/>
      <c r="V235" s="172"/>
      <c r="W235" s="172"/>
      <c r="X235" s="172"/>
      <c r="Y235" s="172"/>
      <c r="Z235" s="172"/>
      <c r="AA235" s="172"/>
      <c r="AB235" s="172"/>
      <c r="AC235" s="172"/>
      <c r="AD235" s="172"/>
      <c r="AE235" s="172"/>
    </row>
    <row r="236" spans="1:31" s="1499" customFormat="1" ht="15" customHeight="1">
      <c r="A236" s="1470">
        <v>229</v>
      </c>
      <c r="B236" s="1707"/>
      <c r="C236" s="1708"/>
      <c r="D236" s="1708"/>
      <c r="E236" s="1492" t="s">
        <v>198</v>
      </c>
      <c r="F236" s="1709"/>
      <c r="G236" s="1710"/>
      <c r="H236" s="1710"/>
      <c r="I236" s="1711"/>
      <c r="J236" s="1673">
        <f>SUM(K236:R236)</f>
        <v>9310672</v>
      </c>
      <c r="K236" s="1673">
        <f t="shared" ref="K236:R237" si="15">SUM(K39,K60,K64,K70,K75,K80,K102,)</f>
        <v>4905809</v>
      </c>
      <c r="L236" s="1673">
        <f t="shared" si="15"/>
        <v>741664</v>
      </c>
      <c r="M236" s="1673">
        <f t="shared" si="15"/>
        <v>3385581</v>
      </c>
      <c r="N236" s="1673">
        <f t="shared" si="15"/>
        <v>0</v>
      </c>
      <c r="O236" s="1673">
        <f t="shared" si="15"/>
        <v>6754</v>
      </c>
      <c r="P236" s="1673">
        <f t="shared" si="15"/>
        <v>270864</v>
      </c>
      <c r="Q236" s="1673">
        <f t="shared" si="15"/>
        <v>0</v>
      </c>
      <c r="R236" s="1712">
        <f t="shared" si="15"/>
        <v>0</v>
      </c>
      <c r="S236" s="1510"/>
      <c r="T236" s="1498"/>
      <c r="U236" s="1498"/>
      <c r="V236" s="1498"/>
      <c r="W236" s="1498"/>
      <c r="X236" s="1498"/>
      <c r="Y236" s="1498"/>
      <c r="Z236" s="1498"/>
      <c r="AA236" s="1498"/>
      <c r="AB236" s="1498"/>
      <c r="AC236" s="1498"/>
      <c r="AD236" s="1498"/>
      <c r="AE236" s="1498"/>
    </row>
    <row r="237" spans="1:31" s="1499" customFormat="1" ht="15" customHeight="1">
      <c r="A237" s="1470">
        <v>230</v>
      </c>
      <c r="B237" s="1707"/>
      <c r="C237" s="1708"/>
      <c r="D237" s="1708"/>
      <c r="E237" s="163" t="s">
        <v>765</v>
      </c>
      <c r="F237" s="1709"/>
      <c r="G237" s="1710"/>
      <c r="H237" s="1710"/>
      <c r="I237" s="1711"/>
      <c r="J237" s="1674">
        <f>SUM(K237:R237)</f>
        <v>10686601</v>
      </c>
      <c r="K237" s="1674">
        <f t="shared" si="15"/>
        <v>5396700</v>
      </c>
      <c r="L237" s="1674">
        <f t="shared" si="15"/>
        <v>823876</v>
      </c>
      <c r="M237" s="1674">
        <f t="shared" si="15"/>
        <v>4061856</v>
      </c>
      <c r="N237" s="1674">
        <f t="shared" si="15"/>
        <v>0</v>
      </c>
      <c r="O237" s="1674">
        <f t="shared" si="15"/>
        <v>10465</v>
      </c>
      <c r="P237" s="1674">
        <f t="shared" si="15"/>
        <v>391729</v>
      </c>
      <c r="Q237" s="1674">
        <f t="shared" si="15"/>
        <v>0</v>
      </c>
      <c r="R237" s="1675">
        <f t="shared" si="15"/>
        <v>1975</v>
      </c>
      <c r="S237" s="1510"/>
      <c r="T237" s="1498"/>
      <c r="U237" s="1498"/>
      <c r="V237" s="1498"/>
      <c r="W237" s="1498"/>
      <c r="X237" s="1498"/>
      <c r="Y237" s="1498"/>
      <c r="Z237" s="1498"/>
      <c r="AA237" s="1498"/>
      <c r="AB237" s="1498"/>
      <c r="AC237" s="1498"/>
      <c r="AD237" s="1498"/>
      <c r="AE237" s="1498"/>
    </row>
    <row r="238" spans="1:31" s="1499" customFormat="1" ht="15" customHeight="1">
      <c r="A238" s="1470">
        <v>231</v>
      </c>
      <c r="B238" s="1707"/>
      <c r="C238" s="1708"/>
      <c r="D238" s="1708"/>
      <c r="E238" s="165" t="s">
        <v>1022</v>
      </c>
      <c r="F238" s="1709"/>
      <c r="G238" s="1710"/>
      <c r="H238" s="1710"/>
      <c r="I238" s="1711"/>
      <c r="J238" s="1614">
        <f>SUM(K238:R238)</f>
        <v>9612099</v>
      </c>
      <c r="K238" s="1699">
        <f t="shared" ref="K238:R238" si="16">K104+K82+K77+K72+K66+K62+K41</f>
        <v>5228075</v>
      </c>
      <c r="L238" s="1699">
        <f t="shared" si="16"/>
        <v>768778</v>
      </c>
      <c r="M238" s="1699">
        <f t="shared" si="16"/>
        <v>3251535</v>
      </c>
      <c r="N238" s="1699">
        <f t="shared" si="16"/>
        <v>0</v>
      </c>
      <c r="O238" s="1699">
        <f t="shared" si="16"/>
        <v>10323</v>
      </c>
      <c r="P238" s="1699">
        <f t="shared" si="16"/>
        <v>351414</v>
      </c>
      <c r="Q238" s="1699">
        <f t="shared" si="16"/>
        <v>0</v>
      </c>
      <c r="R238" s="1700">
        <f t="shared" si="16"/>
        <v>1974</v>
      </c>
      <c r="S238" s="1510"/>
      <c r="T238" s="1498"/>
      <c r="U238" s="1498"/>
      <c r="V238" s="1498"/>
      <c r="W238" s="1498"/>
      <c r="X238" s="1498"/>
      <c r="Y238" s="1498"/>
      <c r="Z238" s="1498"/>
      <c r="AA238" s="1498"/>
      <c r="AB238" s="1498"/>
      <c r="AC238" s="1498"/>
      <c r="AD238" s="1498"/>
      <c r="AE238" s="1498"/>
    </row>
    <row r="239" spans="1:31" s="1517" customFormat="1" ht="15" customHeight="1">
      <c r="A239" s="1470">
        <v>232</v>
      </c>
      <c r="B239" s="1927" t="s">
        <v>285</v>
      </c>
      <c r="C239" s="1927"/>
      <c r="D239" s="1927"/>
      <c r="E239" s="1927"/>
      <c r="F239" s="1713"/>
      <c r="G239" s="1677"/>
      <c r="H239" s="1677"/>
      <c r="I239" s="1714"/>
      <c r="J239" s="1715"/>
      <c r="K239" s="1677"/>
      <c r="L239" s="1677"/>
      <c r="M239" s="1677"/>
      <c r="N239" s="1677"/>
      <c r="O239" s="1677"/>
      <c r="P239" s="1677"/>
      <c r="Q239" s="1677"/>
      <c r="R239" s="1716"/>
      <c r="S239" s="24"/>
      <c r="T239" s="172"/>
      <c r="U239" s="172"/>
      <c r="V239" s="172"/>
      <c r="W239" s="172"/>
      <c r="X239" s="172"/>
      <c r="Y239" s="172"/>
      <c r="Z239" s="172"/>
      <c r="AA239" s="172"/>
      <c r="AB239" s="172"/>
      <c r="AC239" s="172"/>
      <c r="AD239" s="172"/>
      <c r="AE239" s="172"/>
    </row>
    <row r="240" spans="1:31" s="1517" customFormat="1" ht="15" customHeight="1">
      <c r="A240" s="1470">
        <v>233</v>
      </c>
      <c r="B240" s="1927" t="s">
        <v>287</v>
      </c>
      <c r="C240" s="1927"/>
      <c r="D240" s="1927"/>
      <c r="E240" s="1927"/>
      <c r="F240" s="1927"/>
      <c r="G240" s="1677">
        <f>SUM(G86:G94)</f>
        <v>1431129</v>
      </c>
      <c r="H240" s="1677">
        <f>SUM(H86:H94)</f>
        <v>1193379</v>
      </c>
      <c r="I240" s="1714">
        <f>SUM(I86:I94)</f>
        <v>1614856</v>
      </c>
      <c r="J240" s="1717"/>
      <c r="K240" s="1677"/>
      <c r="L240" s="1677"/>
      <c r="M240" s="1677"/>
      <c r="N240" s="1677"/>
      <c r="O240" s="1677"/>
      <c r="P240" s="1677"/>
      <c r="Q240" s="1677"/>
      <c r="R240" s="1716"/>
      <c r="S240" s="24"/>
      <c r="T240" s="172"/>
      <c r="U240" s="172"/>
      <c r="V240" s="172"/>
      <c r="W240" s="172"/>
      <c r="X240" s="172"/>
      <c r="Y240" s="172"/>
      <c r="Z240" s="172"/>
      <c r="AA240" s="172"/>
      <c r="AB240" s="172"/>
      <c r="AC240" s="172"/>
      <c r="AD240" s="172"/>
      <c r="AE240" s="172"/>
    </row>
    <row r="241" spans="1:31" s="1499" customFormat="1" ht="15" customHeight="1">
      <c r="A241" s="1470">
        <v>234</v>
      </c>
      <c r="B241" s="1707"/>
      <c r="C241" s="1708"/>
      <c r="D241" s="1708"/>
      <c r="E241" s="1492" t="s">
        <v>198</v>
      </c>
      <c r="F241" s="1709"/>
      <c r="G241" s="1710"/>
      <c r="H241" s="1710"/>
      <c r="I241" s="1711"/>
      <c r="J241" s="1718">
        <f>SUM(K241:R241)</f>
        <v>1216220</v>
      </c>
      <c r="K241" s="1673">
        <f t="shared" ref="K241:R242" si="17">SUM(K87,K94)</f>
        <v>700899</v>
      </c>
      <c r="L241" s="1673">
        <f t="shared" si="17"/>
        <v>77543</v>
      </c>
      <c r="M241" s="1673">
        <f t="shared" si="17"/>
        <v>432168</v>
      </c>
      <c r="N241" s="1673">
        <f t="shared" si="17"/>
        <v>0</v>
      </c>
      <c r="O241" s="1673">
        <f t="shared" si="17"/>
        <v>0</v>
      </c>
      <c r="P241" s="1673">
        <f t="shared" si="17"/>
        <v>5610</v>
      </c>
      <c r="Q241" s="1673">
        <f t="shared" si="17"/>
        <v>0</v>
      </c>
      <c r="R241" s="1712">
        <f t="shared" si="17"/>
        <v>0</v>
      </c>
      <c r="S241" s="1510"/>
      <c r="T241" s="1498"/>
      <c r="U241" s="1498"/>
      <c r="V241" s="1498"/>
      <c r="W241" s="1498"/>
      <c r="X241" s="1498"/>
      <c r="Y241" s="1498"/>
      <c r="Z241" s="1498"/>
      <c r="AA241" s="1498"/>
      <c r="AB241" s="1498"/>
      <c r="AC241" s="1498"/>
      <c r="AD241" s="1498"/>
      <c r="AE241" s="1498"/>
    </row>
    <row r="242" spans="1:31" s="1499" customFormat="1" ht="15" customHeight="1">
      <c r="A242" s="1470">
        <v>235</v>
      </c>
      <c r="B242" s="1707"/>
      <c r="C242" s="1708"/>
      <c r="D242" s="1708"/>
      <c r="E242" s="163" t="s">
        <v>765</v>
      </c>
      <c r="F242" s="1709"/>
      <c r="G242" s="1710"/>
      <c r="H242" s="1710"/>
      <c r="I242" s="1711"/>
      <c r="J242" s="1719">
        <f>SUM(K242:R242)</f>
        <v>1685871</v>
      </c>
      <c r="K242" s="1674">
        <f t="shared" si="17"/>
        <v>767524</v>
      </c>
      <c r="L242" s="1674">
        <f t="shared" si="17"/>
        <v>75196</v>
      </c>
      <c r="M242" s="1674">
        <f t="shared" si="17"/>
        <v>749024</v>
      </c>
      <c r="N242" s="1674">
        <f t="shared" si="17"/>
        <v>0</v>
      </c>
      <c r="O242" s="1674">
        <f t="shared" si="17"/>
        <v>1053</v>
      </c>
      <c r="P242" s="1674">
        <f t="shared" si="17"/>
        <v>93074</v>
      </c>
      <c r="Q242" s="1674">
        <f t="shared" si="17"/>
        <v>0</v>
      </c>
      <c r="R242" s="1675">
        <f t="shared" si="17"/>
        <v>0</v>
      </c>
      <c r="S242" s="1510"/>
      <c r="T242" s="1498"/>
      <c r="U242" s="1498"/>
      <c r="V242" s="1498"/>
      <c r="W242" s="1498"/>
      <c r="X242" s="1498"/>
      <c r="Y242" s="1498"/>
      <c r="Z242" s="1498"/>
      <c r="AA242" s="1498"/>
      <c r="AB242" s="1498"/>
      <c r="AC242" s="1498"/>
      <c r="AD242" s="1498"/>
      <c r="AE242" s="1498"/>
    </row>
    <row r="243" spans="1:31" s="1499" customFormat="1" ht="15" customHeight="1">
      <c r="A243" s="1470">
        <v>236</v>
      </c>
      <c r="B243" s="1707"/>
      <c r="C243" s="1708"/>
      <c r="D243" s="1708"/>
      <c r="E243" s="165" t="s">
        <v>1022</v>
      </c>
      <c r="F243" s="1709"/>
      <c r="G243" s="1710"/>
      <c r="H243" s="1710"/>
      <c r="I243" s="1711"/>
      <c r="J243" s="1614">
        <f>SUM(K243:R243)</f>
        <v>1519544</v>
      </c>
      <c r="K243" s="1699">
        <f>K89+K96</f>
        <v>717606</v>
      </c>
      <c r="L243" s="1699">
        <f t="shared" ref="L243:R243" si="18">L89+L96</f>
        <v>73843</v>
      </c>
      <c r="M243" s="1699">
        <f t="shared" si="18"/>
        <v>646673</v>
      </c>
      <c r="N243" s="1699">
        <f t="shared" si="18"/>
        <v>0</v>
      </c>
      <c r="O243" s="1699">
        <f t="shared" si="18"/>
        <v>1052</v>
      </c>
      <c r="P243" s="1699">
        <f t="shared" si="18"/>
        <v>80370</v>
      </c>
      <c r="Q243" s="1699">
        <f t="shared" si="18"/>
        <v>0</v>
      </c>
      <c r="R243" s="1700">
        <f t="shared" si="18"/>
        <v>0</v>
      </c>
      <c r="S243" s="1510"/>
      <c r="T243" s="1498"/>
      <c r="U243" s="1498"/>
      <c r="V243" s="1498"/>
      <c r="W243" s="1498"/>
      <c r="X243" s="1498"/>
      <c r="Y243" s="1498"/>
      <c r="Z243" s="1498"/>
      <c r="AA243" s="1498"/>
      <c r="AB243" s="1498"/>
      <c r="AC243" s="1498"/>
      <c r="AD243" s="1498"/>
      <c r="AE243" s="1498"/>
    </row>
    <row r="244" spans="1:31" s="1517" customFormat="1" ht="15" customHeight="1">
      <c r="A244" s="1470">
        <v>237</v>
      </c>
      <c r="B244" s="1927" t="s">
        <v>285</v>
      </c>
      <c r="C244" s="1927"/>
      <c r="D244" s="1927"/>
      <c r="E244" s="1927"/>
      <c r="F244" s="1713"/>
      <c r="G244" s="1677"/>
      <c r="H244" s="1677"/>
      <c r="I244" s="1714"/>
      <c r="J244" s="1715"/>
      <c r="K244" s="1674"/>
      <c r="L244" s="1674"/>
      <c r="M244" s="1674"/>
      <c r="N244" s="1674"/>
      <c r="O244" s="1674"/>
      <c r="P244" s="1674"/>
      <c r="Q244" s="1674"/>
      <c r="R244" s="1675"/>
      <c r="S244" s="24"/>
      <c r="T244" s="172"/>
      <c r="U244" s="172"/>
      <c r="V244" s="172"/>
      <c r="W244" s="172"/>
      <c r="X244" s="172"/>
      <c r="Y244" s="172"/>
      <c r="Z244" s="172"/>
      <c r="AA244" s="172"/>
      <c r="AB244" s="172"/>
      <c r="AC244" s="172"/>
      <c r="AD244" s="172"/>
      <c r="AE244" s="172"/>
    </row>
    <row r="245" spans="1:31" s="1517" customFormat="1" ht="15" customHeight="1">
      <c r="A245" s="1470">
        <v>238</v>
      </c>
      <c r="B245" s="1928" t="s">
        <v>1207</v>
      </c>
      <c r="C245" s="1928"/>
      <c r="D245" s="1928"/>
      <c r="E245" s="1928"/>
      <c r="F245" s="1928"/>
      <c r="G245" s="1720">
        <f>SUM(G226)</f>
        <v>1858902</v>
      </c>
      <c r="H245" s="1720">
        <f>SUM(H226)</f>
        <v>2293390</v>
      </c>
      <c r="I245" s="1721">
        <f>SUM(I226)</f>
        <v>2164505</v>
      </c>
      <c r="J245" s="1717"/>
      <c r="K245" s="1677"/>
      <c r="L245" s="1677"/>
      <c r="M245" s="1677"/>
      <c r="N245" s="1677"/>
      <c r="O245" s="1677"/>
      <c r="P245" s="1677"/>
      <c r="Q245" s="1677"/>
      <c r="R245" s="1716"/>
      <c r="S245" s="24"/>
      <c r="T245" s="172"/>
      <c r="U245" s="172"/>
      <c r="V245" s="172"/>
      <c r="W245" s="172"/>
      <c r="X245" s="172"/>
      <c r="Y245" s="172"/>
      <c r="Z245" s="172"/>
      <c r="AA245" s="172"/>
      <c r="AB245" s="172"/>
      <c r="AC245" s="172"/>
      <c r="AD245" s="172"/>
      <c r="AE245" s="172"/>
    </row>
    <row r="246" spans="1:31" s="1511" customFormat="1" ht="15" customHeight="1">
      <c r="A246" s="1470">
        <v>239</v>
      </c>
      <c r="B246" s="1722"/>
      <c r="C246" s="1723"/>
      <c r="D246" s="1723"/>
      <c r="E246" s="1575" t="s">
        <v>198</v>
      </c>
      <c r="F246" s="1724"/>
      <c r="G246" s="1725"/>
      <c r="H246" s="1725"/>
      <c r="I246" s="1726"/>
      <c r="J246" s="1727">
        <f>SUM(K246:R246)</f>
        <v>2584822</v>
      </c>
      <c r="K246" s="1684">
        <f t="shared" ref="K246:R248" si="19">K227</f>
        <v>1767184</v>
      </c>
      <c r="L246" s="1684">
        <f t="shared" si="19"/>
        <v>264753</v>
      </c>
      <c r="M246" s="1684">
        <f t="shared" si="19"/>
        <v>454735</v>
      </c>
      <c r="N246" s="1684">
        <f t="shared" si="19"/>
        <v>0</v>
      </c>
      <c r="O246" s="1684">
        <f t="shared" si="19"/>
        <v>0</v>
      </c>
      <c r="P246" s="1684">
        <f t="shared" si="19"/>
        <v>98150</v>
      </c>
      <c r="Q246" s="1684">
        <f t="shared" si="19"/>
        <v>0</v>
      </c>
      <c r="R246" s="1685">
        <f t="shared" si="19"/>
        <v>0</v>
      </c>
      <c r="S246" s="1510"/>
      <c r="T246" s="1510"/>
      <c r="U246" s="1510"/>
      <c r="V246" s="1510"/>
      <c r="W246" s="1510"/>
      <c r="X246" s="1510"/>
      <c r="Y246" s="1510"/>
      <c r="Z246" s="1510"/>
      <c r="AA246" s="1510"/>
      <c r="AB246" s="1510"/>
      <c r="AC246" s="1510"/>
      <c r="AD246" s="1510"/>
      <c r="AE246" s="1510"/>
    </row>
    <row r="247" spans="1:31" s="1511" customFormat="1" ht="15" customHeight="1">
      <c r="A247" s="1470">
        <v>240</v>
      </c>
      <c r="B247" s="1728"/>
      <c r="C247" s="1709"/>
      <c r="D247" s="1729"/>
      <c r="E247" s="163" t="s">
        <v>765</v>
      </c>
      <c r="F247" s="1729"/>
      <c r="G247" s="1730"/>
      <c r="H247" s="1731"/>
      <c r="I247" s="1732"/>
      <c r="J247" s="1733">
        <f>SUM(K247:R247)</f>
        <v>3438721</v>
      </c>
      <c r="K247" s="1688">
        <f t="shared" si="19"/>
        <v>2151919</v>
      </c>
      <c r="L247" s="1688">
        <f t="shared" si="19"/>
        <v>321127</v>
      </c>
      <c r="M247" s="1688">
        <f t="shared" si="19"/>
        <v>762632</v>
      </c>
      <c r="N247" s="1688">
        <f t="shared" si="19"/>
        <v>0</v>
      </c>
      <c r="O247" s="1688">
        <f t="shared" si="19"/>
        <v>0</v>
      </c>
      <c r="P247" s="1688">
        <f t="shared" si="19"/>
        <v>203043</v>
      </c>
      <c r="Q247" s="1688">
        <f t="shared" si="19"/>
        <v>0</v>
      </c>
      <c r="R247" s="1689">
        <f t="shared" si="19"/>
        <v>0</v>
      </c>
      <c r="S247" s="1510"/>
      <c r="T247" s="1510"/>
      <c r="U247" s="1510"/>
      <c r="V247" s="1510"/>
      <c r="W247" s="1510"/>
      <c r="X247" s="1510"/>
      <c r="Y247" s="1510"/>
      <c r="Z247" s="1510"/>
      <c r="AA247" s="1510"/>
      <c r="AB247" s="1510"/>
      <c r="AC247" s="1510"/>
      <c r="AD247" s="1510"/>
      <c r="AE247" s="1510"/>
    </row>
    <row r="248" spans="1:31" s="1511" customFormat="1" ht="15" customHeight="1" thickBot="1">
      <c r="A248" s="1470">
        <v>241</v>
      </c>
      <c r="B248" s="1734"/>
      <c r="C248" s="1735"/>
      <c r="D248" s="1736"/>
      <c r="E248" s="1303" t="s">
        <v>1022</v>
      </c>
      <c r="F248" s="1736"/>
      <c r="G248" s="1737"/>
      <c r="H248" s="1738"/>
      <c r="I248" s="1739"/>
      <c r="J248" s="1605">
        <f>SUM(K248:R248)</f>
        <v>2420617</v>
      </c>
      <c r="K248" s="1740">
        <f t="shared" si="19"/>
        <v>1793998</v>
      </c>
      <c r="L248" s="1741">
        <f t="shared" si="19"/>
        <v>270824</v>
      </c>
      <c r="M248" s="1741">
        <f t="shared" si="19"/>
        <v>320699</v>
      </c>
      <c r="N248" s="1741">
        <f t="shared" si="19"/>
        <v>0</v>
      </c>
      <c r="O248" s="1741">
        <f t="shared" si="19"/>
        <v>0</v>
      </c>
      <c r="P248" s="1741">
        <f t="shared" si="19"/>
        <v>35096</v>
      </c>
      <c r="Q248" s="1741">
        <f t="shared" si="19"/>
        <v>0</v>
      </c>
      <c r="R248" s="1742">
        <f t="shared" si="19"/>
        <v>0</v>
      </c>
      <c r="S248" s="1510"/>
      <c r="T248" s="1510"/>
      <c r="U248" s="1510"/>
      <c r="V248" s="1510"/>
      <c r="W248" s="1510"/>
      <c r="X248" s="1510"/>
      <c r="Y248" s="1510"/>
      <c r="Z248" s="1510"/>
      <c r="AA248" s="1510"/>
      <c r="AB248" s="1510"/>
      <c r="AC248" s="1510"/>
      <c r="AD248" s="1510"/>
      <c r="AE248" s="1510"/>
    </row>
    <row r="249" spans="1:31" s="1748" customFormat="1" ht="18" customHeight="1">
      <c r="A249" s="28"/>
      <c r="B249" s="1743" t="s">
        <v>288</v>
      </c>
      <c r="C249" s="1743"/>
      <c r="D249" s="1743"/>
      <c r="E249" s="1744"/>
      <c r="F249" s="1745"/>
      <c r="G249" s="1746"/>
      <c r="H249" s="1746"/>
      <c r="I249" s="1746"/>
      <c r="J249" s="1747"/>
      <c r="K249" s="1746"/>
      <c r="L249" s="1746"/>
      <c r="M249" s="1746"/>
      <c r="N249" s="1746"/>
      <c r="O249" s="1746"/>
      <c r="P249" s="1746"/>
      <c r="Q249" s="1746"/>
      <c r="R249" s="1746"/>
      <c r="S249" s="24"/>
      <c r="T249" s="24"/>
      <c r="U249" s="24"/>
      <c r="V249" s="24"/>
      <c r="W249" s="24"/>
      <c r="X249" s="24"/>
      <c r="Y249" s="24"/>
      <c r="Z249" s="24"/>
      <c r="AA249" s="24"/>
      <c r="AB249" s="24"/>
      <c r="AC249" s="24"/>
      <c r="AD249" s="24"/>
      <c r="AE249" s="24"/>
    </row>
    <row r="250" spans="1:31" s="1626" customFormat="1" ht="18" customHeight="1">
      <c r="A250" s="28"/>
      <c r="B250" s="176" t="s">
        <v>289</v>
      </c>
      <c r="C250" s="176"/>
      <c r="D250" s="176"/>
      <c r="E250" s="23"/>
      <c r="F250" s="23"/>
      <c r="G250" s="23"/>
      <c r="H250" s="23"/>
      <c r="I250" s="23"/>
      <c r="J250" s="23"/>
      <c r="K250" s="1472"/>
      <c r="L250" s="1472"/>
      <c r="M250" s="1472"/>
      <c r="N250" s="1472"/>
      <c r="O250" s="1472"/>
      <c r="P250" s="1472"/>
      <c r="Q250" s="1472"/>
      <c r="R250" s="1472"/>
      <c r="S250" s="1473"/>
      <c r="T250" s="1473"/>
      <c r="U250" s="1473"/>
      <c r="V250" s="1473"/>
      <c r="W250" s="1473"/>
      <c r="X250" s="1473"/>
      <c r="Y250" s="1473"/>
      <c r="Z250" s="1473"/>
      <c r="AA250" s="1473"/>
      <c r="AB250" s="1473"/>
      <c r="AC250" s="1473"/>
      <c r="AD250" s="1473"/>
      <c r="AE250" s="1473"/>
    </row>
    <row r="251" spans="1:31" ht="18" customHeight="1">
      <c r="A251" s="28"/>
      <c r="B251" s="176" t="s">
        <v>290</v>
      </c>
      <c r="C251" s="176"/>
      <c r="D251" s="176"/>
    </row>
    <row r="252" spans="1:31">
      <c r="K252" s="1473"/>
      <c r="L252" s="1473"/>
      <c r="M252" s="1473"/>
      <c r="N252" s="1473"/>
      <c r="O252" s="1473"/>
      <c r="P252" s="1473"/>
      <c r="Q252" s="1473"/>
      <c r="R252" s="1473"/>
    </row>
  </sheetData>
  <mergeCells count="83">
    <mergeCell ref="D78:E78"/>
    <mergeCell ref="B244:E244"/>
    <mergeCell ref="B245:F245"/>
    <mergeCell ref="B230:E230"/>
    <mergeCell ref="B234:E234"/>
    <mergeCell ref="B235:F235"/>
    <mergeCell ref="B239:E239"/>
    <mergeCell ref="B240:F240"/>
    <mergeCell ref="D222:E222"/>
    <mergeCell ref="D223:E223"/>
    <mergeCell ref="D224:E224"/>
    <mergeCell ref="D225:E225"/>
    <mergeCell ref="C226:E226"/>
    <mergeCell ref="D217:E217"/>
    <mergeCell ref="D218:E218"/>
    <mergeCell ref="D219:E219"/>
    <mergeCell ref="D220:E220"/>
    <mergeCell ref="D221:E221"/>
    <mergeCell ref="D212:E212"/>
    <mergeCell ref="D213:E213"/>
    <mergeCell ref="D214:E214"/>
    <mergeCell ref="D215:E215"/>
    <mergeCell ref="D216:E216"/>
    <mergeCell ref="D207:E207"/>
    <mergeCell ref="D208:E208"/>
    <mergeCell ref="D209:E209"/>
    <mergeCell ref="D210:E210"/>
    <mergeCell ref="D211:E211"/>
    <mergeCell ref="D202:E202"/>
    <mergeCell ref="D203:E203"/>
    <mergeCell ref="D204:E204"/>
    <mergeCell ref="D205:E205"/>
    <mergeCell ref="D206:E206"/>
    <mergeCell ref="D197:E197"/>
    <mergeCell ref="D198:E198"/>
    <mergeCell ref="D199:E199"/>
    <mergeCell ref="D200:E200"/>
    <mergeCell ref="D201:E201"/>
    <mergeCell ref="D180:E180"/>
    <mergeCell ref="D184:E184"/>
    <mergeCell ref="D187:E187"/>
    <mergeCell ref="D190:E190"/>
    <mergeCell ref="D196:E196"/>
    <mergeCell ref="D160:E160"/>
    <mergeCell ref="D164:E164"/>
    <mergeCell ref="D168:E168"/>
    <mergeCell ref="D172:E172"/>
    <mergeCell ref="D176:E176"/>
    <mergeCell ref="D140:E140"/>
    <mergeCell ref="D144:E144"/>
    <mergeCell ref="D148:E148"/>
    <mergeCell ref="D152:E152"/>
    <mergeCell ref="D156:E156"/>
    <mergeCell ref="D114:E114"/>
    <mergeCell ref="D124:E124"/>
    <mergeCell ref="D128:E128"/>
    <mergeCell ref="D132:E132"/>
    <mergeCell ref="D136:E136"/>
    <mergeCell ref="D84:E84"/>
    <mergeCell ref="D85:E85"/>
    <mergeCell ref="D92:E92"/>
    <mergeCell ref="C97:E97"/>
    <mergeCell ref="B105:E105"/>
    <mergeCell ref="C38:E38"/>
    <mergeCell ref="D58:E58"/>
    <mergeCell ref="C59:E59"/>
    <mergeCell ref="D67:E67"/>
    <mergeCell ref="D68:E68"/>
    <mergeCell ref="H6:H7"/>
    <mergeCell ref="I6:I7"/>
    <mergeCell ref="J6:J7"/>
    <mergeCell ref="K6:O6"/>
    <mergeCell ref="P6:R6"/>
    <mergeCell ref="B6:B7"/>
    <mergeCell ref="C6:C7"/>
    <mergeCell ref="D6:E7"/>
    <mergeCell ref="F6:F7"/>
    <mergeCell ref="G6:G7"/>
    <mergeCell ref="B2:R2"/>
    <mergeCell ref="B3:R3"/>
    <mergeCell ref="Q4:R4"/>
    <mergeCell ref="D5:E5"/>
    <mergeCell ref="B1:F1"/>
  </mergeCells>
  <printOptions horizontalCentered="1"/>
  <pageMargins left="0.196527777777778" right="0.196527777777778" top="0.59027777777777801" bottom="0.59027777777777801" header="0.511811023622047" footer="0.51180555555555596"/>
  <pageSetup paperSize="9" scale="58" fitToHeight="0" orientation="landscape" verticalDpi="300" r:id="rId1"/>
  <headerFooter>
    <oddFooter>&amp;C - &amp;P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M233"/>
  <sheetViews>
    <sheetView view="pageBreakPreview" topLeftCell="I222" zoomScaleNormal="100" workbookViewId="0">
      <selection activeCell="A4" sqref="A4:K232"/>
    </sheetView>
  </sheetViews>
  <sheetFormatPr defaultColWidth="9.26953125" defaultRowHeight="14.5"/>
  <cols>
    <col min="1" max="1" width="3.7265625" style="177" customWidth="1"/>
    <col min="2" max="2" width="5.7265625" style="178" customWidth="1"/>
    <col min="3" max="3" width="5.7265625" style="179" customWidth="1"/>
    <col min="4" max="4" width="59.7265625" style="180" customWidth="1"/>
    <col min="5" max="5" width="6.7265625" style="181" customWidth="1"/>
    <col min="6" max="6" width="13.7265625" style="182" customWidth="1"/>
    <col min="7" max="7" width="14.54296875" style="182" customWidth="1"/>
    <col min="8" max="8" width="13.7265625" style="183" customWidth="1"/>
    <col min="9" max="10" width="14.26953125" style="183" customWidth="1"/>
    <col min="11" max="11" width="14.26953125" style="184" customWidth="1"/>
    <col min="12" max="16384" width="9.26953125" style="185"/>
  </cols>
  <sheetData>
    <row r="1" spans="1:247" s="192" customFormat="1" ht="18" customHeight="1">
      <c r="A1" s="186"/>
      <c r="B1" s="1893" t="s">
        <v>1190</v>
      </c>
      <c r="C1" s="1893"/>
      <c r="D1" s="1893"/>
      <c r="E1" s="1893"/>
      <c r="F1" s="1893"/>
      <c r="G1" s="187"/>
      <c r="H1" s="188"/>
      <c r="I1" s="189"/>
      <c r="J1" s="189"/>
      <c r="K1" s="190"/>
      <c r="L1" s="191"/>
      <c r="M1" s="191"/>
      <c r="N1" s="191"/>
      <c r="O1" s="191"/>
      <c r="P1" s="191"/>
      <c r="Q1" s="191"/>
      <c r="R1" s="191"/>
      <c r="S1" s="191"/>
      <c r="T1" s="191"/>
      <c r="U1" s="191"/>
      <c r="V1" s="191"/>
      <c r="W1" s="191"/>
      <c r="X1" s="191"/>
      <c r="Y1" s="191"/>
      <c r="Z1" s="191"/>
      <c r="AA1" s="191"/>
      <c r="AB1" s="191"/>
      <c r="AC1" s="191"/>
      <c r="AD1" s="191"/>
      <c r="AE1" s="191"/>
      <c r="AF1" s="191"/>
      <c r="AG1" s="191"/>
      <c r="AH1" s="191"/>
      <c r="AI1" s="191"/>
      <c r="AJ1" s="191"/>
      <c r="AK1" s="191"/>
      <c r="AL1" s="191"/>
      <c r="AM1" s="191"/>
      <c r="AN1" s="191"/>
      <c r="AO1" s="191"/>
      <c r="AP1" s="191"/>
      <c r="AQ1" s="191"/>
      <c r="AR1" s="191"/>
      <c r="AS1" s="191"/>
      <c r="AT1" s="191"/>
      <c r="AU1" s="191"/>
      <c r="AV1" s="191"/>
      <c r="AW1" s="191"/>
      <c r="AX1" s="191"/>
      <c r="AY1" s="191"/>
      <c r="AZ1" s="191"/>
      <c r="BA1" s="191"/>
      <c r="BB1" s="191"/>
      <c r="BC1" s="191"/>
      <c r="BD1" s="191"/>
      <c r="BE1" s="191"/>
      <c r="BF1" s="191"/>
      <c r="BG1" s="191"/>
      <c r="BH1" s="191"/>
      <c r="BI1" s="191"/>
      <c r="BJ1" s="191"/>
      <c r="BK1" s="191"/>
      <c r="BL1" s="191"/>
      <c r="BM1" s="191"/>
      <c r="BN1" s="191"/>
      <c r="BO1" s="191"/>
      <c r="BP1" s="191"/>
      <c r="BQ1" s="191"/>
      <c r="BR1" s="191"/>
      <c r="BS1" s="191"/>
      <c r="BT1" s="191"/>
      <c r="BU1" s="191"/>
      <c r="BV1" s="191"/>
      <c r="BW1" s="191"/>
      <c r="BX1" s="191"/>
      <c r="BY1" s="191"/>
      <c r="BZ1" s="191"/>
      <c r="CA1" s="191"/>
      <c r="CB1" s="191"/>
      <c r="CC1" s="191"/>
      <c r="CD1" s="191"/>
      <c r="CE1" s="191"/>
      <c r="CF1" s="191"/>
      <c r="CG1" s="191"/>
      <c r="CH1" s="191"/>
      <c r="CI1" s="191"/>
      <c r="CJ1" s="191"/>
      <c r="CK1" s="191"/>
      <c r="CL1" s="191"/>
      <c r="CM1" s="191"/>
      <c r="CN1" s="191"/>
      <c r="CO1" s="191"/>
      <c r="CP1" s="191"/>
      <c r="CQ1" s="191"/>
      <c r="CR1" s="191"/>
      <c r="CS1" s="191"/>
      <c r="CT1" s="191"/>
      <c r="CU1" s="191"/>
      <c r="CV1" s="191"/>
      <c r="CW1" s="191"/>
      <c r="CX1" s="191"/>
      <c r="CY1" s="191"/>
      <c r="CZ1" s="191"/>
      <c r="DA1" s="191"/>
      <c r="DB1" s="191"/>
      <c r="DC1" s="191"/>
      <c r="DD1" s="191"/>
      <c r="DE1" s="191"/>
      <c r="DF1" s="191"/>
      <c r="DG1" s="191"/>
      <c r="DH1" s="191"/>
      <c r="DI1" s="191"/>
      <c r="DJ1" s="191"/>
      <c r="DK1" s="191"/>
      <c r="DL1" s="191"/>
      <c r="DM1" s="191"/>
      <c r="DN1" s="191"/>
      <c r="DO1" s="191"/>
      <c r="DP1" s="191"/>
      <c r="DQ1" s="191"/>
      <c r="DR1" s="191"/>
      <c r="DS1" s="191"/>
      <c r="DT1" s="191"/>
      <c r="DU1" s="191"/>
      <c r="DV1" s="191"/>
      <c r="DW1" s="191"/>
      <c r="DX1" s="191"/>
      <c r="DY1" s="191"/>
      <c r="DZ1" s="191"/>
      <c r="EA1" s="191"/>
      <c r="EB1" s="191"/>
      <c r="EC1" s="191"/>
      <c r="ED1" s="191"/>
      <c r="EE1" s="191"/>
      <c r="EF1" s="191"/>
      <c r="EG1" s="191"/>
      <c r="EH1" s="191"/>
      <c r="EI1" s="191"/>
      <c r="EJ1" s="191"/>
      <c r="EK1" s="191"/>
      <c r="EL1" s="191"/>
      <c r="EM1" s="191"/>
      <c r="EN1" s="191"/>
      <c r="EO1" s="191"/>
      <c r="EP1" s="191"/>
      <c r="EQ1" s="191"/>
      <c r="ER1" s="191"/>
      <c r="ES1" s="191"/>
      <c r="ET1" s="191"/>
      <c r="EU1" s="191"/>
      <c r="EV1" s="191"/>
      <c r="EW1" s="191"/>
      <c r="EX1" s="191"/>
      <c r="EY1" s="191"/>
      <c r="EZ1" s="191"/>
      <c r="FA1" s="191"/>
      <c r="FB1" s="191"/>
      <c r="FC1" s="191"/>
      <c r="FD1" s="191"/>
      <c r="FE1" s="191"/>
      <c r="FF1" s="191"/>
      <c r="FG1" s="191"/>
      <c r="FH1" s="191"/>
      <c r="FI1" s="191"/>
      <c r="FJ1" s="191"/>
      <c r="FK1" s="191"/>
      <c r="FL1" s="191"/>
      <c r="FM1" s="191"/>
      <c r="FN1" s="191"/>
      <c r="FO1" s="191"/>
      <c r="FP1" s="191"/>
      <c r="FQ1" s="191"/>
      <c r="FR1" s="191"/>
      <c r="FS1" s="191"/>
      <c r="FT1" s="191"/>
      <c r="FU1" s="191"/>
      <c r="FV1" s="191"/>
      <c r="FW1" s="191"/>
      <c r="FX1" s="191"/>
      <c r="FY1" s="191"/>
      <c r="FZ1" s="191"/>
      <c r="GA1" s="191"/>
      <c r="GB1" s="191"/>
      <c r="GC1" s="191"/>
      <c r="GD1" s="191"/>
      <c r="GE1" s="191"/>
      <c r="GF1" s="191"/>
      <c r="GG1" s="191"/>
      <c r="GH1" s="191"/>
      <c r="GI1" s="191"/>
      <c r="GJ1" s="191"/>
      <c r="GK1" s="191"/>
      <c r="GL1" s="191"/>
      <c r="GM1" s="191"/>
      <c r="GN1" s="191"/>
      <c r="GO1" s="191"/>
      <c r="GP1" s="191"/>
      <c r="GQ1" s="191"/>
      <c r="GR1" s="191"/>
      <c r="GS1" s="191"/>
      <c r="GT1" s="191"/>
      <c r="GU1" s="191"/>
      <c r="GV1" s="191"/>
      <c r="GW1" s="191"/>
      <c r="GX1" s="191"/>
      <c r="GY1" s="191"/>
      <c r="GZ1" s="191"/>
      <c r="HA1" s="191"/>
      <c r="HB1" s="191"/>
      <c r="HC1" s="191"/>
      <c r="HD1" s="191"/>
      <c r="HE1" s="191"/>
      <c r="HF1" s="191"/>
      <c r="HG1" s="191"/>
      <c r="HH1" s="191"/>
      <c r="HI1" s="191"/>
      <c r="HJ1" s="191"/>
      <c r="HK1" s="191"/>
      <c r="HL1" s="191"/>
      <c r="HM1" s="191"/>
      <c r="HN1" s="191"/>
      <c r="HO1" s="191"/>
      <c r="HP1" s="191"/>
      <c r="HQ1" s="191"/>
      <c r="HR1" s="191"/>
      <c r="HS1" s="191"/>
      <c r="HT1" s="191"/>
      <c r="HU1" s="191"/>
      <c r="HV1" s="191"/>
      <c r="HW1" s="191"/>
      <c r="HX1" s="191"/>
      <c r="HY1" s="191"/>
      <c r="HZ1" s="191"/>
      <c r="IA1" s="191"/>
      <c r="IB1" s="191"/>
      <c r="IC1" s="191"/>
      <c r="ID1" s="191"/>
      <c r="IE1" s="191"/>
      <c r="IF1" s="191"/>
      <c r="IG1" s="191"/>
      <c r="IH1" s="191"/>
      <c r="II1" s="191"/>
      <c r="IJ1" s="191"/>
      <c r="IK1" s="191"/>
      <c r="IL1" s="191"/>
      <c r="IM1" s="191"/>
    </row>
    <row r="2" spans="1:247" s="192" customFormat="1" ht="24.75" customHeight="1">
      <c r="A2" s="193"/>
      <c r="B2" s="1932" t="s">
        <v>183</v>
      </c>
      <c r="C2" s="1932"/>
      <c r="D2" s="1932"/>
      <c r="E2" s="1932"/>
      <c r="F2" s="1932"/>
      <c r="G2" s="1932"/>
      <c r="H2" s="1932"/>
      <c r="I2" s="1932"/>
      <c r="J2" s="1932"/>
      <c r="K2" s="1932"/>
    </row>
    <row r="3" spans="1:247" s="192" customFormat="1" ht="24.75" customHeight="1">
      <c r="A3" s="193"/>
      <c r="B3" s="1933" t="s">
        <v>291</v>
      </c>
      <c r="C3" s="1933"/>
      <c r="D3" s="1933"/>
      <c r="E3" s="1933"/>
      <c r="F3" s="1933"/>
      <c r="G3" s="1933"/>
      <c r="H3" s="1933"/>
      <c r="I3" s="1933"/>
      <c r="J3" s="1933"/>
      <c r="K3" s="1933"/>
    </row>
    <row r="4" spans="1:247" ht="11.25" customHeight="1">
      <c r="A4" s="178"/>
      <c r="I4" s="194"/>
      <c r="J4" s="194"/>
      <c r="K4" s="194" t="s">
        <v>0</v>
      </c>
    </row>
    <row r="5" spans="1:247" s="199" customFormat="1" ht="18" customHeight="1">
      <c r="A5" s="195"/>
      <c r="B5" s="196" t="s">
        <v>1</v>
      </c>
      <c r="C5" s="197" t="s">
        <v>2</v>
      </c>
      <c r="D5" s="197" t="s">
        <v>72</v>
      </c>
      <c r="E5" s="197" t="s">
        <v>73</v>
      </c>
      <c r="F5" s="197" t="s">
        <v>74</v>
      </c>
      <c r="G5" s="197" t="s">
        <v>75</v>
      </c>
      <c r="H5" s="197" t="s">
        <v>76</v>
      </c>
      <c r="I5" s="197" t="s">
        <v>77</v>
      </c>
      <c r="J5" s="197" t="s">
        <v>78</v>
      </c>
      <c r="K5" s="198" t="s">
        <v>79</v>
      </c>
      <c r="L5" s="195"/>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c r="AL5" s="195"/>
      <c r="AM5" s="195"/>
      <c r="AN5" s="195"/>
      <c r="AO5" s="195"/>
      <c r="AP5" s="195"/>
      <c r="AQ5" s="195"/>
      <c r="AR5" s="195"/>
      <c r="AS5" s="195"/>
      <c r="AT5" s="195"/>
      <c r="AU5" s="195"/>
      <c r="AV5" s="195"/>
      <c r="AW5" s="195"/>
      <c r="AX5" s="195"/>
      <c r="AY5" s="195"/>
      <c r="AZ5" s="195"/>
      <c r="BA5" s="195"/>
      <c r="BB5" s="195"/>
      <c r="BC5" s="195"/>
      <c r="BD5" s="195"/>
      <c r="BE5" s="195"/>
      <c r="BF5" s="195"/>
      <c r="BG5" s="195"/>
      <c r="BH5" s="195"/>
      <c r="BI5" s="195"/>
      <c r="BJ5" s="195"/>
      <c r="BK5" s="195"/>
      <c r="BL5" s="195"/>
      <c r="BM5" s="195"/>
      <c r="BN5" s="195"/>
      <c r="BO5" s="195"/>
      <c r="BP5" s="195"/>
      <c r="BQ5" s="195"/>
      <c r="BR5" s="195"/>
      <c r="BS5" s="195"/>
      <c r="BT5" s="195"/>
      <c r="BU5" s="195"/>
      <c r="BV5" s="195"/>
      <c r="BW5" s="195"/>
      <c r="BX5" s="195"/>
      <c r="BY5" s="195"/>
      <c r="BZ5" s="195"/>
      <c r="CA5" s="195"/>
      <c r="CB5" s="195"/>
      <c r="CC5" s="195"/>
      <c r="CD5" s="195"/>
      <c r="CE5" s="195"/>
      <c r="CF5" s="195"/>
      <c r="CG5" s="195"/>
      <c r="CH5" s="195"/>
      <c r="CI5" s="195"/>
      <c r="CJ5" s="195"/>
      <c r="CK5" s="195"/>
      <c r="CL5" s="195"/>
      <c r="CM5" s="195"/>
      <c r="CN5" s="195"/>
      <c r="CO5" s="195"/>
      <c r="CP5" s="195"/>
      <c r="CQ5" s="195"/>
      <c r="CR5" s="195"/>
      <c r="CS5" s="195"/>
      <c r="CT5" s="195"/>
      <c r="CU5" s="195"/>
      <c r="CV5" s="195"/>
      <c r="CW5" s="195"/>
      <c r="CX5" s="195"/>
      <c r="CY5" s="195"/>
      <c r="CZ5" s="195"/>
      <c r="DA5" s="195"/>
      <c r="DB5" s="195"/>
      <c r="DC5" s="195"/>
      <c r="DD5" s="195"/>
      <c r="DE5" s="195"/>
      <c r="DF5" s="195"/>
      <c r="DG5" s="195"/>
      <c r="DH5" s="195"/>
      <c r="DI5" s="195"/>
      <c r="DJ5" s="195"/>
      <c r="DK5" s="195"/>
      <c r="DL5" s="195"/>
      <c r="DM5" s="195"/>
      <c r="DN5" s="195"/>
      <c r="DO5" s="195"/>
      <c r="DP5" s="195"/>
      <c r="DQ5" s="195"/>
      <c r="DR5" s="195"/>
      <c r="DS5" s="195"/>
      <c r="DT5" s="195"/>
      <c r="DU5" s="195"/>
      <c r="DV5" s="195"/>
      <c r="DW5" s="195"/>
      <c r="DX5" s="195"/>
      <c r="DY5" s="195"/>
      <c r="DZ5" s="195"/>
      <c r="EA5" s="195"/>
      <c r="EB5" s="195"/>
      <c r="EC5" s="195"/>
      <c r="ED5" s="195"/>
      <c r="EE5" s="195"/>
      <c r="EF5" s="195"/>
      <c r="EG5" s="195"/>
      <c r="EH5" s="195"/>
      <c r="EI5" s="195"/>
      <c r="EJ5" s="195"/>
      <c r="EK5" s="195"/>
      <c r="EL5" s="195"/>
      <c r="EM5" s="195"/>
      <c r="EN5" s="195"/>
      <c r="EO5" s="195"/>
      <c r="EP5" s="195"/>
      <c r="EQ5" s="195"/>
      <c r="ER5" s="195"/>
      <c r="ES5" s="195"/>
      <c r="ET5" s="195"/>
      <c r="EU5" s="195"/>
      <c r="EV5" s="195"/>
      <c r="EW5" s="195"/>
      <c r="EX5" s="195"/>
      <c r="EY5" s="195"/>
      <c r="EZ5" s="195"/>
      <c r="FA5" s="195"/>
      <c r="FB5" s="195"/>
      <c r="FC5" s="195"/>
      <c r="FD5" s="195"/>
      <c r="FE5" s="195"/>
      <c r="FF5" s="195"/>
      <c r="FG5" s="195"/>
      <c r="FH5" s="195"/>
      <c r="FI5" s="195"/>
      <c r="FJ5" s="195"/>
      <c r="FK5" s="195"/>
      <c r="FL5" s="195"/>
      <c r="FM5" s="195"/>
      <c r="FN5" s="195"/>
      <c r="FO5" s="195"/>
      <c r="FP5" s="195"/>
      <c r="FQ5" s="195"/>
      <c r="FR5" s="195"/>
      <c r="FS5" s="195"/>
      <c r="FT5" s="195"/>
      <c r="FU5" s="195"/>
      <c r="FV5" s="195"/>
      <c r="FW5" s="195"/>
      <c r="FX5" s="195"/>
      <c r="FY5" s="195"/>
      <c r="FZ5" s="195"/>
      <c r="GA5" s="195"/>
      <c r="GB5" s="195"/>
      <c r="GC5" s="195"/>
      <c r="GD5" s="195"/>
      <c r="GE5" s="195"/>
      <c r="GF5" s="195"/>
      <c r="GG5" s="195"/>
      <c r="GH5" s="195"/>
      <c r="GI5" s="195"/>
      <c r="GJ5" s="195"/>
      <c r="GK5" s="195"/>
      <c r="GL5" s="195"/>
      <c r="GM5" s="195"/>
      <c r="GN5" s="195"/>
      <c r="GO5" s="195"/>
      <c r="GP5" s="195"/>
      <c r="GQ5" s="195"/>
      <c r="GR5" s="195"/>
      <c r="GS5" s="195"/>
      <c r="GT5" s="195"/>
      <c r="GU5" s="195"/>
      <c r="GV5" s="195"/>
      <c r="GW5" s="195"/>
      <c r="GX5" s="195"/>
      <c r="GY5" s="195"/>
      <c r="GZ5" s="195"/>
      <c r="HA5" s="195"/>
      <c r="HB5" s="195"/>
      <c r="HC5" s="195"/>
      <c r="HD5" s="195"/>
      <c r="HE5" s="195"/>
      <c r="HF5" s="195"/>
      <c r="HG5" s="195"/>
      <c r="HH5" s="195"/>
      <c r="HI5" s="195"/>
      <c r="HJ5" s="195"/>
      <c r="HK5" s="195"/>
      <c r="HL5" s="195"/>
      <c r="HM5" s="195"/>
      <c r="HN5" s="195"/>
      <c r="HO5" s="195"/>
      <c r="HP5" s="195"/>
      <c r="HQ5" s="195"/>
      <c r="HR5" s="195"/>
      <c r="HS5" s="195"/>
      <c r="HT5" s="195"/>
      <c r="HU5" s="195"/>
      <c r="HV5" s="195"/>
      <c r="HW5" s="195"/>
      <c r="HX5" s="195"/>
      <c r="HY5" s="195"/>
      <c r="HZ5" s="195"/>
      <c r="IA5" s="195"/>
      <c r="IB5" s="195"/>
      <c r="IC5" s="195"/>
      <c r="ID5" s="195"/>
      <c r="IE5" s="195"/>
      <c r="IF5" s="195"/>
      <c r="IG5" s="195"/>
      <c r="IH5" s="195"/>
      <c r="II5" s="195"/>
      <c r="IJ5" s="195"/>
      <c r="IK5" s="195"/>
      <c r="IL5" s="195"/>
      <c r="IM5" s="195"/>
    </row>
    <row r="6" spans="1:247" ht="30" customHeight="1">
      <c r="B6" s="1934" t="s">
        <v>82</v>
      </c>
      <c r="C6" s="1935" t="s">
        <v>83</v>
      </c>
      <c r="D6" s="1936" t="s">
        <v>3</v>
      </c>
      <c r="E6" s="1937" t="s">
        <v>292</v>
      </c>
      <c r="F6" s="1938" t="s">
        <v>293</v>
      </c>
      <c r="G6" s="1938" t="s">
        <v>87</v>
      </c>
      <c r="H6" s="1939" t="s">
        <v>294</v>
      </c>
      <c r="I6" s="1940" t="s">
        <v>295</v>
      </c>
      <c r="J6" s="1941" t="s">
        <v>764</v>
      </c>
      <c r="K6" s="1942" t="s">
        <v>1020</v>
      </c>
    </row>
    <row r="7" spans="1:247" ht="60.75" customHeight="1">
      <c r="B7" s="1934"/>
      <c r="C7" s="1935"/>
      <c r="D7" s="1936"/>
      <c r="E7" s="1937"/>
      <c r="F7" s="1938"/>
      <c r="G7" s="1938"/>
      <c r="H7" s="1939"/>
      <c r="I7" s="1940"/>
      <c r="J7" s="1941"/>
      <c r="K7" s="1942"/>
    </row>
    <row r="8" spans="1:247" s="210" customFormat="1" ht="22.5" customHeight="1">
      <c r="A8" s="200">
        <v>1</v>
      </c>
      <c r="B8" s="201">
        <v>1</v>
      </c>
      <c r="C8" s="202" t="s">
        <v>22</v>
      </c>
      <c r="D8" s="203"/>
      <c r="E8" s="204" t="s">
        <v>80</v>
      </c>
      <c r="F8" s="205">
        <v>6932</v>
      </c>
      <c r="G8" s="206"/>
      <c r="H8" s="207">
        <v>2090</v>
      </c>
      <c r="I8" s="208"/>
      <c r="J8" s="209"/>
      <c r="K8" s="1305"/>
    </row>
    <row r="9" spans="1:247" ht="46.5" customHeight="1">
      <c r="A9" s="200">
        <v>2</v>
      </c>
      <c r="B9" s="201"/>
      <c r="C9" s="211">
        <v>1</v>
      </c>
      <c r="D9" s="212" t="s">
        <v>296</v>
      </c>
      <c r="E9" s="204"/>
      <c r="F9" s="213"/>
      <c r="G9" s="214"/>
      <c r="H9" s="215"/>
      <c r="I9" s="216">
        <v>600</v>
      </c>
      <c r="J9" s="217">
        <v>1155</v>
      </c>
      <c r="K9" s="1306">
        <v>1154</v>
      </c>
    </row>
    <row r="10" spans="1:247" ht="18" customHeight="1">
      <c r="A10" s="200">
        <v>3</v>
      </c>
      <c r="B10" s="201"/>
      <c r="C10" s="218">
        <v>3</v>
      </c>
      <c r="D10" s="212" t="s">
        <v>297</v>
      </c>
      <c r="E10" s="204"/>
      <c r="F10" s="213"/>
      <c r="G10" s="214"/>
      <c r="H10" s="215"/>
      <c r="I10" s="216"/>
      <c r="J10" s="217">
        <v>8337</v>
      </c>
      <c r="K10" s="1306">
        <v>8211</v>
      </c>
    </row>
    <row r="11" spans="1:247" ht="18" customHeight="1">
      <c r="A11" s="200">
        <v>4</v>
      </c>
      <c r="B11" s="201"/>
      <c r="C11" s="219" t="s">
        <v>298</v>
      </c>
      <c r="D11" s="220"/>
      <c r="E11" s="204"/>
      <c r="F11" s="205">
        <v>948</v>
      </c>
      <c r="G11" s="206"/>
      <c r="H11" s="207">
        <v>314</v>
      </c>
      <c r="I11" s="216"/>
      <c r="J11" s="217"/>
      <c r="K11" s="1306"/>
    </row>
    <row r="12" spans="1:247" ht="28.5" customHeight="1">
      <c r="A12" s="200">
        <v>5</v>
      </c>
      <c r="B12" s="201"/>
      <c r="C12" s="211">
        <v>2</v>
      </c>
      <c r="D12" s="212" t="s">
        <v>299</v>
      </c>
      <c r="E12" s="204"/>
      <c r="F12" s="213"/>
      <c r="G12" s="214"/>
      <c r="H12" s="215"/>
      <c r="I12" s="216">
        <v>300</v>
      </c>
      <c r="J12" s="217">
        <v>269</v>
      </c>
      <c r="K12" s="1306">
        <v>269</v>
      </c>
    </row>
    <row r="13" spans="1:247" ht="18" customHeight="1">
      <c r="A13" s="200">
        <v>6</v>
      </c>
      <c r="B13" s="201"/>
      <c r="C13" s="218">
        <v>4</v>
      </c>
      <c r="D13" s="212" t="s">
        <v>300</v>
      </c>
      <c r="E13" s="204"/>
      <c r="F13" s="213"/>
      <c r="G13" s="214"/>
      <c r="H13" s="215"/>
      <c r="I13" s="216"/>
      <c r="J13" s="217">
        <v>200</v>
      </c>
      <c r="K13" s="1306">
        <v>69</v>
      </c>
    </row>
    <row r="14" spans="1:247" ht="18" customHeight="1">
      <c r="A14" s="200">
        <v>7</v>
      </c>
      <c r="B14" s="201"/>
      <c r="C14" s="218">
        <v>5</v>
      </c>
      <c r="D14" s="212" t="s">
        <v>301</v>
      </c>
      <c r="E14" s="204"/>
      <c r="F14" s="213"/>
      <c r="G14" s="214"/>
      <c r="H14" s="215"/>
      <c r="I14" s="216"/>
      <c r="J14" s="217">
        <v>580</v>
      </c>
      <c r="K14" s="1306">
        <v>579</v>
      </c>
    </row>
    <row r="15" spans="1:247" s="210" customFormat="1" ht="22.5" customHeight="1">
      <c r="A15" s="200">
        <v>8</v>
      </c>
      <c r="B15" s="201">
        <v>2</v>
      </c>
      <c r="C15" s="221" t="s">
        <v>23</v>
      </c>
      <c r="D15" s="203"/>
      <c r="E15" s="204" t="s">
        <v>80</v>
      </c>
      <c r="F15" s="205">
        <v>2478</v>
      </c>
      <c r="G15" s="206"/>
      <c r="H15" s="207">
        <v>2754</v>
      </c>
      <c r="I15" s="208"/>
      <c r="J15" s="209"/>
      <c r="K15" s="1307"/>
    </row>
    <row r="16" spans="1:247" ht="153" customHeight="1">
      <c r="A16" s="200">
        <v>9</v>
      </c>
      <c r="B16" s="201"/>
      <c r="C16" s="211">
        <v>1</v>
      </c>
      <c r="D16" s="212" t="s">
        <v>1208</v>
      </c>
      <c r="E16" s="204"/>
      <c r="F16" s="213"/>
      <c r="G16" s="214"/>
      <c r="H16" s="215"/>
      <c r="I16" s="216">
        <v>1100</v>
      </c>
      <c r="J16" s="217">
        <v>6200</v>
      </c>
      <c r="K16" s="1306">
        <f>4620</f>
        <v>4620</v>
      </c>
    </row>
    <row r="17" spans="1:11" ht="49.5" customHeight="1">
      <c r="A17" s="200">
        <v>10</v>
      </c>
      <c r="B17" s="201"/>
      <c r="C17" s="211">
        <v>2</v>
      </c>
      <c r="D17" s="212" t="s">
        <v>1209</v>
      </c>
      <c r="E17" s="204"/>
      <c r="F17" s="213"/>
      <c r="G17" s="214"/>
      <c r="H17" s="215"/>
      <c r="I17" s="216"/>
      <c r="J17" s="217">
        <v>400</v>
      </c>
      <c r="K17" s="1306">
        <v>400</v>
      </c>
    </row>
    <row r="18" spans="1:11" ht="18" customHeight="1">
      <c r="A18" s="200">
        <v>11</v>
      </c>
      <c r="B18" s="201"/>
      <c r="C18" s="219" t="s">
        <v>37</v>
      </c>
      <c r="D18" s="220"/>
      <c r="E18" s="204"/>
      <c r="F18" s="205">
        <v>336</v>
      </c>
      <c r="G18" s="206"/>
      <c r="H18" s="207">
        <v>764</v>
      </c>
      <c r="I18" s="216"/>
      <c r="J18" s="217"/>
      <c r="K18" s="1306"/>
    </row>
    <row r="19" spans="1:11" ht="126" customHeight="1">
      <c r="A19" s="200">
        <v>12</v>
      </c>
      <c r="B19" s="201"/>
      <c r="C19" s="211">
        <v>3</v>
      </c>
      <c r="D19" s="212" t="s">
        <v>1210</v>
      </c>
      <c r="E19" s="204"/>
      <c r="F19" s="213"/>
      <c r="G19" s="214"/>
      <c r="H19" s="215"/>
      <c r="I19" s="216">
        <v>600</v>
      </c>
      <c r="J19" s="217">
        <v>3500</v>
      </c>
      <c r="K19" s="1306">
        <f>3339-1</f>
        <v>3338</v>
      </c>
    </row>
    <row r="20" spans="1:11" ht="18" customHeight="1">
      <c r="A20" s="200">
        <v>13</v>
      </c>
      <c r="B20" s="201"/>
      <c r="C20" s="211">
        <v>4</v>
      </c>
      <c r="D20" s="212" t="s">
        <v>1211</v>
      </c>
      <c r="E20" s="204"/>
      <c r="F20" s="213"/>
      <c r="G20" s="214"/>
      <c r="H20" s="215"/>
      <c r="I20" s="216"/>
      <c r="J20" s="217">
        <v>1000</v>
      </c>
      <c r="K20" s="1306">
        <v>1000</v>
      </c>
    </row>
    <row r="21" spans="1:11" ht="18" customHeight="1">
      <c r="A21" s="200">
        <v>14</v>
      </c>
      <c r="B21" s="201"/>
      <c r="C21" s="211">
        <v>5</v>
      </c>
      <c r="D21" s="212" t="s">
        <v>1212</v>
      </c>
      <c r="E21" s="204"/>
      <c r="F21" s="213"/>
      <c r="G21" s="214"/>
      <c r="H21" s="215"/>
      <c r="I21" s="216"/>
      <c r="J21" s="217">
        <v>500</v>
      </c>
      <c r="K21" s="1306">
        <v>500</v>
      </c>
    </row>
    <row r="22" spans="1:11" s="210" customFormat="1" ht="22.5" customHeight="1">
      <c r="A22" s="200">
        <v>15</v>
      </c>
      <c r="B22" s="201">
        <v>3</v>
      </c>
      <c r="C22" s="221" t="s">
        <v>24</v>
      </c>
      <c r="D22" s="203"/>
      <c r="E22" s="204" t="s">
        <v>80</v>
      </c>
      <c r="F22" s="205">
        <v>1197</v>
      </c>
      <c r="G22" s="206"/>
      <c r="H22" s="207">
        <v>2251</v>
      </c>
      <c r="I22" s="208"/>
      <c r="J22" s="209"/>
      <c r="K22" s="1307"/>
    </row>
    <row r="23" spans="1:11" ht="62.25" customHeight="1">
      <c r="A23" s="200">
        <v>16</v>
      </c>
      <c r="B23" s="201"/>
      <c r="C23" s="218">
        <v>1</v>
      </c>
      <c r="D23" s="212" t="s">
        <v>1213</v>
      </c>
      <c r="E23" s="204"/>
      <c r="F23" s="213"/>
      <c r="G23" s="214"/>
      <c r="H23" s="215"/>
      <c r="I23" s="216">
        <v>1000</v>
      </c>
      <c r="J23" s="217">
        <v>1961</v>
      </c>
      <c r="K23" s="1306">
        <v>1828</v>
      </c>
    </row>
    <row r="24" spans="1:11" ht="18" customHeight="1">
      <c r="A24" s="200">
        <v>17</v>
      </c>
      <c r="B24" s="201"/>
      <c r="C24" s="218">
        <v>3</v>
      </c>
      <c r="D24" s="212" t="s">
        <v>302</v>
      </c>
      <c r="E24" s="204"/>
      <c r="F24" s="213"/>
      <c r="G24" s="214"/>
      <c r="H24" s="215"/>
      <c r="I24" s="216"/>
      <c r="J24" s="217">
        <v>650</v>
      </c>
      <c r="K24" s="1306">
        <v>468</v>
      </c>
    </row>
    <row r="25" spans="1:11" ht="18" customHeight="1">
      <c r="A25" s="200">
        <v>18</v>
      </c>
      <c r="B25" s="201"/>
      <c r="C25" s="218">
        <v>4</v>
      </c>
      <c r="D25" s="212" t="s">
        <v>303</v>
      </c>
      <c r="E25" s="204"/>
      <c r="F25" s="213"/>
      <c r="G25" s="214"/>
      <c r="H25" s="215"/>
      <c r="I25" s="216"/>
      <c r="J25" s="217">
        <v>0</v>
      </c>
      <c r="K25" s="1306"/>
    </row>
    <row r="26" spans="1:11" ht="18" customHeight="1">
      <c r="A26" s="200">
        <v>19</v>
      </c>
      <c r="B26" s="201"/>
      <c r="C26" s="218">
        <v>5</v>
      </c>
      <c r="D26" s="212" t="s">
        <v>304</v>
      </c>
      <c r="E26" s="204"/>
      <c r="F26" s="213"/>
      <c r="G26" s="214"/>
      <c r="H26" s="215"/>
      <c r="I26" s="216"/>
      <c r="J26" s="217">
        <v>400</v>
      </c>
      <c r="K26" s="1306">
        <v>399</v>
      </c>
    </row>
    <row r="27" spans="1:11" ht="18" customHeight="1">
      <c r="A27" s="200">
        <v>20</v>
      </c>
      <c r="B27" s="201"/>
      <c r="C27" s="219" t="s">
        <v>305</v>
      </c>
      <c r="D27" s="220"/>
      <c r="E27" s="204"/>
      <c r="F27" s="205">
        <v>328</v>
      </c>
      <c r="G27" s="206"/>
      <c r="H27" s="207">
        <v>414</v>
      </c>
      <c r="I27" s="216"/>
      <c r="J27" s="217"/>
      <c r="K27" s="1306"/>
    </row>
    <row r="28" spans="1:11" ht="29.25" customHeight="1">
      <c r="A28" s="200">
        <v>21</v>
      </c>
      <c r="B28" s="201"/>
      <c r="C28" s="218">
        <v>2</v>
      </c>
      <c r="D28" s="212" t="s">
        <v>306</v>
      </c>
      <c r="E28" s="204"/>
      <c r="F28" s="213"/>
      <c r="G28" s="214"/>
      <c r="H28" s="215"/>
      <c r="I28" s="216">
        <v>1000</v>
      </c>
      <c r="J28" s="217">
        <v>850</v>
      </c>
      <c r="K28" s="1306">
        <v>319</v>
      </c>
    </row>
    <row r="29" spans="1:11" s="210" customFormat="1" ht="22.5" customHeight="1">
      <c r="A29" s="200">
        <v>22</v>
      </c>
      <c r="B29" s="201">
        <v>4</v>
      </c>
      <c r="C29" s="221" t="s">
        <v>202</v>
      </c>
      <c r="D29" s="203"/>
      <c r="E29" s="204" t="s">
        <v>80</v>
      </c>
      <c r="F29" s="205">
        <v>5084</v>
      </c>
      <c r="G29" s="206"/>
      <c r="H29" s="207">
        <v>2906</v>
      </c>
      <c r="I29" s="208"/>
      <c r="J29" s="209"/>
      <c r="K29" s="1307"/>
    </row>
    <row r="30" spans="1:11" ht="18" customHeight="1">
      <c r="A30" s="200">
        <v>23</v>
      </c>
      <c r="B30" s="201"/>
      <c r="C30" s="218">
        <v>1</v>
      </c>
      <c r="D30" s="212" t="s">
        <v>307</v>
      </c>
      <c r="E30" s="204"/>
      <c r="F30" s="213"/>
      <c r="G30" s="214"/>
      <c r="H30" s="215"/>
      <c r="I30" s="216">
        <v>1100</v>
      </c>
      <c r="J30" s="217">
        <v>530</v>
      </c>
      <c r="K30" s="1306">
        <v>27</v>
      </c>
    </row>
    <row r="31" spans="1:11" ht="18" customHeight="1">
      <c r="A31" s="200">
        <v>24</v>
      </c>
      <c r="B31" s="201"/>
      <c r="C31" s="218">
        <v>2</v>
      </c>
      <c r="D31" s="212" t="s">
        <v>308</v>
      </c>
      <c r="E31" s="204"/>
      <c r="F31" s="213"/>
      <c r="G31" s="214"/>
      <c r="H31" s="215"/>
      <c r="I31" s="216"/>
      <c r="J31" s="217">
        <v>800</v>
      </c>
      <c r="K31" s="1306">
        <v>296</v>
      </c>
    </row>
    <row r="32" spans="1:11" ht="18" customHeight="1">
      <c r="A32" s="200">
        <v>25</v>
      </c>
      <c r="B32" s="201"/>
      <c r="C32" s="218">
        <v>3</v>
      </c>
      <c r="D32" s="212" t="s">
        <v>303</v>
      </c>
      <c r="E32" s="204"/>
      <c r="F32" s="213"/>
      <c r="G32" s="214"/>
      <c r="H32" s="215"/>
      <c r="I32" s="216"/>
      <c r="J32" s="217">
        <v>2100</v>
      </c>
      <c r="K32" s="1306">
        <v>1980</v>
      </c>
    </row>
    <row r="33" spans="1:11" ht="18" customHeight="1">
      <c r="A33" s="200">
        <v>26</v>
      </c>
      <c r="B33" s="201"/>
      <c r="C33" s="218">
        <v>4</v>
      </c>
      <c r="D33" s="212" t="s">
        <v>309</v>
      </c>
      <c r="E33" s="204"/>
      <c r="F33" s="213"/>
      <c r="G33" s="214"/>
      <c r="H33" s="215"/>
      <c r="I33" s="216"/>
      <c r="J33" s="217">
        <v>315</v>
      </c>
      <c r="K33" s="1306">
        <v>315</v>
      </c>
    </row>
    <row r="34" spans="1:11" ht="18" customHeight="1">
      <c r="A34" s="200">
        <v>27</v>
      </c>
      <c r="B34" s="201"/>
      <c r="C34" s="218">
        <v>5</v>
      </c>
      <c r="D34" s="212" t="s">
        <v>310</v>
      </c>
      <c r="E34" s="204"/>
      <c r="F34" s="213"/>
      <c r="G34" s="214"/>
      <c r="H34" s="215"/>
      <c r="I34" s="216"/>
      <c r="J34" s="217">
        <v>300</v>
      </c>
      <c r="K34" s="1306">
        <v>220</v>
      </c>
    </row>
    <row r="35" spans="1:11" ht="18" customHeight="1">
      <c r="A35" s="200">
        <v>28</v>
      </c>
      <c r="B35" s="201"/>
      <c r="C35" s="218">
        <v>6</v>
      </c>
      <c r="D35" s="212" t="s">
        <v>311</v>
      </c>
      <c r="E35" s="204"/>
      <c r="F35" s="213"/>
      <c r="G35" s="214"/>
      <c r="H35" s="215"/>
      <c r="I35" s="216"/>
      <c r="J35" s="217">
        <v>440</v>
      </c>
      <c r="K35" s="1306"/>
    </row>
    <row r="36" spans="1:11" ht="18" customHeight="1">
      <c r="A36" s="200">
        <v>29</v>
      </c>
      <c r="B36" s="201"/>
      <c r="C36" s="218">
        <v>7</v>
      </c>
      <c r="D36" s="212" t="s">
        <v>312</v>
      </c>
      <c r="E36" s="204"/>
      <c r="F36" s="213"/>
      <c r="G36" s="214"/>
      <c r="H36" s="215"/>
      <c r="I36" s="216"/>
      <c r="J36" s="217">
        <v>315</v>
      </c>
      <c r="K36" s="1306">
        <v>171</v>
      </c>
    </row>
    <row r="37" spans="1:11" ht="18" customHeight="1">
      <c r="A37" s="200">
        <v>30</v>
      </c>
      <c r="B37" s="201"/>
      <c r="C37" s="222" t="s">
        <v>313</v>
      </c>
      <c r="D37" s="223"/>
      <c r="E37" s="204"/>
      <c r="F37" s="205">
        <v>1157</v>
      </c>
      <c r="G37" s="206"/>
      <c r="H37" s="207">
        <v>1235</v>
      </c>
      <c r="I37" s="216"/>
      <c r="J37" s="217"/>
      <c r="K37" s="1306"/>
    </row>
    <row r="38" spans="1:11" ht="32.25" customHeight="1">
      <c r="A38" s="200">
        <v>31</v>
      </c>
      <c r="B38" s="201"/>
      <c r="C38" s="211">
        <v>8</v>
      </c>
      <c r="D38" s="212" t="s">
        <v>314</v>
      </c>
      <c r="E38" s="204"/>
      <c r="F38" s="213"/>
      <c r="G38" s="214"/>
      <c r="H38" s="215"/>
      <c r="I38" s="216">
        <v>300</v>
      </c>
      <c r="J38" s="217">
        <v>605</v>
      </c>
      <c r="K38" s="1306">
        <v>424</v>
      </c>
    </row>
    <row r="39" spans="1:11" ht="18" customHeight="1">
      <c r="A39" s="200">
        <v>32</v>
      </c>
      <c r="B39" s="201"/>
      <c r="C39" s="218">
        <v>9</v>
      </c>
      <c r="D39" s="212" t="s">
        <v>308</v>
      </c>
      <c r="E39" s="204"/>
      <c r="F39" s="213"/>
      <c r="G39" s="214"/>
      <c r="H39" s="215"/>
      <c r="I39" s="216"/>
      <c r="J39" s="217">
        <v>265</v>
      </c>
      <c r="K39" s="1306">
        <v>265</v>
      </c>
    </row>
    <row r="40" spans="1:11" ht="18" customHeight="1">
      <c r="A40" s="200">
        <v>33</v>
      </c>
      <c r="B40" s="201"/>
      <c r="C40" s="218">
        <v>10</v>
      </c>
      <c r="D40" s="212" t="s">
        <v>315</v>
      </c>
      <c r="E40" s="204"/>
      <c r="F40" s="213"/>
      <c r="G40" s="214"/>
      <c r="H40" s="215"/>
      <c r="I40" s="216"/>
      <c r="J40" s="217">
        <v>350</v>
      </c>
      <c r="K40" s="1306">
        <v>306</v>
      </c>
    </row>
    <row r="41" spans="1:11" s="210" customFormat="1" ht="22.5" customHeight="1">
      <c r="A41" s="200">
        <v>34</v>
      </c>
      <c r="B41" s="201">
        <v>5</v>
      </c>
      <c r="C41" s="221" t="s">
        <v>204</v>
      </c>
      <c r="D41" s="203"/>
      <c r="E41" s="204" t="s">
        <v>80</v>
      </c>
      <c r="F41" s="205">
        <v>1178</v>
      </c>
      <c r="G41" s="206"/>
      <c r="H41" s="207">
        <v>1668</v>
      </c>
      <c r="I41" s="208"/>
      <c r="J41" s="209"/>
      <c r="K41" s="1307"/>
    </row>
    <row r="42" spans="1:11" ht="18" customHeight="1">
      <c r="A42" s="200">
        <v>35</v>
      </c>
      <c r="B42" s="201"/>
      <c r="C42" s="218">
        <v>1</v>
      </c>
      <c r="D42" s="212" t="s">
        <v>316</v>
      </c>
      <c r="E42" s="204"/>
      <c r="F42" s="213"/>
      <c r="G42" s="214"/>
      <c r="H42" s="215"/>
      <c r="I42" s="216">
        <v>800</v>
      </c>
      <c r="J42" s="217">
        <v>973</v>
      </c>
      <c r="K42" s="1306">
        <v>173</v>
      </c>
    </row>
    <row r="43" spans="1:11" ht="32.25" customHeight="1">
      <c r="A43" s="200">
        <v>36</v>
      </c>
      <c r="B43" s="201"/>
      <c r="C43" s="211">
        <v>2</v>
      </c>
      <c r="D43" s="212" t="s">
        <v>777</v>
      </c>
      <c r="E43" s="204"/>
      <c r="F43" s="213"/>
      <c r="G43" s="214"/>
      <c r="H43" s="215"/>
      <c r="I43" s="216"/>
      <c r="J43" s="217">
        <v>0</v>
      </c>
      <c r="K43" s="1306"/>
    </row>
    <row r="44" spans="1:11" ht="18" customHeight="1">
      <c r="A44" s="200">
        <v>37</v>
      </c>
      <c r="B44" s="201"/>
      <c r="C44" s="211">
        <v>3</v>
      </c>
      <c r="D44" s="212" t="s">
        <v>317</v>
      </c>
      <c r="E44" s="204"/>
      <c r="F44" s="213"/>
      <c r="G44" s="214"/>
      <c r="H44" s="215"/>
      <c r="I44" s="216"/>
      <c r="J44" s="217">
        <v>0</v>
      </c>
      <c r="K44" s="1306"/>
    </row>
    <row r="45" spans="1:11" ht="18" customHeight="1">
      <c r="A45" s="200">
        <v>38</v>
      </c>
      <c r="B45" s="201"/>
      <c r="C45" s="211">
        <v>7</v>
      </c>
      <c r="D45" s="212" t="s">
        <v>779</v>
      </c>
      <c r="E45" s="204"/>
      <c r="F45" s="213"/>
      <c r="G45" s="214"/>
      <c r="H45" s="215"/>
      <c r="I45" s="216"/>
      <c r="J45" s="217">
        <v>0</v>
      </c>
      <c r="K45" s="1306"/>
    </row>
    <row r="46" spans="1:11" ht="33" customHeight="1">
      <c r="A46" s="200">
        <v>39</v>
      </c>
      <c r="B46" s="201"/>
      <c r="C46" s="211">
        <v>9</v>
      </c>
      <c r="D46" s="212" t="s">
        <v>319</v>
      </c>
      <c r="E46" s="204"/>
      <c r="F46" s="213"/>
      <c r="G46" s="214"/>
      <c r="H46" s="215"/>
      <c r="I46" s="216"/>
      <c r="J46" s="217">
        <v>2000</v>
      </c>
      <c r="K46" s="1306">
        <v>1895</v>
      </c>
    </row>
    <row r="47" spans="1:11" ht="18" customHeight="1">
      <c r="A47" s="200">
        <v>40</v>
      </c>
      <c r="B47" s="201"/>
      <c r="C47" s="222" t="s">
        <v>320</v>
      </c>
      <c r="D47" s="223"/>
      <c r="E47" s="204"/>
      <c r="F47" s="205">
        <v>1229</v>
      </c>
      <c r="G47" s="206"/>
      <c r="H47" s="207">
        <v>2017</v>
      </c>
      <c r="I47" s="216"/>
      <c r="J47" s="217"/>
      <c r="K47" s="1306"/>
    </row>
    <row r="48" spans="1:11" ht="18" customHeight="1">
      <c r="A48" s="200">
        <v>41</v>
      </c>
      <c r="B48" s="201"/>
      <c r="C48" s="218">
        <v>4</v>
      </c>
      <c r="D48" s="212" t="s">
        <v>321</v>
      </c>
      <c r="E48" s="204"/>
      <c r="F48" s="213"/>
      <c r="G48" s="214"/>
      <c r="H48" s="215"/>
      <c r="I48" s="216">
        <v>800</v>
      </c>
      <c r="J48" s="217">
        <v>800</v>
      </c>
      <c r="K48" s="1306"/>
    </row>
    <row r="49" spans="1:11" ht="33" customHeight="1">
      <c r="A49" s="200">
        <v>42</v>
      </c>
      <c r="B49" s="201"/>
      <c r="C49" s="211">
        <v>5</v>
      </c>
      <c r="D49" s="212" t="s">
        <v>778</v>
      </c>
      <c r="E49" s="204"/>
      <c r="F49" s="213"/>
      <c r="G49" s="214"/>
      <c r="H49" s="215"/>
      <c r="I49" s="216"/>
      <c r="J49" s="217">
        <v>200</v>
      </c>
      <c r="K49" s="1306">
        <v>169</v>
      </c>
    </row>
    <row r="50" spans="1:11" ht="18" customHeight="1">
      <c r="A50" s="200">
        <v>43</v>
      </c>
      <c r="B50" s="201"/>
      <c r="C50" s="211">
        <v>6</v>
      </c>
      <c r="D50" s="212" t="s">
        <v>317</v>
      </c>
      <c r="E50" s="204"/>
      <c r="F50" s="213"/>
      <c r="G50" s="214"/>
      <c r="H50" s="215"/>
      <c r="I50" s="216"/>
      <c r="J50" s="217">
        <v>0</v>
      </c>
      <c r="K50" s="1306"/>
    </row>
    <row r="51" spans="1:11" ht="18" customHeight="1">
      <c r="A51" s="200">
        <v>44</v>
      </c>
      <c r="B51" s="201"/>
      <c r="C51" s="211">
        <v>8</v>
      </c>
      <c r="D51" s="212" t="s">
        <v>318</v>
      </c>
      <c r="E51" s="204"/>
      <c r="F51" s="213"/>
      <c r="G51" s="214"/>
      <c r="H51" s="215"/>
      <c r="I51" s="216"/>
      <c r="J51" s="217">
        <v>1000</v>
      </c>
      <c r="K51" s="1306"/>
    </row>
    <row r="52" spans="1:11" ht="30.75" customHeight="1">
      <c r="A52" s="200">
        <v>45</v>
      </c>
      <c r="B52" s="201"/>
      <c r="C52" s="211">
        <v>10</v>
      </c>
      <c r="D52" s="212" t="s">
        <v>319</v>
      </c>
      <c r="E52" s="204"/>
      <c r="F52" s="213"/>
      <c r="G52" s="214"/>
      <c r="H52" s="215"/>
      <c r="I52" s="216"/>
      <c r="J52" s="217">
        <v>2200</v>
      </c>
      <c r="K52" s="1306">
        <v>1970</v>
      </c>
    </row>
    <row r="53" spans="1:11" s="210" customFormat="1" ht="22.5" customHeight="1">
      <c r="A53" s="200">
        <v>46</v>
      </c>
      <c r="B53" s="201">
        <v>6</v>
      </c>
      <c r="C53" s="221" t="s">
        <v>25</v>
      </c>
      <c r="D53" s="203"/>
      <c r="E53" s="204" t="s">
        <v>80</v>
      </c>
      <c r="F53" s="205">
        <v>1240</v>
      </c>
      <c r="G53" s="206"/>
      <c r="H53" s="207">
        <v>1615</v>
      </c>
      <c r="I53" s="208"/>
      <c r="J53" s="209"/>
      <c r="K53" s="1307"/>
    </row>
    <row r="54" spans="1:11" ht="63.75" customHeight="1">
      <c r="A54" s="200">
        <v>47</v>
      </c>
      <c r="B54" s="201"/>
      <c r="C54" s="218">
        <v>1</v>
      </c>
      <c r="D54" s="212" t="s">
        <v>780</v>
      </c>
      <c r="E54" s="204"/>
      <c r="F54" s="213"/>
      <c r="G54" s="214"/>
      <c r="H54" s="215"/>
      <c r="I54" s="216">
        <v>500</v>
      </c>
      <c r="J54" s="217">
        <v>1468</v>
      </c>
      <c r="K54" s="1306">
        <v>1227</v>
      </c>
    </row>
    <row r="55" spans="1:11" ht="18" customHeight="1">
      <c r="A55" s="200">
        <v>48</v>
      </c>
      <c r="B55" s="201"/>
      <c r="C55" s="218">
        <v>3</v>
      </c>
      <c r="D55" s="212" t="s">
        <v>322</v>
      </c>
      <c r="E55" s="204"/>
      <c r="F55" s="213"/>
      <c r="G55" s="214"/>
      <c r="H55" s="215"/>
      <c r="I55" s="216"/>
      <c r="J55" s="217">
        <v>954</v>
      </c>
      <c r="K55" s="1306">
        <v>825</v>
      </c>
    </row>
    <row r="56" spans="1:11" ht="18" customHeight="1">
      <c r="A56" s="200">
        <v>49</v>
      </c>
      <c r="B56" s="201"/>
      <c r="C56" s="218">
        <v>4</v>
      </c>
      <c r="D56" s="212" t="s">
        <v>323</v>
      </c>
      <c r="E56" s="204"/>
      <c r="F56" s="213"/>
      <c r="G56" s="214"/>
      <c r="H56" s="215"/>
      <c r="I56" s="216"/>
      <c r="J56" s="217">
        <v>1020</v>
      </c>
      <c r="K56" s="1306">
        <v>993</v>
      </c>
    </row>
    <row r="57" spans="1:11" ht="18" customHeight="1">
      <c r="A57" s="200">
        <v>50</v>
      </c>
      <c r="B57" s="201"/>
      <c r="C57" s="222" t="s">
        <v>324</v>
      </c>
      <c r="D57" s="223"/>
      <c r="E57" s="204"/>
      <c r="F57" s="205">
        <v>6284</v>
      </c>
      <c r="G57" s="206"/>
      <c r="H57" s="207">
        <v>1438</v>
      </c>
      <c r="I57" s="216"/>
      <c r="J57" s="217"/>
      <c r="K57" s="1306"/>
    </row>
    <row r="58" spans="1:11" ht="31.5" customHeight="1">
      <c r="A58" s="200">
        <v>51</v>
      </c>
      <c r="B58" s="201"/>
      <c r="C58" s="218">
        <v>2</v>
      </c>
      <c r="D58" s="212" t="s">
        <v>766</v>
      </c>
      <c r="E58" s="204"/>
      <c r="F58" s="213"/>
      <c r="G58" s="214"/>
      <c r="H58" s="215"/>
      <c r="I58" s="216">
        <v>200</v>
      </c>
      <c r="J58" s="217">
        <v>200</v>
      </c>
      <c r="K58" s="1306">
        <v>81</v>
      </c>
    </row>
    <row r="59" spans="1:11" ht="18" customHeight="1">
      <c r="A59" s="200">
        <v>52</v>
      </c>
      <c r="B59" s="201"/>
      <c r="C59" s="224">
        <v>4</v>
      </c>
      <c r="D59" s="212" t="s">
        <v>322</v>
      </c>
      <c r="E59" s="204"/>
      <c r="F59" s="213"/>
      <c r="G59" s="214"/>
      <c r="H59" s="215"/>
      <c r="I59" s="216"/>
      <c r="J59" s="217">
        <v>396</v>
      </c>
      <c r="K59" s="1306">
        <v>396</v>
      </c>
    </row>
    <row r="60" spans="1:11" ht="18" customHeight="1">
      <c r="A60" s="200">
        <v>53</v>
      </c>
      <c r="B60" s="201"/>
      <c r="C60" s="224">
        <v>5</v>
      </c>
      <c r="D60" s="212" t="s">
        <v>325</v>
      </c>
      <c r="E60" s="204"/>
      <c r="F60" s="213"/>
      <c r="G60" s="214"/>
      <c r="H60" s="215"/>
      <c r="I60" s="216"/>
      <c r="J60" s="217">
        <v>100</v>
      </c>
      <c r="K60" s="1306">
        <v>100</v>
      </c>
    </row>
    <row r="61" spans="1:11" ht="18" customHeight="1">
      <c r="A61" s="200">
        <v>54</v>
      </c>
      <c r="B61" s="201"/>
      <c r="C61" s="224">
        <v>6</v>
      </c>
      <c r="D61" s="212" t="s">
        <v>326</v>
      </c>
      <c r="E61" s="204"/>
      <c r="F61" s="213"/>
      <c r="G61" s="214"/>
      <c r="H61" s="215"/>
      <c r="I61" s="216"/>
      <c r="J61" s="217">
        <v>420</v>
      </c>
      <c r="K61" s="1306">
        <v>397</v>
      </c>
    </row>
    <row r="62" spans="1:11" ht="18" customHeight="1">
      <c r="A62" s="200">
        <v>55</v>
      </c>
      <c r="B62" s="201"/>
      <c r="C62" s="224">
        <v>7</v>
      </c>
      <c r="D62" s="212" t="s">
        <v>327</v>
      </c>
      <c r="E62" s="204"/>
      <c r="F62" s="213"/>
      <c r="G62" s="214"/>
      <c r="H62" s="215"/>
      <c r="I62" s="216"/>
      <c r="J62" s="217">
        <v>280</v>
      </c>
      <c r="K62" s="1306">
        <v>246</v>
      </c>
    </row>
    <row r="63" spans="1:11" s="210" customFormat="1" ht="22.5" customHeight="1">
      <c r="A63" s="200">
        <v>56</v>
      </c>
      <c r="B63" s="201">
        <v>7</v>
      </c>
      <c r="C63" s="202" t="s">
        <v>26</v>
      </c>
      <c r="D63" s="203"/>
      <c r="E63" s="204" t="s">
        <v>80</v>
      </c>
      <c r="F63" s="225"/>
      <c r="G63" s="206"/>
      <c r="H63" s="226"/>
      <c r="I63" s="208"/>
      <c r="J63" s="209"/>
      <c r="K63" s="1307"/>
    </row>
    <row r="64" spans="1:11" ht="18" customHeight="1">
      <c r="A64" s="200">
        <v>57</v>
      </c>
      <c r="B64" s="201"/>
      <c r="C64" s="222" t="s">
        <v>38</v>
      </c>
      <c r="D64" s="227"/>
      <c r="E64" s="204"/>
      <c r="F64" s="205">
        <v>610</v>
      </c>
      <c r="G64" s="206"/>
      <c r="H64" s="207">
        <v>480</v>
      </c>
      <c r="I64" s="216"/>
      <c r="J64" s="217"/>
      <c r="K64" s="1306"/>
    </row>
    <row r="65" spans="1:11" ht="29.25" customHeight="1">
      <c r="A65" s="200">
        <v>58</v>
      </c>
      <c r="B65" s="201"/>
      <c r="C65" s="218">
        <v>1</v>
      </c>
      <c r="D65" s="212" t="s">
        <v>1214</v>
      </c>
      <c r="E65" s="204"/>
      <c r="F65" s="213"/>
      <c r="G65" s="214"/>
      <c r="H65" s="215"/>
      <c r="I65" s="216">
        <v>400</v>
      </c>
      <c r="J65" s="217">
        <v>1063</v>
      </c>
      <c r="K65" s="1306">
        <v>755</v>
      </c>
    </row>
    <row r="66" spans="1:11" ht="18" customHeight="1">
      <c r="A66" s="200">
        <v>59</v>
      </c>
      <c r="B66" s="201"/>
      <c r="C66" s="218">
        <v>25</v>
      </c>
      <c r="D66" s="212" t="s">
        <v>39</v>
      </c>
      <c r="E66" s="204"/>
      <c r="F66" s="213"/>
      <c r="G66" s="214"/>
      <c r="H66" s="215"/>
      <c r="I66" s="216"/>
      <c r="J66" s="217">
        <v>837</v>
      </c>
      <c r="K66" s="1306">
        <v>837</v>
      </c>
    </row>
    <row r="67" spans="1:11" ht="18" customHeight="1">
      <c r="A67" s="200">
        <v>60</v>
      </c>
      <c r="B67" s="201"/>
      <c r="C67" s="222" t="s">
        <v>40</v>
      </c>
      <c r="D67" s="227"/>
      <c r="E67" s="204"/>
      <c r="F67" s="205">
        <v>647</v>
      </c>
      <c r="G67" s="206"/>
      <c r="H67" s="207">
        <v>1193</v>
      </c>
      <c r="I67" s="216"/>
      <c r="J67" s="217"/>
      <c r="K67" s="1306"/>
    </row>
    <row r="68" spans="1:11" ht="30" customHeight="1">
      <c r="A68" s="200">
        <v>61</v>
      </c>
      <c r="B68" s="201"/>
      <c r="C68" s="211">
        <v>2</v>
      </c>
      <c r="D68" s="212" t="s">
        <v>767</v>
      </c>
      <c r="E68" s="204"/>
      <c r="F68" s="213"/>
      <c r="G68" s="214"/>
      <c r="H68" s="215"/>
      <c r="I68" s="216">
        <v>800</v>
      </c>
      <c r="J68" s="217">
        <v>2155</v>
      </c>
      <c r="K68" s="1306">
        <v>1980</v>
      </c>
    </row>
    <row r="69" spans="1:11" ht="29.25" customHeight="1">
      <c r="A69" s="200">
        <v>62</v>
      </c>
      <c r="B69" s="201"/>
      <c r="C69" s="211">
        <v>24</v>
      </c>
      <c r="D69" s="212" t="s">
        <v>1215</v>
      </c>
      <c r="E69" s="204"/>
      <c r="F69" s="213"/>
      <c r="G69" s="214"/>
      <c r="H69" s="215"/>
      <c r="I69" s="216"/>
      <c r="J69" s="217">
        <v>135</v>
      </c>
      <c r="K69" s="1306">
        <v>110</v>
      </c>
    </row>
    <row r="70" spans="1:11" ht="18" customHeight="1">
      <c r="A70" s="200">
        <v>63</v>
      </c>
      <c r="B70" s="201"/>
      <c r="C70" s="211">
        <v>26</v>
      </c>
      <c r="D70" s="212" t="s">
        <v>41</v>
      </c>
      <c r="E70" s="204"/>
      <c r="F70" s="213"/>
      <c r="G70" s="214"/>
      <c r="H70" s="215"/>
      <c r="I70" s="216"/>
      <c r="J70" s="217">
        <v>645</v>
      </c>
      <c r="K70" s="1306">
        <v>645</v>
      </c>
    </row>
    <row r="71" spans="1:11" ht="18" customHeight="1">
      <c r="A71" s="200">
        <v>64</v>
      </c>
      <c r="B71" s="201"/>
      <c r="C71" s="222" t="s">
        <v>328</v>
      </c>
      <c r="D71" s="227"/>
      <c r="E71" s="204"/>
      <c r="F71" s="205">
        <v>1045</v>
      </c>
      <c r="G71" s="206"/>
      <c r="H71" s="207">
        <v>1436</v>
      </c>
      <c r="I71" s="216"/>
      <c r="J71" s="217"/>
      <c r="K71" s="1306"/>
    </row>
    <row r="72" spans="1:11" ht="33" customHeight="1">
      <c r="A72" s="200">
        <v>65</v>
      </c>
      <c r="B72" s="201"/>
      <c r="C72" s="218">
        <v>3</v>
      </c>
      <c r="D72" s="212" t="s">
        <v>781</v>
      </c>
      <c r="E72" s="204"/>
      <c r="F72" s="213"/>
      <c r="G72" s="214"/>
      <c r="H72" s="215"/>
      <c r="I72" s="216">
        <v>1200</v>
      </c>
      <c r="J72" s="217">
        <v>1712</v>
      </c>
      <c r="K72" s="1306">
        <v>1640</v>
      </c>
    </row>
    <row r="73" spans="1:11" ht="18" customHeight="1">
      <c r="A73" s="200">
        <v>66</v>
      </c>
      <c r="B73" s="201"/>
      <c r="C73" s="218">
        <v>23</v>
      </c>
      <c r="D73" s="212" t="s">
        <v>1216</v>
      </c>
      <c r="E73" s="204"/>
      <c r="F73" s="213"/>
      <c r="G73" s="214"/>
      <c r="H73" s="215"/>
      <c r="I73" s="216"/>
      <c r="J73" s="217">
        <v>2488</v>
      </c>
      <c r="K73" s="1306">
        <v>2488</v>
      </c>
    </row>
    <row r="74" spans="1:11" ht="18" customHeight="1">
      <c r="A74" s="200">
        <v>67</v>
      </c>
      <c r="B74" s="201"/>
      <c r="C74" s="222" t="s">
        <v>42</v>
      </c>
      <c r="D74" s="223"/>
      <c r="E74" s="204"/>
      <c r="F74" s="205">
        <v>1285</v>
      </c>
      <c r="G74" s="206"/>
      <c r="H74" s="207">
        <v>1420</v>
      </c>
      <c r="I74" s="216"/>
      <c r="J74" s="217"/>
      <c r="K74" s="1306"/>
    </row>
    <row r="75" spans="1:11" ht="34.5" customHeight="1">
      <c r="A75" s="200">
        <v>68</v>
      </c>
      <c r="B75" s="201"/>
      <c r="C75" s="218">
        <v>4</v>
      </c>
      <c r="D75" s="212" t="s">
        <v>774</v>
      </c>
      <c r="E75" s="204"/>
      <c r="F75" s="213"/>
      <c r="G75" s="214"/>
      <c r="H75" s="215"/>
      <c r="I75" s="216">
        <v>1000</v>
      </c>
      <c r="J75" s="217">
        <v>2519</v>
      </c>
      <c r="K75" s="1306">
        <v>1986</v>
      </c>
    </row>
    <row r="76" spans="1:11" ht="18" customHeight="1">
      <c r="A76" s="200">
        <v>69</v>
      </c>
      <c r="B76" s="201"/>
      <c r="C76" s="218">
        <v>27</v>
      </c>
      <c r="D76" s="212" t="s">
        <v>43</v>
      </c>
      <c r="E76" s="204"/>
      <c r="F76" s="213"/>
      <c r="G76" s="214"/>
      <c r="H76" s="215"/>
      <c r="I76" s="216"/>
      <c r="J76" s="217">
        <v>281</v>
      </c>
      <c r="K76" s="1306">
        <v>280</v>
      </c>
    </row>
    <row r="77" spans="1:11" ht="18" customHeight="1">
      <c r="A77" s="200">
        <v>70</v>
      </c>
      <c r="B77" s="201"/>
      <c r="C77" s="218">
        <v>28</v>
      </c>
      <c r="D77" s="212" t="s">
        <v>44</v>
      </c>
      <c r="E77" s="204"/>
      <c r="F77" s="213"/>
      <c r="G77" s="214"/>
      <c r="H77" s="215"/>
      <c r="I77" s="216"/>
      <c r="J77" s="217">
        <v>1900</v>
      </c>
      <c r="K77" s="1306">
        <v>1897</v>
      </c>
    </row>
    <row r="78" spans="1:11" ht="18" customHeight="1">
      <c r="A78" s="200">
        <v>71</v>
      </c>
      <c r="B78" s="201"/>
      <c r="C78" s="222" t="s">
        <v>45</v>
      </c>
      <c r="D78" s="227"/>
      <c r="E78" s="204"/>
      <c r="F78" s="205">
        <v>982</v>
      </c>
      <c r="G78" s="206"/>
      <c r="H78" s="207">
        <v>949</v>
      </c>
      <c r="I78" s="216"/>
      <c r="J78" s="217"/>
      <c r="K78" s="1306"/>
    </row>
    <row r="79" spans="1:11" ht="31.5" customHeight="1">
      <c r="A79" s="200">
        <v>72</v>
      </c>
      <c r="B79" s="201"/>
      <c r="C79" s="218">
        <v>5</v>
      </c>
      <c r="D79" s="212" t="s">
        <v>775</v>
      </c>
      <c r="E79" s="204"/>
      <c r="F79" s="213"/>
      <c r="G79" s="214"/>
      <c r="H79" s="215"/>
      <c r="I79" s="216">
        <v>800</v>
      </c>
      <c r="J79" s="217">
        <v>1850</v>
      </c>
      <c r="K79" s="1306">
        <v>1715</v>
      </c>
    </row>
    <row r="80" spans="1:11" ht="18" customHeight="1">
      <c r="A80" s="200">
        <v>73</v>
      </c>
      <c r="B80" s="201"/>
      <c r="C80" s="218">
        <v>29</v>
      </c>
      <c r="D80" s="212" t="s">
        <v>46</v>
      </c>
      <c r="E80" s="204"/>
      <c r="F80" s="213"/>
      <c r="G80" s="214"/>
      <c r="H80" s="215"/>
      <c r="I80" s="216"/>
      <c r="J80" s="217">
        <v>950</v>
      </c>
      <c r="K80" s="1306">
        <v>947</v>
      </c>
    </row>
    <row r="81" spans="1:11" ht="18" customHeight="1">
      <c r="A81" s="200">
        <v>74</v>
      </c>
      <c r="B81" s="201"/>
      <c r="C81" s="222" t="s">
        <v>47</v>
      </c>
      <c r="D81" s="227"/>
      <c r="E81" s="204"/>
      <c r="F81" s="205">
        <v>128</v>
      </c>
      <c r="G81" s="206"/>
      <c r="H81" s="207">
        <v>60</v>
      </c>
      <c r="I81" s="216"/>
      <c r="J81" s="217"/>
      <c r="K81" s="1306"/>
    </row>
    <row r="82" spans="1:11" ht="27.75" customHeight="1">
      <c r="A82" s="200">
        <v>75</v>
      </c>
      <c r="B82" s="201"/>
      <c r="C82" s="218">
        <v>6</v>
      </c>
      <c r="D82" s="212" t="s">
        <v>776</v>
      </c>
      <c r="E82" s="204"/>
      <c r="F82" s="213"/>
      <c r="G82" s="214"/>
      <c r="H82" s="215"/>
      <c r="I82" s="216">
        <v>100</v>
      </c>
      <c r="J82" s="217">
        <v>400</v>
      </c>
      <c r="K82" s="1306">
        <v>371</v>
      </c>
    </row>
    <row r="83" spans="1:11" ht="18" customHeight="1">
      <c r="A83" s="200">
        <v>76</v>
      </c>
      <c r="B83" s="201"/>
      <c r="C83" s="222" t="s">
        <v>329</v>
      </c>
      <c r="D83" s="223"/>
      <c r="E83" s="204"/>
      <c r="F83" s="205">
        <v>1980</v>
      </c>
      <c r="G83" s="206"/>
      <c r="H83" s="207">
        <v>21889</v>
      </c>
      <c r="I83" s="208"/>
      <c r="J83" s="209"/>
      <c r="K83" s="1306"/>
    </row>
    <row r="84" spans="1:11" ht="18" customHeight="1">
      <c r="A84" s="200">
        <v>77</v>
      </c>
      <c r="B84" s="201"/>
      <c r="C84" s="228" t="s">
        <v>330</v>
      </c>
      <c r="D84" s="223"/>
      <c r="E84" s="204"/>
      <c r="F84" s="205"/>
      <c r="G84" s="206"/>
      <c r="H84" s="207"/>
      <c r="I84" s="208"/>
      <c r="J84" s="209"/>
      <c r="K84" s="1306"/>
    </row>
    <row r="85" spans="1:11" ht="18" customHeight="1">
      <c r="A85" s="200">
        <v>78</v>
      </c>
      <c r="B85" s="201"/>
      <c r="C85" s="218">
        <v>7</v>
      </c>
      <c r="D85" s="212" t="s">
        <v>331</v>
      </c>
      <c r="E85" s="204"/>
      <c r="F85" s="205"/>
      <c r="G85" s="206"/>
      <c r="H85" s="207"/>
      <c r="I85" s="216">
        <v>900</v>
      </c>
      <c r="J85" s="217">
        <v>900</v>
      </c>
      <c r="K85" s="1306">
        <v>810</v>
      </c>
    </row>
    <row r="86" spans="1:11" ht="18" customHeight="1">
      <c r="A86" s="200">
        <v>79</v>
      </c>
      <c r="B86" s="201"/>
      <c r="C86" s="218">
        <v>8</v>
      </c>
      <c r="D86" s="212" t="s">
        <v>49</v>
      </c>
      <c r="E86" s="204"/>
      <c r="F86" s="205"/>
      <c r="G86" s="206"/>
      <c r="H86" s="207"/>
      <c r="I86" s="216">
        <v>450</v>
      </c>
      <c r="J86" s="217">
        <v>700</v>
      </c>
      <c r="K86" s="1306">
        <v>696</v>
      </c>
    </row>
    <row r="87" spans="1:11" ht="18" customHeight="1">
      <c r="A87" s="200">
        <v>80</v>
      </c>
      <c r="B87" s="201"/>
      <c r="C87" s="218">
        <v>9</v>
      </c>
      <c r="D87" s="212" t="s">
        <v>332</v>
      </c>
      <c r="E87" s="204"/>
      <c r="F87" s="205"/>
      <c r="G87" s="206"/>
      <c r="H87" s="207"/>
      <c r="I87" s="216">
        <v>270</v>
      </c>
      <c r="J87" s="217">
        <v>270</v>
      </c>
      <c r="K87" s="1306">
        <v>235</v>
      </c>
    </row>
    <row r="88" spans="1:11" ht="18" customHeight="1">
      <c r="A88" s="200">
        <v>81</v>
      </c>
      <c r="B88" s="201"/>
      <c r="C88" s="218">
        <v>10</v>
      </c>
      <c r="D88" s="212" t="s">
        <v>333</v>
      </c>
      <c r="E88" s="204"/>
      <c r="F88" s="205"/>
      <c r="G88" s="206"/>
      <c r="H88" s="207"/>
      <c r="I88" s="216">
        <v>200</v>
      </c>
      <c r="J88" s="217">
        <v>200</v>
      </c>
      <c r="K88" s="1306">
        <v>190</v>
      </c>
    </row>
    <row r="89" spans="1:11" ht="18" customHeight="1">
      <c r="A89" s="200">
        <v>82</v>
      </c>
      <c r="B89" s="201"/>
      <c r="C89" s="218">
        <v>11</v>
      </c>
      <c r="D89" s="212" t="s">
        <v>334</v>
      </c>
      <c r="E89" s="204"/>
      <c r="F89" s="205"/>
      <c r="G89" s="206"/>
      <c r="H89" s="207"/>
      <c r="I89" s="216">
        <v>111</v>
      </c>
      <c r="J89" s="217">
        <v>111</v>
      </c>
      <c r="K89" s="1306">
        <v>99</v>
      </c>
    </row>
    <row r="90" spans="1:11" ht="18" customHeight="1">
      <c r="A90" s="200">
        <v>83</v>
      </c>
      <c r="B90" s="201"/>
      <c r="C90" s="218">
        <v>12</v>
      </c>
      <c r="D90" s="212" t="s">
        <v>335</v>
      </c>
      <c r="E90" s="204"/>
      <c r="F90" s="205"/>
      <c r="G90" s="206"/>
      <c r="H90" s="207"/>
      <c r="I90" s="216">
        <v>60</v>
      </c>
      <c r="J90" s="217">
        <v>60</v>
      </c>
      <c r="K90" s="1306">
        <v>60</v>
      </c>
    </row>
    <row r="91" spans="1:11" ht="18" customHeight="1">
      <c r="A91" s="200">
        <v>84</v>
      </c>
      <c r="B91" s="201"/>
      <c r="C91" s="218">
        <v>13</v>
      </c>
      <c r="D91" s="212" t="s">
        <v>336</v>
      </c>
      <c r="E91" s="204"/>
      <c r="F91" s="205"/>
      <c r="G91" s="206"/>
      <c r="H91" s="207"/>
      <c r="I91" s="216">
        <v>100</v>
      </c>
      <c r="J91" s="217">
        <v>100</v>
      </c>
      <c r="K91" s="1306"/>
    </row>
    <row r="92" spans="1:11" ht="18" customHeight="1">
      <c r="A92" s="200">
        <v>85</v>
      </c>
      <c r="B92" s="201"/>
      <c r="C92" s="218">
        <v>14</v>
      </c>
      <c r="D92" s="212" t="s">
        <v>337</v>
      </c>
      <c r="E92" s="204"/>
      <c r="F92" s="205"/>
      <c r="G92" s="206"/>
      <c r="H92" s="207"/>
      <c r="I92" s="216">
        <v>230</v>
      </c>
      <c r="J92" s="217">
        <v>230</v>
      </c>
      <c r="K92" s="1306">
        <v>200</v>
      </c>
    </row>
    <row r="93" spans="1:11" ht="18" customHeight="1">
      <c r="A93" s="200">
        <v>86</v>
      </c>
      <c r="B93" s="201"/>
      <c r="C93" s="218">
        <v>15</v>
      </c>
      <c r="D93" s="212" t="s">
        <v>338</v>
      </c>
      <c r="E93" s="204"/>
      <c r="F93" s="205"/>
      <c r="G93" s="206"/>
      <c r="H93" s="207"/>
      <c r="I93" s="216">
        <v>150</v>
      </c>
      <c r="J93" s="217">
        <v>150</v>
      </c>
      <c r="K93" s="1306">
        <v>135</v>
      </c>
    </row>
    <row r="94" spans="1:11" ht="47.25" customHeight="1">
      <c r="A94" s="200">
        <v>87</v>
      </c>
      <c r="B94" s="201"/>
      <c r="C94" s="211">
        <v>22</v>
      </c>
      <c r="D94" s="212" t="s">
        <v>768</v>
      </c>
      <c r="E94" s="204"/>
      <c r="F94" s="205"/>
      <c r="G94" s="206"/>
      <c r="H94" s="207"/>
      <c r="I94" s="216"/>
      <c r="J94" s="217">
        <v>2750</v>
      </c>
      <c r="K94" s="1306">
        <v>2431</v>
      </c>
    </row>
    <row r="95" spans="1:11" ht="48" customHeight="1">
      <c r="A95" s="200">
        <v>88</v>
      </c>
      <c r="B95" s="201"/>
      <c r="C95" s="211">
        <v>23</v>
      </c>
      <c r="D95" s="212" t="s">
        <v>339</v>
      </c>
      <c r="E95" s="204"/>
      <c r="F95" s="205"/>
      <c r="G95" s="206"/>
      <c r="H95" s="207"/>
      <c r="I95" s="216"/>
      <c r="J95" s="217">
        <v>4000</v>
      </c>
      <c r="K95" s="1306">
        <v>1666</v>
      </c>
    </row>
    <row r="96" spans="1:11" ht="18" customHeight="1">
      <c r="A96" s="200">
        <v>89</v>
      </c>
      <c r="B96" s="201"/>
      <c r="C96" s="222" t="s">
        <v>340</v>
      </c>
      <c r="D96" s="212"/>
      <c r="E96" s="204"/>
      <c r="F96" s="205"/>
      <c r="G96" s="206"/>
      <c r="H96" s="207"/>
      <c r="I96" s="216"/>
      <c r="J96" s="217"/>
      <c r="K96" s="1306"/>
    </row>
    <row r="97" spans="1:11" ht="18" customHeight="1">
      <c r="A97" s="200">
        <v>90</v>
      </c>
      <c r="B97" s="201"/>
      <c r="C97" s="218">
        <v>16</v>
      </c>
      <c r="D97" s="212" t="s">
        <v>341</v>
      </c>
      <c r="E97" s="204"/>
      <c r="F97" s="205"/>
      <c r="G97" s="206"/>
      <c r="H97" s="207"/>
      <c r="I97" s="216">
        <v>258</v>
      </c>
      <c r="J97" s="217">
        <v>258</v>
      </c>
      <c r="K97" s="1306">
        <v>245</v>
      </c>
    </row>
    <row r="98" spans="1:11" ht="18" customHeight="1">
      <c r="A98" s="200">
        <v>91</v>
      </c>
      <c r="B98" s="201"/>
      <c r="C98" s="222" t="s">
        <v>342</v>
      </c>
      <c r="D98" s="212"/>
      <c r="E98" s="204"/>
      <c r="F98" s="205"/>
      <c r="G98" s="206"/>
      <c r="H98" s="207"/>
      <c r="I98" s="216"/>
      <c r="J98" s="217"/>
      <c r="K98" s="1306"/>
    </row>
    <row r="99" spans="1:11" ht="18" customHeight="1">
      <c r="A99" s="200">
        <v>92</v>
      </c>
      <c r="B99" s="201"/>
      <c r="C99" s="218">
        <v>17</v>
      </c>
      <c r="D99" s="212" t="s">
        <v>343</v>
      </c>
      <c r="E99" s="204"/>
      <c r="F99" s="205"/>
      <c r="G99" s="206"/>
      <c r="H99" s="207"/>
      <c r="I99" s="216">
        <v>100</v>
      </c>
      <c r="J99" s="217">
        <v>100</v>
      </c>
      <c r="K99" s="1306">
        <v>100</v>
      </c>
    </row>
    <row r="100" spans="1:11" ht="18" customHeight="1">
      <c r="A100" s="200">
        <v>93</v>
      </c>
      <c r="B100" s="201"/>
      <c r="C100" s="222" t="s">
        <v>344</v>
      </c>
      <c r="D100" s="212"/>
      <c r="E100" s="204"/>
      <c r="F100" s="205"/>
      <c r="G100" s="206"/>
      <c r="H100" s="207"/>
      <c r="I100" s="216"/>
      <c r="J100" s="217"/>
      <c r="K100" s="1306"/>
    </row>
    <row r="101" spans="1:11" ht="18" customHeight="1">
      <c r="A101" s="200">
        <v>94</v>
      </c>
      <c r="B101" s="201"/>
      <c r="C101" s="218">
        <v>18</v>
      </c>
      <c r="D101" s="212" t="s">
        <v>345</v>
      </c>
      <c r="E101" s="204"/>
      <c r="F101" s="205"/>
      <c r="G101" s="206"/>
      <c r="H101" s="207"/>
      <c r="I101" s="216">
        <v>130</v>
      </c>
      <c r="J101" s="217">
        <v>0</v>
      </c>
      <c r="K101" s="1306"/>
    </row>
    <row r="102" spans="1:11" ht="18" customHeight="1">
      <c r="A102" s="200">
        <v>95</v>
      </c>
      <c r="B102" s="201"/>
      <c r="C102" s="218">
        <v>19</v>
      </c>
      <c r="D102" s="212" t="s">
        <v>346</v>
      </c>
      <c r="E102" s="204"/>
      <c r="F102" s="205"/>
      <c r="G102" s="206"/>
      <c r="H102" s="207"/>
      <c r="I102" s="216">
        <v>115</v>
      </c>
      <c r="J102" s="217">
        <v>0</v>
      </c>
      <c r="K102" s="1306"/>
    </row>
    <row r="103" spans="1:11" ht="18" customHeight="1">
      <c r="A103" s="200">
        <v>96</v>
      </c>
      <c r="B103" s="201"/>
      <c r="C103" s="218">
        <v>20</v>
      </c>
      <c r="D103" s="212" t="s">
        <v>347</v>
      </c>
      <c r="E103" s="204"/>
      <c r="F103" s="205"/>
      <c r="G103" s="206"/>
      <c r="H103" s="207"/>
      <c r="I103" s="216">
        <v>100</v>
      </c>
      <c r="J103" s="217">
        <v>100</v>
      </c>
      <c r="K103" s="1306">
        <v>99</v>
      </c>
    </row>
    <row r="104" spans="1:11" ht="18" customHeight="1">
      <c r="A104" s="200">
        <v>97</v>
      </c>
      <c r="B104" s="201"/>
      <c r="C104" s="218">
        <v>21</v>
      </c>
      <c r="D104" s="212" t="s">
        <v>348</v>
      </c>
      <c r="E104" s="204"/>
      <c r="F104" s="205"/>
      <c r="G104" s="206"/>
      <c r="H104" s="207"/>
      <c r="I104" s="216">
        <v>855</v>
      </c>
      <c r="J104" s="217">
        <v>1100</v>
      </c>
      <c r="K104" s="1306">
        <v>1061</v>
      </c>
    </row>
    <row r="105" spans="1:11" s="210" customFormat="1" ht="22.5" customHeight="1">
      <c r="A105" s="200">
        <v>98</v>
      </c>
      <c r="B105" s="201">
        <v>8</v>
      </c>
      <c r="C105" s="221" t="s">
        <v>27</v>
      </c>
      <c r="D105" s="203"/>
      <c r="E105" s="204" t="s">
        <v>80</v>
      </c>
      <c r="F105" s="205">
        <v>565</v>
      </c>
      <c r="G105" s="206"/>
      <c r="H105" s="207">
        <v>875</v>
      </c>
      <c r="I105" s="208"/>
      <c r="J105" s="209"/>
      <c r="K105" s="1307"/>
    </row>
    <row r="106" spans="1:11" ht="18" customHeight="1">
      <c r="A106" s="200">
        <v>99</v>
      </c>
      <c r="B106" s="201"/>
      <c r="C106" s="218">
        <v>1</v>
      </c>
      <c r="D106" s="212" t="s">
        <v>48</v>
      </c>
      <c r="E106" s="204"/>
      <c r="F106" s="213"/>
      <c r="G106" s="214"/>
      <c r="H106" s="215"/>
      <c r="I106" s="216">
        <v>500</v>
      </c>
      <c r="J106" s="217">
        <v>600</v>
      </c>
      <c r="K106" s="1306">
        <v>527</v>
      </c>
    </row>
    <row r="107" spans="1:11" ht="18" customHeight="1">
      <c r="A107" s="200">
        <v>100</v>
      </c>
      <c r="B107" s="201"/>
      <c r="C107" s="218">
        <v>2</v>
      </c>
      <c r="D107" s="212" t="s">
        <v>49</v>
      </c>
      <c r="E107" s="204"/>
      <c r="F107" s="213"/>
      <c r="G107" s="214"/>
      <c r="H107" s="215"/>
      <c r="I107" s="216"/>
      <c r="J107" s="217">
        <v>500</v>
      </c>
      <c r="K107" s="1306">
        <v>444</v>
      </c>
    </row>
    <row r="108" spans="1:11" s="210" customFormat="1" ht="22.5" customHeight="1">
      <c r="A108" s="200">
        <v>101</v>
      </c>
      <c r="B108" s="201">
        <v>9</v>
      </c>
      <c r="C108" s="221" t="s">
        <v>28</v>
      </c>
      <c r="D108" s="203"/>
      <c r="E108" s="204" t="s">
        <v>80</v>
      </c>
      <c r="F108" s="205">
        <v>3578</v>
      </c>
      <c r="G108" s="206"/>
      <c r="H108" s="207">
        <v>940</v>
      </c>
      <c r="I108" s="208"/>
      <c r="J108" s="209"/>
      <c r="K108" s="1307"/>
    </row>
    <row r="109" spans="1:11" ht="18" customHeight="1">
      <c r="A109" s="200">
        <v>102</v>
      </c>
      <c r="B109" s="201"/>
      <c r="C109" s="218">
        <v>1</v>
      </c>
      <c r="D109" s="212" t="s">
        <v>1217</v>
      </c>
      <c r="E109" s="204"/>
      <c r="F109" s="213"/>
      <c r="G109" s="214"/>
      <c r="H109" s="215"/>
      <c r="I109" s="216">
        <v>500</v>
      </c>
      <c r="J109" s="217">
        <v>1500</v>
      </c>
      <c r="K109" s="1306">
        <v>804</v>
      </c>
    </row>
    <row r="110" spans="1:11" ht="94.5" customHeight="1">
      <c r="A110" s="200">
        <v>103</v>
      </c>
      <c r="B110" s="201"/>
      <c r="C110" s="229">
        <v>2</v>
      </c>
      <c r="D110" s="223" t="s">
        <v>349</v>
      </c>
      <c r="E110" s="204"/>
      <c r="F110" s="213"/>
      <c r="G110" s="214"/>
      <c r="H110" s="215"/>
      <c r="I110" s="216"/>
      <c r="J110" s="217">
        <v>400</v>
      </c>
      <c r="K110" s="1306">
        <v>312</v>
      </c>
    </row>
    <row r="111" spans="1:11" ht="94.5" customHeight="1">
      <c r="A111" s="200">
        <v>104</v>
      </c>
      <c r="B111" s="201"/>
      <c r="C111" s="229">
        <v>3</v>
      </c>
      <c r="D111" s="223" t="s">
        <v>1218</v>
      </c>
      <c r="E111" s="204"/>
      <c r="F111" s="213"/>
      <c r="G111" s="214"/>
      <c r="H111" s="215"/>
      <c r="I111" s="216"/>
      <c r="J111" s="217">
        <v>400</v>
      </c>
      <c r="K111" s="1306">
        <v>288</v>
      </c>
    </row>
    <row r="112" spans="1:11" ht="95.25" customHeight="1">
      <c r="A112" s="200">
        <v>105</v>
      </c>
      <c r="B112" s="201"/>
      <c r="C112" s="229">
        <v>4</v>
      </c>
      <c r="D112" s="223" t="s">
        <v>1219</v>
      </c>
      <c r="E112" s="204"/>
      <c r="F112" s="213"/>
      <c r="G112" s="214"/>
      <c r="H112" s="215"/>
      <c r="I112" s="216"/>
      <c r="J112" s="217">
        <v>200</v>
      </c>
      <c r="K112" s="1306">
        <f>131-1</f>
        <v>130</v>
      </c>
    </row>
    <row r="113" spans="1:11" ht="18" customHeight="1">
      <c r="A113" s="200">
        <v>106</v>
      </c>
      <c r="B113" s="201"/>
      <c r="C113" s="229">
        <v>5</v>
      </c>
      <c r="D113" s="212" t="s">
        <v>350</v>
      </c>
      <c r="E113" s="204"/>
      <c r="F113" s="213"/>
      <c r="G113" s="214"/>
      <c r="H113" s="215"/>
      <c r="I113" s="216"/>
      <c r="J113" s="217">
        <v>1550</v>
      </c>
      <c r="K113" s="1306"/>
    </row>
    <row r="114" spans="1:11" s="210" customFormat="1" ht="22.5" customHeight="1">
      <c r="A114" s="200">
        <v>107</v>
      </c>
      <c r="B114" s="201">
        <v>10</v>
      </c>
      <c r="C114" s="202" t="s">
        <v>210</v>
      </c>
      <c r="D114" s="203"/>
      <c r="E114" s="204" t="s">
        <v>80</v>
      </c>
      <c r="F114" s="205">
        <v>6735</v>
      </c>
      <c r="G114" s="206"/>
      <c r="H114" s="207">
        <v>7669</v>
      </c>
      <c r="I114" s="208"/>
      <c r="J114" s="209"/>
      <c r="K114" s="1307"/>
    </row>
    <row r="115" spans="1:11" ht="18" customHeight="1">
      <c r="A115" s="200">
        <v>108</v>
      </c>
      <c r="B115" s="201"/>
      <c r="C115" s="218">
        <v>1</v>
      </c>
      <c r="D115" s="212" t="s">
        <v>59</v>
      </c>
      <c r="E115" s="204"/>
      <c r="F115" s="213"/>
      <c r="G115" s="214"/>
      <c r="H115" s="215"/>
      <c r="I115" s="216">
        <v>4800</v>
      </c>
      <c r="J115" s="217">
        <v>12800</v>
      </c>
      <c r="K115" s="1306">
        <v>9372</v>
      </c>
    </row>
    <row r="116" spans="1:11" ht="18" customHeight="1">
      <c r="A116" s="200">
        <v>109</v>
      </c>
      <c r="B116" s="201"/>
      <c r="C116" s="218">
        <v>12</v>
      </c>
      <c r="D116" s="223" t="s">
        <v>351</v>
      </c>
      <c r="E116" s="204"/>
      <c r="F116" s="205"/>
      <c r="G116" s="206"/>
      <c r="H116" s="207"/>
      <c r="I116" s="216">
        <v>82</v>
      </c>
      <c r="J116" s="217">
        <v>82</v>
      </c>
      <c r="K116" s="1306"/>
    </row>
    <row r="117" spans="1:11" ht="18" customHeight="1">
      <c r="A117" s="200">
        <v>110</v>
      </c>
      <c r="B117" s="201"/>
      <c r="C117" s="218">
        <v>13</v>
      </c>
      <c r="D117" s="223" t="s">
        <v>60</v>
      </c>
      <c r="E117" s="204"/>
      <c r="F117" s="205"/>
      <c r="G117" s="206"/>
      <c r="H117" s="207"/>
      <c r="I117" s="216">
        <v>20000</v>
      </c>
      <c r="J117" s="217">
        <v>5392</v>
      </c>
      <c r="K117" s="1306">
        <v>4928</v>
      </c>
    </row>
    <row r="118" spans="1:11" ht="18" customHeight="1">
      <c r="A118" s="200">
        <v>111</v>
      </c>
      <c r="B118" s="201"/>
      <c r="C118" s="218">
        <v>14</v>
      </c>
      <c r="D118" s="223" t="s">
        <v>352</v>
      </c>
      <c r="E118" s="204"/>
      <c r="F118" s="205"/>
      <c r="G118" s="206"/>
      <c r="H118" s="207"/>
      <c r="I118" s="216"/>
      <c r="J118" s="217">
        <v>23750</v>
      </c>
      <c r="K118" s="1306">
        <v>25651</v>
      </c>
    </row>
    <row r="119" spans="1:11" ht="31.5" customHeight="1">
      <c r="A119" s="200">
        <v>112</v>
      </c>
      <c r="B119" s="201"/>
      <c r="C119" s="211">
        <v>15</v>
      </c>
      <c r="D119" s="212" t="s">
        <v>1220</v>
      </c>
      <c r="E119" s="204"/>
      <c r="F119" s="205"/>
      <c r="G119" s="206"/>
      <c r="H119" s="207"/>
      <c r="I119" s="216"/>
      <c r="J119" s="217">
        <v>300</v>
      </c>
      <c r="K119" s="1306">
        <v>292</v>
      </c>
    </row>
    <row r="120" spans="1:11" ht="18" customHeight="1">
      <c r="A120" s="200">
        <v>113</v>
      </c>
      <c r="B120" s="201"/>
      <c r="C120" s="211">
        <v>16</v>
      </c>
      <c r="D120" s="212" t="s">
        <v>58</v>
      </c>
      <c r="E120" s="204"/>
      <c r="F120" s="205"/>
      <c r="G120" s="206"/>
      <c r="H120" s="207"/>
      <c r="I120" s="216"/>
      <c r="J120" s="217">
        <v>508</v>
      </c>
      <c r="K120" s="1306">
        <v>698</v>
      </c>
    </row>
    <row r="121" spans="1:11" ht="18" customHeight="1">
      <c r="A121" s="200">
        <v>114</v>
      </c>
      <c r="B121" s="201"/>
      <c r="C121" s="211">
        <v>17</v>
      </c>
      <c r="D121" s="212" t="s">
        <v>61</v>
      </c>
      <c r="E121" s="204"/>
      <c r="F121" s="205"/>
      <c r="G121" s="206"/>
      <c r="H121" s="207"/>
      <c r="I121" s="216"/>
      <c r="J121" s="217">
        <v>500</v>
      </c>
      <c r="K121" s="1306">
        <v>758</v>
      </c>
    </row>
    <row r="122" spans="1:11" s="234" customFormat="1" ht="29">
      <c r="A122" s="200">
        <v>115</v>
      </c>
      <c r="B122" s="230"/>
      <c r="C122" s="211">
        <v>2</v>
      </c>
      <c r="D122" s="231" t="s">
        <v>353</v>
      </c>
      <c r="E122" s="232"/>
      <c r="F122" s="205"/>
      <c r="G122" s="233">
        <v>2741</v>
      </c>
      <c r="H122" s="207">
        <v>2741</v>
      </c>
      <c r="I122" s="216"/>
      <c r="J122" s="217"/>
      <c r="K122" s="1308"/>
    </row>
    <row r="123" spans="1:11" s="234" customFormat="1" ht="29">
      <c r="A123" s="200">
        <v>116</v>
      </c>
      <c r="B123" s="230"/>
      <c r="C123" s="211">
        <v>5</v>
      </c>
      <c r="D123" s="223" t="s">
        <v>1267</v>
      </c>
      <c r="E123" s="232"/>
      <c r="F123" s="205">
        <v>1374</v>
      </c>
      <c r="G123" s="233"/>
      <c r="H123" s="207"/>
      <c r="I123" s="216"/>
      <c r="J123" s="217"/>
      <c r="K123" s="1308"/>
    </row>
    <row r="124" spans="1:11" ht="45.75" customHeight="1">
      <c r="A124" s="200">
        <v>117</v>
      </c>
      <c r="B124" s="201"/>
      <c r="C124" s="211">
        <v>6</v>
      </c>
      <c r="D124" s="223" t="s">
        <v>1268</v>
      </c>
      <c r="E124" s="204"/>
      <c r="F124" s="205">
        <v>2026</v>
      </c>
      <c r="G124" s="206">
        <v>914</v>
      </c>
      <c r="H124" s="207">
        <v>775</v>
      </c>
      <c r="I124" s="216"/>
      <c r="J124" s="217"/>
      <c r="K124" s="1306"/>
    </row>
    <row r="125" spans="1:11" ht="18" customHeight="1">
      <c r="A125" s="200">
        <v>118</v>
      </c>
      <c r="B125" s="201"/>
      <c r="C125" s="218">
        <v>7</v>
      </c>
      <c r="D125" s="223" t="s">
        <v>1269</v>
      </c>
      <c r="E125" s="204"/>
      <c r="F125" s="205"/>
      <c r="G125" s="206">
        <v>200</v>
      </c>
      <c r="H125" s="207">
        <v>1622</v>
      </c>
      <c r="I125" s="216"/>
      <c r="J125" s="217"/>
      <c r="K125" s="1306"/>
    </row>
    <row r="126" spans="1:11" ht="29">
      <c r="A126" s="200">
        <v>119</v>
      </c>
      <c r="B126" s="201"/>
      <c r="C126" s="211">
        <v>8</v>
      </c>
      <c r="D126" s="223" t="s">
        <v>1270</v>
      </c>
      <c r="E126" s="204"/>
      <c r="F126" s="205">
        <v>7112</v>
      </c>
      <c r="G126" s="206">
        <v>41877</v>
      </c>
      <c r="H126" s="207">
        <v>42015</v>
      </c>
      <c r="I126" s="216"/>
      <c r="J126" s="217"/>
      <c r="K126" s="1306"/>
    </row>
    <row r="127" spans="1:11" ht="18" customHeight="1">
      <c r="A127" s="200">
        <v>120</v>
      </c>
      <c r="B127" s="201"/>
      <c r="C127" s="218">
        <v>9</v>
      </c>
      <c r="D127" s="223" t="s">
        <v>354</v>
      </c>
      <c r="E127" s="204"/>
      <c r="F127" s="205"/>
      <c r="G127" s="206">
        <v>80</v>
      </c>
      <c r="H127" s="207"/>
      <c r="I127" s="216"/>
      <c r="J127" s="217"/>
      <c r="K127" s="1306"/>
    </row>
    <row r="128" spans="1:11" s="210" customFormat="1" ht="22.5" customHeight="1">
      <c r="A128" s="200">
        <v>121</v>
      </c>
      <c r="B128" s="201">
        <v>11</v>
      </c>
      <c r="C128" s="221" t="s">
        <v>31</v>
      </c>
      <c r="D128" s="203"/>
      <c r="E128" s="204" t="s">
        <v>80</v>
      </c>
      <c r="F128" s="205">
        <v>14312</v>
      </c>
      <c r="G128" s="206"/>
      <c r="H128" s="207"/>
      <c r="I128" s="208"/>
      <c r="J128" s="209"/>
      <c r="K128" s="1307"/>
    </row>
    <row r="129" spans="1:11" ht="18" customHeight="1">
      <c r="A129" s="200">
        <v>122</v>
      </c>
      <c r="B129" s="201"/>
      <c r="C129" s="218">
        <v>1</v>
      </c>
      <c r="D129" s="223" t="s">
        <v>355</v>
      </c>
      <c r="E129" s="204"/>
      <c r="F129" s="205"/>
      <c r="G129" s="206"/>
      <c r="H129" s="207"/>
      <c r="I129" s="216">
        <v>1269</v>
      </c>
      <c r="J129" s="217">
        <v>1269</v>
      </c>
      <c r="K129" s="1306">
        <v>1657</v>
      </c>
    </row>
    <row r="130" spans="1:11" ht="18" customHeight="1">
      <c r="A130" s="200">
        <v>123</v>
      </c>
      <c r="B130" s="201"/>
      <c r="C130" s="218">
        <v>2</v>
      </c>
      <c r="D130" s="231" t="s">
        <v>356</v>
      </c>
      <c r="E130" s="204"/>
      <c r="F130" s="205">
        <v>21</v>
      </c>
      <c r="G130" s="206"/>
      <c r="H130" s="207"/>
      <c r="I130" s="216" t="s">
        <v>357</v>
      </c>
      <c r="J130" s="217"/>
      <c r="K130" s="1306"/>
    </row>
    <row r="131" spans="1:11" ht="18" customHeight="1">
      <c r="A131" s="200">
        <v>124</v>
      </c>
      <c r="B131" s="201"/>
      <c r="C131" s="218">
        <v>6</v>
      </c>
      <c r="D131" s="223" t="s">
        <v>1271</v>
      </c>
      <c r="E131" s="204"/>
      <c r="F131" s="205">
        <v>2348</v>
      </c>
      <c r="G131" s="206">
        <v>7370</v>
      </c>
      <c r="H131" s="207">
        <v>7332</v>
      </c>
      <c r="I131" s="216">
        <v>1089</v>
      </c>
      <c r="J131" s="217">
        <v>0</v>
      </c>
      <c r="K131" s="1306"/>
    </row>
    <row r="132" spans="1:11" ht="18" customHeight="1">
      <c r="A132" s="200">
        <v>125</v>
      </c>
      <c r="B132" s="201"/>
      <c r="C132" s="218">
        <v>7</v>
      </c>
      <c r="D132" s="223" t="s">
        <v>1272</v>
      </c>
      <c r="E132" s="204"/>
      <c r="F132" s="205"/>
      <c r="G132" s="206">
        <v>57150</v>
      </c>
      <c r="H132" s="207">
        <v>57135</v>
      </c>
      <c r="I132" s="216"/>
      <c r="J132" s="217"/>
      <c r="K132" s="1306"/>
    </row>
    <row r="133" spans="1:11" ht="29">
      <c r="A133" s="200">
        <v>126</v>
      </c>
      <c r="B133" s="201"/>
      <c r="C133" s="211">
        <v>8</v>
      </c>
      <c r="D133" s="223" t="s">
        <v>358</v>
      </c>
      <c r="E133" s="204"/>
      <c r="F133" s="205"/>
      <c r="G133" s="206"/>
      <c r="H133" s="207"/>
      <c r="I133" s="216">
        <v>4980</v>
      </c>
      <c r="J133" s="217">
        <v>4980</v>
      </c>
      <c r="K133" s="1306">
        <v>3881</v>
      </c>
    </row>
    <row r="134" spans="1:11" ht="18" customHeight="1">
      <c r="A134" s="200">
        <v>127</v>
      </c>
      <c r="B134" s="201"/>
      <c r="C134" s="218">
        <v>13</v>
      </c>
      <c r="D134" s="223" t="s">
        <v>1273</v>
      </c>
      <c r="E134" s="204"/>
      <c r="F134" s="205"/>
      <c r="G134" s="206">
        <v>2164</v>
      </c>
      <c r="H134" s="207">
        <v>428</v>
      </c>
      <c r="I134" s="216">
        <v>1801</v>
      </c>
      <c r="J134" s="217">
        <v>0</v>
      </c>
      <c r="K134" s="1306"/>
    </row>
    <row r="135" spans="1:11" ht="29">
      <c r="A135" s="200">
        <v>128</v>
      </c>
      <c r="B135" s="201"/>
      <c r="C135" s="211">
        <v>14</v>
      </c>
      <c r="D135" s="223" t="s">
        <v>359</v>
      </c>
      <c r="E135" s="204"/>
      <c r="F135" s="205"/>
      <c r="G135" s="206"/>
      <c r="H135" s="207">
        <v>2725</v>
      </c>
      <c r="I135" s="216"/>
      <c r="J135" s="217"/>
      <c r="K135" s="1306"/>
    </row>
    <row r="136" spans="1:11" ht="18" customHeight="1">
      <c r="A136" s="200">
        <v>129</v>
      </c>
      <c r="B136" s="201"/>
      <c r="C136" s="218">
        <v>15</v>
      </c>
      <c r="D136" s="223" t="s">
        <v>360</v>
      </c>
      <c r="E136" s="204"/>
      <c r="F136" s="205"/>
      <c r="G136" s="206"/>
      <c r="H136" s="207">
        <v>5000</v>
      </c>
      <c r="I136" s="216">
        <v>5000</v>
      </c>
      <c r="J136" s="217">
        <v>0</v>
      </c>
      <c r="K136" s="1306"/>
    </row>
    <row r="137" spans="1:11" ht="18" customHeight="1">
      <c r="A137" s="200">
        <v>130</v>
      </c>
      <c r="B137" s="201"/>
      <c r="C137" s="218">
        <v>16</v>
      </c>
      <c r="D137" s="223" t="s">
        <v>361</v>
      </c>
      <c r="E137" s="204"/>
      <c r="F137" s="205"/>
      <c r="G137" s="206"/>
      <c r="H137" s="207">
        <v>6585</v>
      </c>
      <c r="I137" s="235"/>
      <c r="J137" s="236"/>
      <c r="K137" s="1306"/>
    </row>
    <row r="138" spans="1:11" ht="18" customHeight="1">
      <c r="A138" s="200">
        <v>131</v>
      </c>
      <c r="B138" s="201"/>
      <c r="C138" s="218">
        <v>17</v>
      </c>
      <c r="D138" s="223" t="s">
        <v>362</v>
      </c>
      <c r="E138" s="204"/>
      <c r="F138" s="205"/>
      <c r="G138" s="206"/>
      <c r="H138" s="207">
        <v>1000</v>
      </c>
      <c r="I138" s="216">
        <v>1000</v>
      </c>
      <c r="J138" s="217">
        <v>1000</v>
      </c>
      <c r="K138" s="1306">
        <v>1000</v>
      </c>
    </row>
    <row r="139" spans="1:11" ht="18" customHeight="1">
      <c r="A139" s="200">
        <v>132</v>
      </c>
      <c r="B139" s="201"/>
      <c r="C139" s="218">
        <v>18</v>
      </c>
      <c r="D139" s="212" t="s">
        <v>363</v>
      </c>
      <c r="E139" s="204"/>
      <c r="F139" s="205"/>
      <c r="G139" s="206"/>
      <c r="H139" s="207"/>
      <c r="I139" s="216"/>
      <c r="J139" s="217">
        <v>250</v>
      </c>
      <c r="K139" s="1306">
        <v>341</v>
      </c>
    </row>
    <row r="140" spans="1:11" ht="18" customHeight="1">
      <c r="A140" s="200">
        <v>133</v>
      </c>
      <c r="B140" s="201"/>
      <c r="C140" s="218">
        <v>19</v>
      </c>
      <c r="D140" s="212" t="s">
        <v>769</v>
      </c>
      <c r="E140" s="204"/>
      <c r="F140" s="205"/>
      <c r="G140" s="206"/>
      <c r="H140" s="207"/>
      <c r="I140" s="216"/>
      <c r="J140" s="217">
        <v>800</v>
      </c>
      <c r="K140" s="1306"/>
    </row>
    <row r="141" spans="1:11" ht="18" customHeight="1">
      <c r="A141" s="200">
        <v>134</v>
      </c>
      <c r="B141" s="201"/>
      <c r="C141" s="218">
        <v>20</v>
      </c>
      <c r="D141" s="212" t="s">
        <v>770</v>
      </c>
      <c r="E141" s="204"/>
      <c r="F141" s="205"/>
      <c r="G141" s="206"/>
      <c r="H141" s="207"/>
      <c r="I141" s="216"/>
      <c r="J141" s="217">
        <v>500</v>
      </c>
      <c r="K141" s="1306"/>
    </row>
    <row r="142" spans="1:11" ht="30" customHeight="1">
      <c r="A142" s="200">
        <v>135</v>
      </c>
      <c r="B142" s="201"/>
      <c r="C142" s="218">
        <v>21</v>
      </c>
      <c r="D142" s="212" t="s">
        <v>771</v>
      </c>
      <c r="E142" s="204"/>
      <c r="F142" s="205"/>
      <c r="G142" s="206"/>
      <c r="H142" s="207"/>
      <c r="I142" s="216"/>
      <c r="J142" s="217">
        <v>300</v>
      </c>
      <c r="K142" s="1306"/>
    </row>
    <row r="143" spans="1:11" s="210" customFormat="1" ht="22.5" customHeight="1">
      <c r="A143" s="200">
        <v>136</v>
      </c>
      <c r="B143" s="201">
        <v>12</v>
      </c>
      <c r="C143" s="221" t="s">
        <v>10</v>
      </c>
      <c r="D143" s="203"/>
      <c r="E143" s="204" t="s">
        <v>80</v>
      </c>
      <c r="F143" s="205">
        <v>1033</v>
      </c>
      <c r="G143" s="206"/>
      <c r="H143" s="207"/>
      <c r="I143" s="208"/>
      <c r="J143" s="209"/>
      <c r="K143" s="1307"/>
    </row>
    <row r="144" spans="1:11" ht="29">
      <c r="A144" s="200">
        <v>137</v>
      </c>
      <c r="B144" s="201"/>
      <c r="C144" s="211">
        <v>1</v>
      </c>
      <c r="D144" s="223" t="s">
        <v>50</v>
      </c>
      <c r="E144" s="204"/>
      <c r="F144" s="205">
        <v>16356</v>
      </c>
      <c r="G144" s="233">
        <v>11550</v>
      </c>
      <c r="H144" s="207">
        <v>15309</v>
      </c>
      <c r="I144" s="216">
        <v>11550</v>
      </c>
      <c r="J144" s="217">
        <v>16799</v>
      </c>
      <c r="K144" s="1306">
        <v>15778</v>
      </c>
    </row>
    <row r="145" spans="1:11" ht="46.5" customHeight="1">
      <c r="A145" s="200">
        <v>138</v>
      </c>
      <c r="B145" s="201"/>
      <c r="C145" s="211">
        <v>2</v>
      </c>
      <c r="D145" s="223" t="s">
        <v>1221</v>
      </c>
      <c r="E145" s="204"/>
      <c r="F145" s="205">
        <v>60895</v>
      </c>
      <c r="G145" s="233">
        <v>55000</v>
      </c>
      <c r="H145" s="207">
        <v>56284</v>
      </c>
      <c r="I145" s="216">
        <v>55030</v>
      </c>
      <c r="J145" s="217">
        <v>55320</v>
      </c>
      <c r="K145" s="1306">
        <v>55319</v>
      </c>
    </row>
    <row r="146" spans="1:11" ht="36" customHeight="1">
      <c r="A146" s="200">
        <v>139</v>
      </c>
      <c r="B146" s="201"/>
      <c r="C146" s="211">
        <v>4</v>
      </c>
      <c r="D146" s="223" t="s">
        <v>51</v>
      </c>
      <c r="E146" s="204"/>
      <c r="F146" s="205">
        <v>693</v>
      </c>
      <c r="G146" s="206">
        <v>3</v>
      </c>
      <c r="H146" s="207"/>
      <c r="I146" s="216">
        <v>7461</v>
      </c>
      <c r="J146" s="217">
        <v>10363</v>
      </c>
      <c r="K146" s="1306">
        <v>7555</v>
      </c>
    </row>
    <row r="147" spans="1:11" ht="29">
      <c r="A147" s="200">
        <v>140</v>
      </c>
      <c r="B147" s="201"/>
      <c r="C147" s="211">
        <v>10</v>
      </c>
      <c r="D147" s="223" t="s">
        <v>364</v>
      </c>
      <c r="E147" s="204"/>
      <c r="F147" s="205"/>
      <c r="G147" s="206">
        <v>1150</v>
      </c>
      <c r="H147" s="207">
        <v>1244</v>
      </c>
      <c r="I147" s="216">
        <v>1200</v>
      </c>
      <c r="J147" s="217">
        <v>2460</v>
      </c>
      <c r="K147" s="1306">
        <v>1260</v>
      </c>
    </row>
    <row r="148" spans="1:11" ht="33" customHeight="1">
      <c r="A148" s="200">
        <v>141</v>
      </c>
      <c r="B148" s="201"/>
      <c r="C148" s="218">
        <v>11</v>
      </c>
      <c r="D148" s="223" t="s">
        <v>365</v>
      </c>
      <c r="E148" s="204"/>
      <c r="F148" s="205"/>
      <c r="G148" s="206"/>
      <c r="H148" s="207">
        <v>1279</v>
      </c>
      <c r="I148" s="216">
        <v>2000</v>
      </c>
      <c r="J148" s="217">
        <v>2000</v>
      </c>
      <c r="K148" s="1306">
        <v>613</v>
      </c>
    </row>
    <row r="149" spans="1:11" ht="58">
      <c r="A149" s="200">
        <v>142</v>
      </c>
      <c r="B149" s="201"/>
      <c r="C149" s="211">
        <v>12</v>
      </c>
      <c r="D149" s="223" t="s">
        <v>1222</v>
      </c>
      <c r="E149" s="204"/>
      <c r="F149" s="205"/>
      <c r="G149" s="206"/>
      <c r="H149" s="207">
        <v>663</v>
      </c>
      <c r="I149" s="216">
        <v>1140</v>
      </c>
      <c r="J149" s="217">
        <v>1940</v>
      </c>
      <c r="K149" s="1306">
        <v>1755</v>
      </c>
    </row>
    <row r="150" spans="1:11" ht="18" customHeight="1">
      <c r="A150" s="200">
        <v>143</v>
      </c>
      <c r="B150" s="201"/>
      <c r="C150" s="211">
        <v>14</v>
      </c>
      <c r="D150" s="223" t="s">
        <v>366</v>
      </c>
      <c r="E150" s="204"/>
      <c r="F150" s="205"/>
      <c r="G150" s="206"/>
      <c r="H150" s="207"/>
      <c r="I150" s="216"/>
      <c r="J150" s="217">
        <v>3373</v>
      </c>
      <c r="K150" s="1306">
        <v>3373</v>
      </c>
    </row>
    <row r="151" spans="1:11" ht="30" customHeight="1">
      <c r="A151" s="200">
        <v>144</v>
      </c>
      <c r="B151" s="201"/>
      <c r="C151" s="211">
        <v>3</v>
      </c>
      <c r="D151" s="231" t="s">
        <v>367</v>
      </c>
      <c r="E151" s="204"/>
      <c r="F151" s="237"/>
      <c r="G151" s="206">
        <v>113</v>
      </c>
      <c r="H151" s="207"/>
      <c r="I151" s="216"/>
      <c r="J151" s="217"/>
      <c r="K151" s="1306"/>
    </row>
    <row r="152" spans="1:11" ht="29">
      <c r="A152" s="200">
        <v>145</v>
      </c>
      <c r="B152" s="201"/>
      <c r="C152" s="211">
        <v>5</v>
      </c>
      <c r="D152" s="223" t="s">
        <v>1274</v>
      </c>
      <c r="E152" s="204"/>
      <c r="F152" s="205"/>
      <c r="G152" s="206">
        <v>9861</v>
      </c>
      <c r="H152" s="207">
        <v>12242</v>
      </c>
      <c r="I152" s="216"/>
      <c r="J152" s="217"/>
      <c r="K152" s="1306"/>
    </row>
    <row r="153" spans="1:11" ht="29">
      <c r="A153" s="200">
        <v>146</v>
      </c>
      <c r="B153" s="201"/>
      <c r="C153" s="211">
        <v>6</v>
      </c>
      <c r="D153" s="223" t="s">
        <v>1275</v>
      </c>
      <c r="E153" s="204"/>
      <c r="F153" s="205">
        <v>445</v>
      </c>
      <c r="G153" s="206">
        <v>1250</v>
      </c>
      <c r="H153" s="207">
        <v>367</v>
      </c>
      <c r="I153" s="216"/>
      <c r="J153" s="217"/>
      <c r="K153" s="1306"/>
    </row>
    <row r="154" spans="1:11" ht="18" customHeight="1">
      <c r="A154" s="200">
        <v>147</v>
      </c>
      <c r="B154" s="201"/>
      <c r="C154" s="218">
        <v>9</v>
      </c>
      <c r="D154" s="223" t="s">
        <v>368</v>
      </c>
      <c r="E154" s="204"/>
      <c r="F154" s="205"/>
      <c r="G154" s="206"/>
      <c r="H154" s="207">
        <v>4112</v>
      </c>
      <c r="I154" s="216"/>
      <c r="J154" s="217"/>
      <c r="K154" s="1306"/>
    </row>
    <row r="155" spans="1:11" ht="18" customHeight="1">
      <c r="A155" s="200">
        <v>148</v>
      </c>
      <c r="B155" s="201"/>
      <c r="C155" s="218">
        <v>13</v>
      </c>
      <c r="D155" s="212" t="s">
        <v>1276</v>
      </c>
      <c r="E155" s="204"/>
      <c r="F155" s="205"/>
      <c r="G155" s="206"/>
      <c r="H155" s="207">
        <v>12032</v>
      </c>
      <c r="I155" s="216"/>
      <c r="J155" s="217"/>
      <c r="K155" s="1306"/>
    </row>
    <row r="156" spans="1:11" s="210" customFormat="1" ht="22.5" customHeight="1">
      <c r="A156" s="200">
        <v>149</v>
      </c>
      <c r="B156" s="201">
        <v>13</v>
      </c>
      <c r="C156" s="221" t="s">
        <v>32</v>
      </c>
      <c r="D156" s="203"/>
      <c r="E156" s="204" t="s">
        <v>80</v>
      </c>
      <c r="F156" s="205">
        <v>46163</v>
      </c>
      <c r="G156" s="206"/>
      <c r="H156" s="207"/>
      <c r="I156" s="208"/>
      <c r="J156" s="209"/>
      <c r="K156" s="1307"/>
    </row>
    <row r="157" spans="1:11" ht="43.5">
      <c r="A157" s="200">
        <v>150</v>
      </c>
      <c r="B157" s="201"/>
      <c r="C157" s="211">
        <v>1</v>
      </c>
      <c r="D157" s="223" t="s">
        <v>369</v>
      </c>
      <c r="E157" s="204"/>
      <c r="F157" s="205"/>
      <c r="G157" s="206"/>
      <c r="H157" s="207">
        <v>2415</v>
      </c>
      <c r="I157" s="216">
        <v>2550</v>
      </c>
      <c r="J157" s="217">
        <v>2550</v>
      </c>
      <c r="K157" s="1306"/>
    </row>
    <row r="158" spans="1:11" ht="18" customHeight="1">
      <c r="A158" s="200">
        <v>151</v>
      </c>
      <c r="B158" s="201"/>
      <c r="C158" s="218">
        <v>3</v>
      </c>
      <c r="D158" s="223" t="s">
        <v>370</v>
      </c>
      <c r="E158" s="204"/>
      <c r="F158" s="205"/>
      <c r="G158" s="206"/>
      <c r="H158" s="207">
        <v>3136</v>
      </c>
      <c r="I158" s="216">
        <v>1500</v>
      </c>
      <c r="J158" s="217">
        <v>2135</v>
      </c>
      <c r="K158" s="1306">
        <v>838</v>
      </c>
    </row>
    <row r="159" spans="1:11" ht="18" customHeight="1">
      <c r="A159" s="200">
        <v>152</v>
      </c>
      <c r="B159" s="201"/>
      <c r="C159" s="218">
        <v>8</v>
      </c>
      <c r="D159" s="223" t="s">
        <v>371</v>
      </c>
      <c r="E159" s="204"/>
      <c r="F159" s="205"/>
      <c r="G159" s="206"/>
      <c r="H159" s="207"/>
      <c r="I159" s="216">
        <v>750</v>
      </c>
      <c r="J159" s="217">
        <v>3417</v>
      </c>
      <c r="K159" s="1306">
        <v>1695</v>
      </c>
    </row>
    <row r="160" spans="1:11" ht="29">
      <c r="A160" s="200">
        <v>153</v>
      </c>
      <c r="B160" s="201"/>
      <c r="C160" s="211">
        <v>25</v>
      </c>
      <c r="D160" s="223" t="s">
        <v>1277</v>
      </c>
      <c r="E160" s="204"/>
      <c r="F160" s="205"/>
      <c r="G160" s="206">
        <v>13906</v>
      </c>
      <c r="H160" s="207">
        <v>2362</v>
      </c>
      <c r="I160" s="216">
        <v>9585</v>
      </c>
      <c r="J160" s="217">
        <v>2076</v>
      </c>
      <c r="K160" s="1306">
        <v>2076</v>
      </c>
    </row>
    <row r="161" spans="1:11" ht="29">
      <c r="A161" s="200">
        <v>154</v>
      </c>
      <c r="B161" s="201"/>
      <c r="C161" s="211">
        <v>29</v>
      </c>
      <c r="D161" s="223" t="s">
        <v>1278</v>
      </c>
      <c r="E161" s="204"/>
      <c r="F161" s="205"/>
      <c r="G161" s="206">
        <v>8306</v>
      </c>
      <c r="H161" s="207">
        <v>8692</v>
      </c>
      <c r="I161" s="216"/>
      <c r="J161" s="217"/>
      <c r="K161" s="1306"/>
    </row>
    <row r="162" spans="1:11">
      <c r="A162" s="200">
        <v>155</v>
      </c>
      <c r="B162" s="201"/>
      <c r="C162" s="211">
        <v>30</v>
      </c>
      <c r="D162" s="223" t="s">
        <v>372</v>
      </c>
      <c r="E162" s="204"/>
      <c r="F162" s="205"/>
      <c r="G162" s="206"/>
      <c r="H162" s="207">
        <v>8669</v>
      </c>
      <c r="I162" s="216"/>
      <c r="J162" s="217"/>
      <c r="K162" s="1306"/>
    </row>
    <row r="163" spans="1:11" ht="60" customHeight="1">
      <c r="A163" s="200">
        <v>156</v>
      </c>
      <c r="B163" s="201"/>
      <c r="C163" s="211">
        <v>31</v>
      </c>
      <c r="D163" s="223" t="s">
        <v>1279</v>
      </c>
      <c r="E163" s="204"/>
      <c r="F163" s="205"/>
      <c r="G163" s="206"/>
      <c r="H163" s="207">
        <v>31585</v>
      </c>
      <c r="I163" s="216">
        <v>109822</v>
      </c>
      <c r="J163" s="217">
        <v>113892</v>
      </c>
      <c r="K163" s="1306">
        <v>113893</v>
      </c>
    </row>
    <row r="164" spans="1:11" ht="18" customHeight="1">
      <c r="A164" s="200">
        <v>157</v>
      </c>
      <c r="B164" s="201"/>
      <c r="C164" s="211">
        <v>32</v>
      </c>
      <c r="D164" s="223" t="s">
        <v>373</v>
      </c>
      <c r="E164" s="204"/>
      <c r="F164" s="205"/>
      <c r="G164" s="206"/>
      <c r="H164" s="207">
        <v>206</v>
      </c>
      <c r="I164" s="216"/>
      <c r="J164" s="217"/>
      <c r="K164" s="1306"/>
    </row>
    <row r="165" spans="1:11" ht="18" customHeight="1">
      <c r="A165" s="200">
        <v>158</v>
      </c>
      <c r="B165" s="201"/>
      <c r="C165" s="218">
        <v>33</v>
      </c>
      <c r="D165" s="223" t="s">
        <v>374</v>
      </c>
      <c r="E165" s="204"/>
      <c r="F165" s="205"/>
      <c r="G165" s="206"/>
      <c r="H165" s="207"/>
      <c r="I165" s="216">
        <v>1200</v>
      </c>
      <c r="J165" s="217">
        <v>1200</v>
      </c>
      <c r="K165" s="1306">
        <v>1200</v>
      </c>
    </row>
    <row r="166" spans="1:11" ht="18" customHeight="1">
      <c r="A166" s="200">
        <v>159</v>
      </c>
      <c r="B166" s="201"/>
      <c r="C166" s="218">
        <v>34</v>
      </c>
      <c r="D166" s="223" t="s">
        <v>52</v>
      </c>
      <c r="E166" s="204"/>
      <c r="F166" s="205"/>
      <c r="G166" s="206"/>
      <c r="H166" s="207"/>
      <c r="I166" s="216">
        <v>1016</v>
      </c>
      <c r="J166" s="217">
        <v>1262</v>
      </c>
      <c r="K166" s="1306">
        <v>1261</v>
      </c>
    </row>
    <row r="167" spans="1:11" ht="18" customHeight="1">
      <c r="A167" s="200">
        <v>160</v>
      </c>
      <c r="B167" s="201"/>
      <c r="C167" s="218">
        <v>35</v>
      </c>
      <c r="D167" s="223" t="s">
        <v>53</v>
      </c>
      <c r="E167" s="204"/>
      <c r="F167" s="205"/>
      <c r="G167" s="206"/>
      <c r="H167" s="207"/>
      <c r="I167" s="216">
        <v>1410</v>
      </c>
      <c r="J167" s="217">
        <v>1014</v>
      </c>
      <c r="K167" s="1306">
        <v>1014</v>
      </c>
    </row>
    <row r="168" spans="1:11" ht="18" customHeight="1">
      <c r="A168" s="200">
        <v>161</v>
      </c>
      <c r="B168" s="201"/>
      <c r="C168" s="218">
        <v>36</v>
      </c>
      <c r="D168" s="212" t="s">
        <v>1223</v>
      </c>
      <c r="E168" s="204"/>
      <c r="F168" s="205"/>
      <c r="G168" s="206"/>
      <c r="H168" s="207"/>
      <c r="I168" s="216"/>
      <c r="J168" s="217">
        <v>19920</v>
      </c>
      <c r="K168" s="1306">
        <v>15188</v>
      </c>
    </row>
    <row r="169" spans="1:11" ht="31.5" customHeight="1">
      <c r="A169" s="200">
        <v>162</v>
      </c>
      <c r="B169" s="201"/>
      <c r="C169" s="211">
        <v>37</v>
      </c>
      <c r="D169" s="212" t="s">
        <v>1224</v>
      </c>
      <c r="E169" s="204"/>
      <c r="F169" s="205"/>
      <c r="G169" s="206"/>
      <c r="H169" s="207"/>
      <c r="I169" s="216"/>
      <c r="J169" s="217">
        <v>5080</v>
      </c>
      <c r="K169" s="1306">
        <v>4262</v>
      </c>
    </row>
    <row r="170" spans="1:11" ht="19.5" customHeight="1">
      <c r="A170" s="200">
        <v>163</v>
      </c>
      <c r="B170" s="201"/>
      <c r="C170" s="211">
        <v>38</v>
      </c>
      <c r="D170" s="212" t="s">
        <v>375</v>
      </c>
      <c r="E170" s="204"/>
      <c r="F170" s="205"/>
      <c r="G170" s="206"/>
      <c r="H170" s="207"/>
      <c r="I170" s="216"/>
      <c r="J170" s="217">
        <v>400</v>
      </c>
      <c r="K170" s="1306">
        <v>370</v>
      </c>
    </row>
    <row r="171" spans="1:11" ht="19.5" customHeight="1">
      <c r="A171" s="200">
        <v>164</v>
      </c>
      <c r="B171" s="201"/>
      <c r="C171" s="211">
        <v>39</v>
      </c>
      <c r="D171" s="212" t="s">
        <v>376</v>
      </c>
      <c r="E171" s="204"/>
      <c r="F171" s="205"/>
      <c r="G171" s="206"/>
      <c r="H171" s="207"/>
      <c r="I171" s="216"/>
      <c r="J171" s="217">
        <v>889</v>
      </c>
      <c r="K171" s="1306">
        <v>700</v>
      </c>
    </row>
    <row r="172" spans="1:11" ht="19.5" customHeight="1">
      <c r="A172" s="200">
        <v>165</v>
      </c>
      <c r="B172" s="201"/>
      <c r="C172" s="211">
        <v>40</v>
      </c>
      <c r="D172" s="212" t="s">
        <v>377</v>
      </c>
      <c r="E172" s="204"/>
      <c r="F172" s="205"/>
      <c r="G172" s="206"/>
      <c r="H172" s="207"/>
      <c r="I172" s="216"/>
      <c r="J172" s="217">
        <v>5461</v>
      </c>
      <c r="K172" s="1306">
        <v>4604</v>
      </c>
    </row>
    <row r="173" spans="1:11" s="210" customFormat="1" ht="22.5" customHeight="1">
      <c r="A173" s="200">
        <v>166</v>
      </c>
      <c r="B173" s="201">
        <v>14</v>
      </c>
      <c r="C173" s="221" t="s">
        <v>33</v>
      </c>
      <c r="D173" s="203"/>
      <c r="E173" s="204" t="s">
        <v>231</v>
      </c>
      <c r="F173" s="205">
        <v>4552</v>
      </c>
      <c r="G173" s="206"/>
      <c r="H173" s="207">
        <v>18710</v>
      </c>
      <c r="I173" s="208"/>
      <c r="J173" s="209"/>
      <c r="K173" s="1307"/>
    </row>
    <row r="174" spans="1:11" ht="18" customHeight="1">
      <c r="A174" s="200">
        <v>167</v>
      </c>
      <c r="B174" s="201"/>
      <c r="C174" s="218">
        <v>1</v>
      </c>
      <c r="D174" s="223" t="s">
        <v>378</v>
      </c>
      <c r="E174" s="204"/>
      <c r="F174" s="205"/>
      <c r="G174" s="206">
        <v>300</v>
      </c>
      <c r="H174" s="207">
        <v>42</v>
      </c>
      <c r="I174" s="216">
        <v>110</v>
      </c>
      <c r="J174" s="217">
        <v>0</v>
      </c>
      <c r="K174" s="1306"/>
    </row>
    <row r="175" spans="1:11" ht="47.25" customHeight="1">
      <c r="A175" s="200">
        <v>168</v>
      </c>
      <c r="B175" s="201"/>
      <c r="C175" s="211">
        <v>2</v>
      </c>
      <c r="D175" s="223" t="s">
        <v>54</v>
      </c>
      <c r="E175" s="204"/>
      <c r="F175" s="205"/>
      <c r="G175" s="206"/>
      <c r="H175" s="207"/>
      <c r="I175" s="216">
        <f>500+1000</f>
        <v>1500</v>
      </c>
      <c r="J175" s="217">
        <v>1101</v>
      </c>
      <c r="K175" s="1306">
        <v>1088</v>
      </c>
    </row>
    <row r="176" spans="1:11" ht="18" customHeight="1">
      <c r="A176" s="200">
        <v>169</v>
      </c>
      <c r="B176" s="201"/>
      <c r="C176" s="218">
        <v>3</v>
      </c>
      <c r="D176" s="212" t="s">
        <v>1225</v>
      </c>
      <c r="E176" s="204"/>
      <c r="F176" s="205"/>
      <c r="G176" s="206"/>
      <c r="H176" s="207"/>
      <c r="I176" s="216"/>
      <c r="J176" s="217">
        <v>7620</v>
      </c>
      <c r="K176" s="1306">
        <v>7620</v>
      </c>
    </row>
    <row r="177" spans="1:11" ht="18" customHeight="1">
      <c r="A177" s="200">
        <v>170</v>
      </c>
      <c r="B177" s="201"/>
      <c r="C177" s="218">
        <v>4</v>
      </c>
      <c r="D177" s="212" t="s">
        <v>379</v>
      </c>
      <c r="E177" s="204"/>
      <c r="F177" s="205"/>
      <c r="G177" s="206"/>
      <c r="H177" s="207"/>
      <c r="I177" s="216"/>
      <c r="J177" s="217">
        <v>9468</v>
      </c>
      <c r="K177" s="1306">
        <v>9467</v>
      </c>
    </row>
    <row r="178" spans="1:11" ht="18" customHeight="1">
      <c r="A178" s="200">
        <v>171</v>
      </c>
      <c r="B178" s="201"/>
      <c r="C178" s="218">
        <v>5</v>
      </c>
      <c r="D178" s="212" t="s">
        <v>55</v>
      </c>
      <c r="E178" s="204"/>
      <c r="F178" s="205"/>
      <c r="G178" s="206"/>
      <c r="H178" s="207"/>
      <c r="I178" s="216"/>
      <c r="J178" s="217">
        <v>328</v>
      </c>
      <c r="K178" s="1306">
        <v>328</v>
      </c>
    </row>
    <row r="179" spans="1:11" ht="18" customHeight="1">
      <c r="A179" s="200">
        <v>172</v>
      </c>
      <c r="B179" s="201"/>
      <c r="C179" s="218">
        <v>6</v>
      </c>
      <c r="D179" s="212" t="s">
        <v>380</v>
      </c>
      <c r="E179" s="204"/>
      <c r="F179" s="205"/>
      <c r="G179" s="206"/>
      <c r="H179" s="207"/>
      <c r="I179" s="216"/>
      <c r="J179" s="217">
        <v>1801</v>
      </c>
      <c r="K179" s="1306">
        <v>1800</v>
      </c>
    </row>
    <row r="180" spans="1:11" ht="18" customHeight="1">
      <c r="A180" s="200">
        <v>173</v>
      </c>
      <c r="B180" s="201"/>
      <c r="C180" s="218">
        <v>7</v>
      </c>
      <c r="D180" s="212" t="s">
        <v>381</v>
      </c>
      <c r="E180" s="204"/>
      <c r="F180" s="205"/>
      <c r="G180" s="206"/>
      <c r="H180" s="207"/>
      <c r="I180" s="216"/>
      <c r="J180" s="217">
        <v>572</v>
      </c>
      <c r="K180" s="1306">
        <v>571</v>
      </c>
    </row>
    <row r="181" spans="1:11" ht="18" customHeight="1">
      <c r="A181" s="200">
        <v>174</v>
      </c>
      <c r="B181" s="201"/>
      <c r="C181" s="218">
        <v>8</v>
      </c>
      <c r="D181" s="212" t="s">
        <v>56</v>
      </c>
      <c r="E181" s="204"/>
      <c r="F181" s="205"/>
      <c r="G181" s="206"/>
      <c r="H181" s="207"/>
      <c r="I181" s="216"/>
      <c r="J181" s="217">
        <v>315</v>
      </c>
      <c r="K181" s="1306">
        <v>315</v>
      </c>
    </row>
    <row r="182" spans="1:11" ht="18" customHeight="1">
      <c r="A182" s="200">
        <v>175</v>
      </c>
      <c r="B182" s="201"/>
      <c r="C182" s="218">
        <v>9</v>
      </c>
      <c r="D182" s="212" t="s">
        <v>57</v>
      </c>
      <c r="E182" s="204"/>
      <c r="F182" s="205"/>
      <c r="G182" s="206"/>
      <c r="H182" s="207"/>
      <c r="I182" s="216"/>
      <c r="J182" s="217">
        <v>941</v>
      </c>
      <c r="K182" s="1306">
        <v>941</v>
      </c>
    </row>
    <row r="183" spans="1:11" ht="18" customHeight="1">
      <c r="A183" s="200">
        <v>176</v>
      </c>
      <c r="B183" s="201"/>
      <c r="C183" s="218">
        <v>10</v>
      </c>
      <c r="D183" s="212" t="s">
        <v>382</v>
      </c>
      <c r="E183" s="204"/>
      <c r="F183" s="205"/>
      <c r="G183" s="206"/>
      <c r="H183" s="207"/>
      <c r="I183" s="216"/>
      <c r="J183" s="217">
        <v>13243</v>
      </c>
      <c r="K183" s="1306">
        <v>13243</v>
      </c>
    </row>
    <row r="184" spans="1:11" ht="18" customHeight="1">
      <c r="A184" s="200">
        <v>177</v>
      </c>
      <c r="B184" s="201"/>
      <c r="C184" s="218">
        <v>11</v>
      </c>
      <c r="D184" s="212" t="s">
        <v>772</v>
      </c>
      <c r="E184" s="204"/>
      <c r="F184" s="205"/>
      <c r="G184" s="206"/>
      <c r="H184" s="207"/>
      <c r="I184" s="216"/>
      <c r="J184" s="217">
        <v>10039</v>
      </c>
      <c r="K184" s="1306"/>
    </row>
    <row r="185" spans="1:11" ht="18" customHeight="1">
      <c r="A185" s="200">
        <v>178</v>
      </c>
      <c r="B185" s="201"/>
      <c r="C185" s="218">
        <v>12</v>
      </c>
      <c r="D185" s="212" t="s">
        <v>773</v>
      </c>
      <c r="E185" s="204"/>
      <c r="F185" s="205"/>
      <c r="G185" s="206"/>
      <c r="H185" s="207"/>
      <c r="I185" s="216"/>
      <c r="J185" s="217">
        <v>750</v>
      </c>
      <c r="K185" s="1306"/>
    </row>
    <row r="186" spans="1:11" s="210" customFormat="1" ht="22.5" customHeight="1">
      <c r="A186" s="200">
        <v>179</v>
      </c>
      <c r="B186" s="201">
        <v>15</v>
      </c>
      <c r="C186" s="221" t="s">
        <v>34</v>
      </c>
      <c r="D186" s="203"/>
      <c r="E186" s="204" t="s">
        <v>231</v>
      </c>
      <c r="F186" s="205">
        <f>29721+41030</f>
        <v>70751</v>
      </c>
      <c r="G186" s="206"/>
      <c r="H186" s="207">
        <v>85619</v>
      </c>
      <c r="I186" s="208"/>
      <c r="J186" s="209"/>
      <c r="K186" s="1307"/>
    </row>
    <row r="187" spans="1:11" ht="79.5" customHeight="1">
      <c r="A187" s="200">
        <v>180</v>
      </c>
      <c r="B187" s="201"/>
      <c r="C187" s="211">
        <v>1</v>
      </c>
      <c r="D187" s="223" t="s">
        <v>1226</v>
      </c>
      <c r="E187" s="204"/>
      <c r="F187" s="205"/>
      <c r="G187" s="206"/>
      <c r="H187" s="207"/>
      <c r="I187" s="216">
        <v>4000</v>
      </c>
      <c r="J187" s="217">
        <v>12833</v>
      </c>
      <c r="K187" s="1306">
        <v>11225</v>
      </c>
    </row>
    <row r="188" spans="1:11" ht="18" customHeight="1">
      <c r="A188" s="200">
        <v>181</v>
      </c>
      <c r="B188" s="201"/>
      <c r="C188" s="224">
        <v>2</v>
      </c>
      <c r="D188" s="223" t="s">
        <v>383</v>
      </c>
      <c r="E188" s="204"/>
      <c r="F188" s="205"/>
      <c r="G188" s="206"/>
      <c r="H188" s="207"/>
      <c r="I188" s="216"/>
      <c r="J188" s="217">
        <v>26300</v>
      </c>
      <c r="K188" s="1306">
        <v>26204</v>
      </c>
    </row>
    <row r="189" spans="1:11" ht="18" customHeight="1">
      <c r="A189" s="200">
        <v>182</v>
      </c>
      <c r="B189" s="201"/>
      <c r="C189" s="224">
        <v>3</v>
      </c>
      <c r="D189" s="212" t="s">
        <v>384</v>
      </c>
      <c r="E189" s="204"/>
      <c r="F189" s="205"/>
      <c r="G189" s="206"/>
      <c r="H189" s="207"/>
      <c r="I189" s="216"/>
      <c r="J189" s="217">
        <v>1001</v>
      </c>
      <c r="K189" s="1306">
        <v>1001</v>
      </c>
    </row>
    <row r="190" spans="1:11" ht="18" customHeight="1">
      <c r="A190" s="200">
        <v>183</v>
      </c>
      <c r="B190" s="201"/>
      <c r="C190" s="224">
        <v>4</v>
      </c>
      <c r="D190" s="212" t="s">
        <v>385</v>
      </c>
      <c r="E190" s="204"/>
      <c r="F190" s="205"/>
      <c r="G190" s="206"/>
      <c r="H190" s="207"/>
      <c r="I190" s="216"/>
      <c r="J190" s="217">
        <v>508</v>
      </c>
      <c r="K190" s="1306">
        <v>508</v>
      </c>
    </row>
    <row r="191" spans="1:11" ht="18" customHeight="1">
      <c r="A191" s="200">
        <v>184</v>
      </c>
      <c r="B191" s="201"/>
      <c r="C191" s="224">
        <v>5</v>
      </c>
      <c r="D191" s="212" t="s">
        <v>386</v>
      </c>
      <c r="E191" s="204"/>
      <c r="F191" s="205"/>
      <c r="G191" s="206"/>
      <c r="H191" s="207"/>
      <c r="I191" s="216"/>
      <c r="J191" s="217">
        <v>250</v>
      </c>
      <c r="K191" s="1306">
        <v>250</v>
      </c>
    </row>
    <row r="192" spans="1:11" ht="18" customHeight="1">
      <c r="A192" s="200">
        <v>185</v>
      </c>
      <c r="B192" s="201"/>
      <c r="C192" s="224">
        <v>6</v>
      </c>
      <c r="D192" s="212" t="s">
        <v>387</v>
      </c>
      <c r="E192" s="204"/>
      <c r="F192" s="205"/>
      <c r="G192" s="206"/>
      <c r="H192" s="207"/>
      <c r="I192" s="216"/>
      <c r="J192" s="217">
        <v>408</v>
      </c>
      <c r="K192" s="1306">
        <v>408</v>
      </c>
    </row>
    <row r="193" spans="1:11" ht="31.5" customHeight="1">
      <c r="A193" s="200">
        <v>186</v>
      </c>
      <c r="B193" s="201"/>
      <c r="C193" s="229">
        <v>7</v>
      </c>
      <c r="D193" s="212" t="s">
        <v>388</v>
      </c>
      <c r="E193" s="204"/>
      <c r="F193" s="205"/>
      <c r="G193" s="206"/>
      <c r="H193" s="207"/>
      <c r="I193" s="216"/>
      <c r="J193" s="217">
        <v>1500</v>
      </c>
      <c r="K193" s="1306">
        <v>1242</v>
      </c>
    </row>
    <row r="194" spans="1:11" ht="48" customHeight="1">
      <c r="A194" s="200">
        <v>187</v>
      </c>
      <c r="B194" s="201"/>
      <c r="C194" s="229">
        <v>8</v>
      </c>
      <c r="D194" s="212" t="s">
        <v>1227</v>
      </c>
      <c r="E194" s="204"/>
      <c r="F194" s="205"/>
      <c r="G194" s="206"/>
      <c r="H194" s="207"/>
      <c r="I194" s="216"/>
      <c r="J194" s="217">
        <v>4096</v>
      </c>
      <c r="K194" s="1306">
        <v>4159</v>
      </c>
    </row>
    <row r="195" spans="1:11" s="210" customFormat="1" ht="22.5" customHeight="1">
      <c r="A195" s="200">
        <v>188</v>
      </c>
      <c r="B195" s="201">
        <v>16</v>
      </c>
      <c r="C195" s="238" t="s">
        <v>35</v>
      </c>
      <c r="D195" s="203"/>
      <c r="E195" s="204" t="s">
        <v>80</v>
      </c>
      <c r="F195" s="205">
        <v>11581</v>
      </c>
      <c r="G195" s="206"/>
      <c r="H195" s="207">
        <v>1541</v>
      </c>
      <c r="I195" s="208"/>
      <c r="J195" s="209"/>
      <c r="K195" s="1307"/>
    </row>
    <row r="196" spans="1:11" s="210" customFormat="1" ht="18" customHeight="1">
      <c r="A196" s="200">
        <v>189</v>
      </c>
      <c r="B196" s="201"/>
      <c r="C196" s="218">
        <v>1</v>
      </c>
      <c r="D196" s="223" t="s">
        <v>59</v>
      </c>
      <c r="E196" s="204"/>
      <c r="F196" s="205"/>
      <c r="G196" s="206"/>
      <c r="H196" s="207"/>
      <c r="I196" s="208"/>
      <c r="J196" s="217">
        <v>2800</v>
      </c>
      <c r="K196" s="1306">
        <v>1380</v>
      </c>
    </row>
    <row r="197" spans="1:11" ht="18" customHeight="1">
      <c r="A197" s="200">
        <v>190</v>
      </c>
      <c r="B197" s="201"/>
      <c r="C197" s="218">
        <v>4</v>
      </c>
      <c r="D197" s="223" t="s">
        <v>389</v>
      </c>
      <c r="E197" s="204"/>
      <c r="F197" s="205"/>
      <c r="G197" s="206"/>
      <c r="H197" s="207"/>
      <c r="I197" s="216">
        <v>7000</v>
      </c>
      <c r="J197" s="239">
        <v>4000</v>
      </c>
      <c r="K197" s="1309">
        <v>3728</v>
      </c>
    </row>
    <row r="198" spans="1:11" ht="18" customHeight="1">
      <c r="A198" s="200">
        <v>191</v>
      </c>
      <c r="B198" s="240"/>
      <c r="C198" s="241">
        <v>5</v>
      </c>
      <c r="D198" s="242" t="s">
        <v>390</v>
      </c>
      <c r="E198" s="243"/>
      <c r="F198" s="244"/>
      <c r="G198" s="245"/>
      <c r="H198" s="246"/>
      <c r="I198" s="247"/>
      <c r="J198" s="248">
        <v>1000</v>
      </c>
      <c r="K198" s="1309">
        <v>918</v>
      </c>
    </row>
    <row r="199" spans="1:11" ht="18" customHeight="1">
      <c r="A199" s="200">
        <v>192</v>
      </c>
      <c r="B199" s="249"/>
      <c r="C199" s="250">
        <v>6</v>
      </c>
      <c r="D199" s="251" t="s">
        <v>65</v>
      </c>
      <c r="E199" s="252"/>
      <c r="F199" s="253"/>
      <c r="G199" s="254"/>
      <c r="H199" s="255"/>
      <c r="I199" s="256"/>
      <c r="J199" s="257">
        <v>2800</v>
      </c>
      <c r="K199" s="1310">
        <v>2243</v>
      </c>
    </row>
    <row r="200" spans="1:11" s="264" customFormat="1" ht="36" customHeight="1">
      <c r="A200" s="200">
        <v>193</v>
      </c>
      <c r="B200" s="1943" t="s">
        <v>391</v>
      </c>
      <c r="C200" s="1943"/>
      <c r="D200" s="1943"/>
      <c r="E200" s="258"/>
      <c r="F200" s="259">
        <f>SUM(F8:F195)</f>
        <v>285608</v>
      </c>
      <c r="G200" s="260">
        <f>SUM(G8:G195)</f>
        <v>213935</v>
      </c>
      <c r="H200" s="261">
        <f>SUM(H8:H195)</f>
        <v>450244</v>
      </c>
      <c r="I200" s="262">
        <f>SUM(I8:I199)</f>
        <v>276474</v>
      </c>
      <c r="J200" s="263">
        <f>SUM(J8:J199)</f>
        <v>484803</v>
      </c>
      <c r="K200" s="1311">
        <f>SUM(K8:K199)</f>
        <v>431784</v>
      </c>
    </row>
    <row r="201" spans="1:11" s="210" customFormat="1" ht="22.5" customHeight="1">
      <c r="A201" s="200">
        <v>194</v>
      </c>
      <c r="B201" s="201">
        <v>17</v>
      </c>
      <c r="C201" s="265" t="s">
        <v>145</v>
      </c>
      <c r="D201" s="203"/>
      <c r="E201" s="204" t="s">
        <v>80</v>
      </c>
      <c r="F201" s="205"/>
      <c r="G201" s="206"/>
      <c r="H201" s="207"/>
      <c r="I201" s="208"/>
      <c r="J201" s="209"/>
      <c r="K201" s="1305"/>
    </row>
    <row r="202" spans="1:11" s="210" customFormat="1" ht="22.5" customHeight="1">
      <c r="A202" s="200">
        <v>195</v>
      </c>
      <c r="B202" s="201"/>
      <c r="C202" s="222"/>
      <c r="D202" s="203" t="s">
        <v>234</v>
      </c>
      <c r="E202" s="204"/>
      <c r="F202" s="205">
        <v>13698</v>
      </c>
      <c r="G202" s="206"/>
      <c r="H202" s="207"/>
      <c r="I202" s="208"/>
      <c r="J202" s="209"/>
      <c r="K202" s="1307"/>
    </row>
    <row r="203" spans="1:11" ht="18" customHeight="1">
      <c r="A203" s="200">
        <v>196</v>
      </c>
      <c r="B203" s="201"/>
      <c r="C203" s="224">
        <v>1</v>
      </c>
      <c r="D203" s="223" t="s">
        <v>392</v>
      </c>
      <c r="E203" s="204"/>
      <c r="F203" s="213"/>
      <c r="G203" s="214">
        <v>5500</v>
      </c>
      <c r="H203" s="215"/>
      <c r="I203" s="216">
        <v>7000</v>
      </c>
      <c r="J203" s="217">
        <v>7000</v>
      </c>
      <c r="K203" s="1306"/>
    </row>
    <row r="204" spans="1:11" ht="18" customHeight="1">
      <c r="A204" s="200">
        <v>197</v>
      </c>
      <c r="B204" s="201"/>
      <c r="C204" s="224">
        <v>3</v>
      </c>
      <c r="D204" s="223" t="s">
        <v>393</v>
      </c>
      <c r="E204" s="204"/>
      <c r="F204" s="213">
        <v>489</v>
      </c>
      <c r="G204" s="214">
        <v>29000</v>
      </c>
      <c r="H204" s="215"/>
      <c r="I204" s="216">
        <v>29000</v>
      </c>
      <c r="J204" s="217">
        <v>29000</v>
      </c>
      <c r="K204" s="1306"/>
    </row>
    <row r="205" spans="1:11" ht="18" customHeight="1">
      <c r="A205" s="200">
        <v>198</v>
      </c>
      <c r="B205" s="201"/>
      <c r="C205" s="224">
        <v>5</v>
      </c>
      <c r="D205" s="223" t="s">
        <v>394</v>
      </c>
      <c r="E205" s="204"/>
      <c r="F205" s="213">
        <v>1792</v>
      </c>
      <c r="G205" s="214">
        <v>1258</v>
      </c>
      <c r="H205" s="215"/>
      <c r="I205" s="216">
        <v>1000</v>
      </c>
      <c r="J205" s="217">
        <v>1000</v>
      </c>
      <c r="K205" s="1306"/>
    </row>
    <row r="206" spans="1:11" ht="18" customHeight="1">
      <c r="A206" s="200">
        <v>199</v>
      </c>
      <c r="B206" s="201"/>
      <c r="C206" s="224">
        <v>6</v>
      </c>
      <c r="D206" s="223" t="s">
        <v>395</v>
      </c>
      <c r="E206" s="204"/>
      <c r="F206" s="213"/>
      <c r="G206" s="214">
        <v>3500</v>
      </c>
      <c r="H206" s="215"/>
      <c r="I206" s="216">
        <v>5000</v>
      </c>
      <c r="J206" s="217">
        <v>5000</v>
      </c>
      <c r="K206" s="1306"/>
    </row>
    <row r="207" spans="1:11" ht="18" customHeight="1">
      <c r="A207" s="200">
        <v>200</v>
      </c>
      <c r="B207" s="201"/>
      <c r="C207" s="224">
        <v>10</v>
      </c>
      <c r="D207" s="223" t="s">
        <v>396</v>
      </c>
      <c r="E207" s="204"/>
      <c r="F207" s="213">
        <v>667</v>
      </c>
      <c r="G207" s="214">
        <v>1200</v>
      </c>
      <c r="H207" s="215">
        <v>228</v>
      </c>
      <c r="I207" s="216">
        <v>800</v>
      </c>
      <c r="J207" s="217">
        <v>800</v>
      </c>
      <c r="K207" s="1306">
        <v>330</v>
      </c>
    </row>
    <row r="208" spans="1:11" ht="18" customHeight="1">
      <c r="A208" s="200">
        <v>201</v>
      </c>
      <c r="B208" s="201"/>
      <c r="C208" s="224">
        <v>11</v>
      </c>
      <c r="D208" s="223" t="s">
        <v>397</v>
      </c>
      <c r="E208" s="204"/>
      <c r="F208" s="213">
        <v>2250</v>
      </c>
      <c r="G208" s="214">
        <v>2500</v>
      </c>
      <c r="H208" s="215">
        <v>704</v>
      </c>
      <c r="I208" s="216">
        <v>3500</v>
      </c>
      <c r="J208" s="217">
        <v>12900</v>
      </c>
      <c r="K208" s="1306">
        <f>2850+1305</f>
        <v>4155</v>
      </c>
    </row>
    <row r="209" spans="1:11" ht="18" customHeight="1">
      <c r="A209" s="200">
        <v>202</v>
      </c>
      <c r="B209" s="201"/>
      <c r="C209" s="224">
        <v>12</v>
      </c>
      <c r="D209" s="223" t="s">
        <v>398</v>
      </c>
      <c r="E209" s="204"/>
      <c r="F209" s="213">
        <v>600</v>
      </c>
      <c r="G209" s="214">
        <v>7500</v>
      </c>
      <c r="H209" s="215">
        <v>790</v>
      </c>
      <c r="I209" s="216">
        <v>8500</v>
      </c>
      <c r="J209" s="217">
        <v>46250</v>
      </c>
      <c r="K209" s="1306">
        <v>1835</v>
      </c>
    </row>
    <row r="210" spans="1:11" ht="18" customHeight="1">
      <c r="A210" s="200">
        <v>203</v>
      </c>
      <c r="B210" s="201"/>
      <c r="C210" s="224">
        <v>17</v>
      </c>
      <c r="D210" s="223" t="s">
        <v>399</v>
      </c>
      <c r="E210" s="204"/>
      <c r="F210" s="213"/>
      <c r="G210" s="214"/>
      <c r="H210" s="215"/>
      <c r="I210" s="216">
        <v>10000</v>
      </c>
      <c r="J210" s="217">
        <v>10000</v>
      </c>
      <c r="K210" s="1306"/>
    </row>
    <row r="211" spans="1:11" ht="18" customHeight="1">
      <c r="A211" s="200">
        <v>204</v>
      </c>
      <c r="B211" s="201"/>
      <c r="C211" s="224">
        <v>18</v>
      </c>
      <c r="D211" s="223" t="s">
        <v>400</v>
      </c>
      <c r="E211" s="204"/>
      <c r="F211" s="213"/>
      <c r="G211" s="214"/>
      <c r="H211" s="215"/>
      <c r="I211" s="216">
        <v>3000</v>
      </c>
      <c r="J211" s="217">
        <v>5000</v>
      </c>
      <c r="K211" s="1306">
        <v>3038</v>
      </c>
    </row>
    <row r="212" spans="1:11" ht="18" customHeight="1">
      <c r="A212" s="200">
        <v>205</v>
      </c>
      <c r="B212" s="201"/>
      <c r="C212" s="224">
        <v>19</v>
      </c>
      <c r="D212" s="223" t="s">
        <v>62</v>
      </c>
      <c r="E212" s="204"/>
      <c r="F212" s="213"/>
      <c r="G212" s="214"/>
      <c r="H212" s="215"/>
      <c r="I212" s="216"/>
      <c r="J212" s="217">
        <v>0</v>
      </c>
      <c r="K212" s="1306"/>
    </row>
    <row r="213" spans="1:11" ht="18" customHeight="1">
      <c r="A213" s="200">
        <v>206</v>
      </c>
      <c r="B213" s="201"/>
      <c r="C213" s="224">
        <v>20</v>
      </c>
      <c r="D213" s="223" t="s">
        <v>63</v>
      </c>
      <c r="E213" s="204"/>
      <c r="F213" s="213"/>
      <c r="G213" s="214"/>
      <c r="H213" s="215"/>
      <c r="I213" s="216"/>
      <c r="J213" s="217">
        <v>18923</v>
      </c>
      <c r="K213" s="1306"/>
    </row>
    <row r="214" spans="1:11" ht="18" customHeight="1">
      <c r="A214" s="200">
        <v>207</v>
      </c>
      <c r="B214" s="201"/>
      <c r="C214" s="224">
        <v>21</v>
      </c>
      <c r="D214" s="223" t="s">
        <v>64</v>
      </c>
      <c r="E214" s="204"/>
      <c r="F214" s="213"/>
      <c r="G214" s="214"/>
      <c r="H214" s="215"/>
      <c r="I214" s="216"/>
      <c r="J214" s="217">
        <v>21077</v>
      </c>
      <c r="K214" s="1306"/>
    </row>
    <row r="215" spans="1:11" ht="18" customHeight="1">
      <c r="A215" s="200">
        <v>208</v>
      </c>
      <c r="B215" s="201"/>
      <c r="C215" s="224">
        <v>4</v>
      </c>
      <c r="D215" s="223" t="s">
        <v>401</v>
      </c>
      <c r="E215" s="204"/>
      <c r="F215" s="213"/>
      <c r="G215" s="214"/>
      <c r="H215" s="215">
        <v>1981</v>
      </c>
      <c r="I215" s="216"/>
      <c r="J215" s="217"/>
      <c r="K215" s="1306"/>
    </row>
    <row r="216" spans="1:11" ht="18" customHeight="1">
      <c r="A216" s="200">
        <v>209</v>
      </c>
      <c r="B216" s="201"/>
      <c r="C216" s="224">
        <v>7</v>
      </c>
      <c r="D216" s="223" t="s">
        <v>402</v>
      </c>
      <c r="E216" s="204"/>
      <c r="F216" s="213"/>
      <c r="G216" s="214">
        <v>1600</v>
      </c>
      <c r="H216" s="215">
        <v>571</v>
      </c>
      <c r="I216" s="216"/>
      <c r="J216" s="217"/>
      <c r="K216" s="1306"/>
    </row>
    <row r="217" spans="1:11" ht="18" customHeight="1">
      <c r="A217" s="200">
        <v>210</v>
      </c>
      <c r="B217" s="201"/>
      <c r="C217" s="224">
        <v>13</v>
      </c>
      <c r="D217" s="223" t="s">
        <v>403</v>
      </c>
      <c r="E217" s="204"/>
      <c r="F217" s="213">
        <v>2056</v>
      </c>
      <c r="G217" s="214">
        <v>2300</v>
      </c>
      <c r="H217" s="215">
        <v>2334</v>
      </c>
      <c r="I217" s="216"/>
      <c r="J217" s="217">
        <v>3000</v>
      </c>
      <c r="K217" s="1306">
        <v>3028</v>
      </c>
    </row>
    <row r="218" spans="1:11" ht="18" customHeight="1">
      <c r="A218" s="200">
        <v>211</v>
      </c>
      <c r="B218" s="201"/>
      <c r="C218" s="224">
        <v>14</v>
      </c>
      <c r="D218" s="223" t="s">
        <v>404</v>
      </c>
      <c r="E218" s="204"/>
      <c r="F218" s="213"/>
      <c r="G218" s="214">
        <v>320</v>
      </c>
      <c r="H218" s="215">
        <v>320</v>
      </c>
      <c r="I218" s="216"/>
      <c r="J218" s="217"/>
      <c r="K218" s="1306"/>
    </row>
    <row r="219" spans="1:11" ht="22.5" customHeight="1">
      <c r="A219" s="200">
        <v>212</v>
      </c>
      <c r="B219" s="201"/>
      <c r="C219" s="224"/>
      <c r="D219" s="203" t="s">
        <v>405</v>
      </c>
      <c r="E219" s="204"/>
      <c r="F219" s="213">
        <v>7693</v>
      </c>
      <c r="G219" s="214"/>
      <c r="H219" s="215"/>
      <c r="I219" s="216"/>
      <c r="J219" s="217"/>
      <c r="K219" s="1306"/>
    </row>
    <row r="220" spans="1:11" ht="18" customHeight="1">
      <c r="A220" s="200">
        <v>213</v>
      </c>
      <c r="B220" s="201"/>
      <c r="C220" s="204">
        <v>15</v>
      </c>
      <c r="D220" s="223" t="s">
        <v>235</v>
      </c>
      <c r="E220" s="204"/>
      <c r="F220" s="213"/>
      <c r="G220" s="214">
        <v>16900</v>
      </c>
      <c r="H220" s="215">
        <v>3375</v>
      </c>
      <c r="I220" s="216">
        <v>25800</v>
      </c>
      <c r="J220" s="217">
        <v>38800</v>
      </c>
      <c r="K220" s="1306">
        <v>18417</v>
      </c>
    </row>
    <row r="221" spans="1:11" s="210" customFormat="1" ht="22.5" customHeight="1">
      <c r="A221" s="200">
        <v>214</v>
      </c>
      <c r="B221" s="201"/>
      <c r="C221" s="222"/>
      <c r="D221" s="203" t="s">
        <v>406</v>
      </c>
      <c r="E221" s="204"/>
      <c r="F221" s="205">
        <v>6723</v>
      </c>
      <c r="G221" s="206"/>
      <c r="H221" s="207"/>
      <c r="I221" s="208"/>
      <c r="J221" s="209"/>
      <c r="K221" s="1307"/>
    </row>
    <row r="222" spans="1:11" s="210" customFormat="1" ht="29">
      <c r="A222" s="200">
        <v>215</v>
      </c>
      <c r="B222" s="201"/>
      <c r="C222" s="222"/>
      <c r="D222" s="203" t="s">
        <v>250</v>
      </c>
      <c r="E222" s="204"/>
      <c r="F222" s="205"/>
      <c r="G222" s="206"/>
      <c r="H222" s="207"/>
      <c r="I222" s="208"/>
      <c r="J222" s="209"/>
      <c r="K222" s="1307"/>
    </row>
    <row r="223" spans="1:11" ht="18" customHeight="1">
      <c r="A223" s="200">
        <v>216</v>
      </c>
      <c r="B223" s="201"/>
      <c r="C223" s="204">
        <v>16</v>
      </c>
      <c r="D223" s="223" t="s">
        <v>407</v>
      </c>
      <c r="E223" s="204"/>
      <c r="F223" s="213"/>
      <c r="G223" s="214"/>
      <c r="H223" s="215"/>
      <c r="I223" s="216">
        <v>4550</v>
      </c>
      <c r="J223" s="239">
        <v>4293</v>
      </c>
      <c r="K223" s="1309">
        <v>4293</v>
      </c>
    </row>
    <row r="224" spans="1:11" s="264" customFormat="1" ht="36" customHeight="1">
      <c r="A224" s="200">
        <v>217</v>
      </c>
      <c r="B224" s="1943" t="s">
        <v>1228</v>
      </c>
      <c r="C224" s="1943"/>
      <c r="D224" s="1943"/>
      <c r="E224" s="258"/>
      <c r="F224" s="259">
        <f t="shared" ref="F224:K224" si="0">SUM(F201:F223)</f>
        <v>35968</v>
      </c>
      <c r="G224" s="260">
        <f t="shared" si="0"/>
        <v>71578</v>
      </c>
      <c r="H224" s="261">
        <f t="shared" si="0"/>
        <v>10303</v>
      </c>
      <c r="I224" s="262">
        <f t="shared" si="0"/>
        <v>98150</v>
      </c>
      <c r="J224" s="266">
        <f t="shared" si="0"/>
        <v>203043</v>
      </c>
      <c r="K224" s="1311">
        <f t="shared" si="0"/>
        <v>35096</v>
      </c>
    </row>
    <row r="225" spans="1:247" s="264" customFormat="1" ht="36" customHeight="1">
      <c r="A225" s="200">
        <v>218</v>
      </c>
      <c r="B225" s="1944" t="s">
        <v>408</v>
      </c>
      <c r="C225" s="1944"/>
      <c r="D225" s="1944"/>
      <c r="E225" s="267"/>
      <c r="F225" s="268">
        <f t="shared" ref="F225:K225" si="1">SUM(F224,F200)</f>
        <v>321576</v>
      </c>
      <c r="G225" s="269">
        <f t="shared" si="1"/>
        <v>285513</v>
      </c>
      <c r="H225" s="270">
        <f t="shared" si="1"/>
        <v>460547</v>
      </c>
      <c r="I225" s="271">
        <f t="shared" si="1"/>
        <v>374624</v>
      </c>
      <c r="J225" s="272">
        <f t="shared" si="1"/>
        <v>687846</v>
      </c>
      <c r="K225" s="1312">
        <f t="shared" si="1"/>
        <v>466880</v>
      </c>
    </row>
    <row r="226" spans="1:247" s="264" customFormat="1" ht="24.75" customHeight="1">
      <c r="A226" s="200">
        <v>219</v>
      </c>
      <c r="B226" s="273"/>
      <c r="C226" s="1945" t="s">
        <v>158</v>
      </c>
      <c r="D226" s="1945"/>
      <c r="E226" s="274"/>
      <c r="F226" s="275"/>
      <c r="G226" s="276"/>
      <c r="H226" s="277"/>
      <c r="I226" s="278"/>
      <c r="J226" s="279"/>
      <c r="K226" s="1313"/>
    </row>
    <row r="227" spans="1:247" s="264" customFormat="1" ht="19.5" customHeight="1">
      <c r="A227" s="200">
        <v>220</v>
      </c>
      <c r="B227" s="280">
        <v>13</v>
      </c>
      <c r="C227" s="281"/>
      <c r="D227" s="282" t="s">
        <v>32</v>
      </c>
      <c r="E227" s="281"/>
      <c r="F227" s="283"/>
      <c r="G227" s="284"/>
      <c r="H227" s="285"/>
      <c r="I227" s="286"/>
      <c r="J227" s="287"/>
      <c r="K227" s="1314"/>
    </row>
    <row r="228" spans="1:247" s="264" customFormat="1" ht="30.75" customHeight="1">
      <c r="A228" s="200">
        <v>221</v>
      </c>
      <c r="B228" s="288"/>
      <c r="C228" s="204">
        <v>1</v>
      </c>
      <c r="D228" s="289" t="s">
        <v>409</v>
      </c>
      <c r="E228" s="290"/>
      <c r="F228" s="291"/>
      <c r="G228" s="292"/>
      <c r="H228" s="293"/>
      <c r="I228" s="294"/>
      <c r="J228" s="295">
        <v>1975</v>
      </c>
      <c r="K228" s="1315"/>
    </row>
    <row r="229" spans="1:247" s="264" customFormat="1" ht="36" customHeight="1">
      <c r="A229" s="200">
        <v>222</v>
      </c>
      <c r="B229" s="1931" t="s">
        <v>410</v>
      </c>
      <c r="C229" s="1931"/>
      <c r="D229" s="1931"/>
      <c r="E229" s="267"/>
      <c r="F229" s="268">
        <f t="shared" ref="F229:K229" si="2">F228+F225</f>
        <v>321576</v>
      </c>
      <c r="G229" s="268">
        <f t="shared" si="2"/>
        <v>285513</v>
      </c>
      <c r="H229" s="296">
        <f t="shared" si="2"/>
        <v>460547</v>
      </c>
      <c r="I229" s="297">
        <f t="shared" si="2"/>
        <v>374624</v>
      </c>
      <c r="J229" s="272">
        <f t="shared" si="2"/>
        <v>689821</v>
      </c>
      <c r="K229" s="1316">
        <f t="shared" si="2"/>
        <v>466880</v>
      </c>
    </row>
    <row r="230" spans="1:247" ht="18" customHeight="1">
      <c r="B230" s="298"/>
      <c r="C230" s="299" t="s">
        <v>288</v>
      </c>
      <c r="D230" s="298"/>
      <c r="E230" s="300"/>
      <c r="F230" s="301"/>
      <c r="G230" s="302"/>
      <c r="H230" s="303"/>
      <c r="I230" s="303"/>
      <c r="J230" s="303"/>
    </row>
    <row r="231" spans="1:247" s="305" customFormat="1" ht="18" customHeight="1">
      <c r="A231" s="177"/>
      <c r="B231" s="298" t="s">
        <v>289</v>
      </c>
      <c r="C231" s="298"/>
      <c r="D231" s="298"/>
      <c r="E231" s="300"/>
      <c r="F231" s="304"/>
      <c r="G231" s="302"/>
      <c r="H231" s="303"/>
      <c r="I231" s="303"/>
      <c r="J231" s="303"/>
      <c r="K231" s="184"/>
      <c r="L231" s="185"/>
      <c r="M231" s="185"/>
      <c r="N231" s="185"/>
      <c r="O231" s="185"/>
      <c r="P231" s="185"/>
      <c r="Q231" s="185"/>
      <c r="R231" s="185"/>
      <c r="S231" s="185"/>
      <c r="T231" s="185"/>
      <c r="U231" s="185"/>
      <c r="V231" s="185"/>
      <c r="W231" s="185"/>
      <c r="X231" s="185"/>
      <c r="Y231" s="185"/>
      <c r="Z231" s="185"/>
      <c r="AA231" s="185"/>
      <c r="AB231" s="185"/>
      <c r="AC231" s="185"/>
      <c r="AD231" s="185"/>
      <c r="AE231" s="185"/>
      <c r="AF231" s="185"/>
      <c r="AG231" s="185"/>
      <c r="AH231" s="185"/>
      <c r="AI231" s="185"/>
      <c r="AJ231" s="185"/>
      <c r="AK231" s="185"/>
      <c r="AL231" s="185"/>
      <c r="AM231" s="185"/>
      <c r="AN231" s="185"/>
      <c r="AO231" s="185"/>
      <c r="AP231" s="185"/>
      <c r="AQ231" s="185"/>
      <c r="AR231" s="185"/>
      <c r="AS231" s="185"/>
      <c r="AT231" s="185"/>
      <c r="AU231" s="185"/>
      <c r="AV231" s="185"/>
      <c r="AW231" s="185"/>
      <c r="AX231" s="185"/>
      <c r="AY231" s="185"/>
      <c r="AZ231" s="185"/>
      <c r="BA231" s="185"/>
      <c r="BB231" s="185"/>
      <c r="BC231" s="185"/>
      <c r="BD231" s="185"/>
      <c r="BE231" s="185"/>
      <c r="BF231" s="185"/>
      <c r="BG231" s="185"/>
      <c r="BH231" s="185"/>
      <c r="BI231" s="185"/>
      <c r="BJ231" s="185"/>
      <c r="BK231" s="185"/>
      <c r="BL231" s="185"/>
      <c r="BM231" s="185"/>
      <c r="BN231" s="185"/>
      <c r="BO231" s="185"/>
      <c r="BP231" s="185"/>
      <c r="BQ231" s="185"/>
      <c r="BR231" s="185"/>
      <c r="BS231" s="185"/>
      <c r="BT231" s="185"/>
      <c r="BU231" s="185"/>
      <c r="BV231" s="185"/>
      <c r="BW231" s="185"/>
      <c r="BX231" s="185"/>
      <c r="BY231" s="185"/>
      <c r="BZ231" s="185"/>
      <c r="CA231" s="185"/>
      <c r="CB231" s="185"/>
      <c r="CC231" s="185"/>
      <c r="CD231" s="185"/>
      <c r="CE231" s="185"/>
      <c r="CF231" s="185"/>
      <c r="CG231" s="185"/>
      <c r="CH231" s="185"/>
      <c r="CI231" s="185"/>
      <c r="CJ231" s="185"/>
      <c r="CK231" s="185"/>
      <c r="CL231" s="185"/>
      <c r="CM231" s="185"/>
      <c r="CN231" s="185"/>
      <c r="CO231" s="185"/>
      <c r="CP231" s="185"/>
      <c r="CQ231" s="185"/>
      <c r="CR231" s="185"/>
      <c r="CS231" s="185"/>
      <c r="CT231" s="185"/>
      <c r="CU231" s="185"/>
      <c r="CV231" s="185"/>
      <c r="CW231" s="185"/>
      <c r="CX231" s="185"/>
      <c r="CY231" s="185"/>
      <c r="CZ231" s="185"/>
      <c r="DA231" s="185"/>
      <c r="DB231" s="185"/>
      <c r="DC231" s="185"/>
      <c r="DD231" s="185"/>
      <c r="DE231" s="185"/>
      <c r="DF231" s="185"/>
      <c r="DG231" s="185"/>
      <c r="DH231" s="185"/>
      <c r="DI231" s="185"/>
      <c r="DJ231" s="185"/>
      <c r="DK231" s="185"/>
      <c r="DL231" s="185"/>
      <c r="DM231" s="185"/>
      <c r="DN231" s="185"/>
      <c r="DO231" s="185"/>
      <c r="DP231" s="185"/>
      <c r="DQ231" s="185"/>
      <c r="DR231" s="185"/>
      <c r="DS231" s="185"/>
      <c r="DT231" s="185"/>
      <c r="DU231" s="185"/>
      <c r="DV231" s="185"/>
      <c r="DW231" s="185"/>
      <c r="DX231" s="185"/>
      <c r="DY231" s="185"/>
      <c r="DZ231" s="185"/>
      <c r="EA231" s="185"/>
      <c r="EB231" s="185"/>
      <c r="EC231" s="185"/>
      <c r="ED231" s="185"/>
      <c r="EE231" s="185"/>
      <c r="EF231" s="185"/>
      <c r="EG231" s="185"/>
      <c r="EH231" s="185"/>
      <c r="EI231" s="185"/>
      <c r="EJ231" s="185"/>
      <c r="EK231" s="185"/>
      <c r="EL231" s="185"/>
      <c r="EM231" s="185"/>
      <c r="EN231" s="185"/>
      <c r="EO231" s="185"/>
      <c r="EP231" s="185"/>
      <c r="EQ231" s="185"/>
      <c r="ER231" s="185"/>
      <c r="ES231" s="185"/>
      <c r="ET231" s="185"/>
      <c r="EU231" s="185"/>
      <c r="EV231" s="185"/>
      <c r="EW231" s="185"/>
      <c r="EX231" s="185"/>
      <c r="EY231" s="185"/>
      <c r="EZ231" s="185"/>
      <c r="FA231" s="185"/>
      <c r="FB231" s="185"/>
      <c r="FC231" s="185"/>
      <c r="FD231" s="185"/>
      <c r="FE231" s="185"/>
      <c r="FF231" s="185"/>
      <c r="FG231" s="185"/>
      <c r="FH231" s="185"/>
      <c r="FI231" s="185"/>
      <c r="FJ231" s="185"/>
      <c r="FK231" s="185"/>
      <c r="FL231" s="185"/>
      <c r="FM231" s="185"/>
      <c r="FN231" s="185"/>
      <c r="FO231" s="185"/>
      <c r="FP231" s="185"/>
      <c r="FQ231" s="185"/>
      <c r="FR231" s="185"/>
      <c r="FS231" s="185"/>
      <c r="FT231" s="185"/>
      <c r="FU231" s="185"/>
      <c r="FV231" s="185"/>
      <c r="FW231" s="185"/>
      <c r="FX231" s="185"/>
      <c r="FY231" s="185"/>
      <c r="FZ231" s="185"/>
      <c r="GA231" s="185"/>
      <c r="GB231" s="185"/>
      <c r="GC231" s="185"/>
      <c r="GD231" s="185"/>
      <c r="GE231" s="185"/>
      <c r="GF231" s="185"/>
      <c r="GG231" s="185"/>
      <c r="GH231" s="185"/>
      <c r="GI231" s="185"/>
      <c r="GJ231" s="185"/>
      <c r="GK231" s="185"/>
      <c r="GL231" s="185"/>
      <c r="GM231" s="185"/>
      <c r="GN231" s="185"/>
      <c r="GO231" s="185"/>
      <c r="GP231" s="185"/>
      <c r="GQ231" s="185"/>
      <c r="GR231" s="185"/>
      <c r="GS231" s="185"/>
      <c r="GT231" s="185"/>
      <c r="GU231" s="185"/>
      <c r="GV231" s="185"/>
      <c r="GW231" s="185"/>
      <c r="GX231" s="185"/>
      <c r="GY231" s="185"/>
      <c r="GZ231" s="185"/>
      <c r="HA231" s="185"/>
      <c r="HB231" s="185"/>
      <c r="HC231" s="185"/>
      <c r="HD231" s="185"/>
      <c r="HE231" s="185"/>
      <c r="HF231" s="185"/>
      <c r="HG231" s="185"/>
      <c r="HH231" s="185"/>
      <c r="HI231" s="185"/>
      <c r="HJ231" s="185"/>
      <c r="HK231" s="185"/>
      <c r="HL231" s="185"/>
      <c r="HM231" s="185"/>
      <c r="HN231" s="185"/>
      <c r="HO231" s="185"/>
      <c r="HP231" s="185"/>
      <c r="HQ231" s="185"/>
      <c r="HR231" s="185"/>
      <c r="HS231" s="185"/>
      <c r="HT231" s="185"/>
      <c r="HU231" s="185"/>
      <c r="HV231" s="185"/>
      <c r="HW231" s="185"/>
      <c r="HX231" s="185"/>
      <c r="HY231" s="185"/>
      <c r="HZ231" s="185"/>
      <c r="IA231" s="185"/>
      <c r="IB231" s="185"/>
      <c r="IC231" s="185"/>
      <c r="ID231" s="185"/>
      <c r="IE231" s="185"/>
      <c r="IF231" s="185"/>
      <c r="IG231" s="185"/>
      <c r="IH231" s="185"/>
      <c r="II231" s="185"/>
      <c r="IJ231" s="185"/>
      <c r="IK231" s="185"/>
      <c r="IL231" s="185"/>
      <c r="IM231" s="185"/>
    </row>
    <row r="232" spans="1:247" s="305" customFormat="1" ht="18" customHeight="1">
      <c r="A232" s="177"/>
      <c r="B232" s="298" t="s">
        <v>290</v>
      </c>
      <c r="C232" s="298"/>
      <c r="D232" s="298"/>
      <c r="E232" s="300"/>
      <c r="F232" s="304"/>
      <c r="G232" s="302"/>
      <c r="H232" s="303"/>
      <c r="I232" s="303"/>
      <c r="J232" s="303"/>
      <c r="K232" s="184"/>
      <c r="L232" s="185"/>
      <c r="M232" s="185"/>
      <c r="N232" s="185"/>
      <c r="O232" s="185"/>
      <c r="P232" s="185"/>
      <c r="Q232" s="185"/>
      <c r="R232" s="185"/>
      <c r="S232" s="185"/>
      <c r="T232" s="185"/>
      <c r="U232" s="185"/>
      <c r="V232" s="185"/>
      <c r="W232" s="185"/>
      <c r="X232" s="185"/>
      <c r="Y232" s="185"/>
      <c r="Z232" s="185"/>
      <c r="AA232" s="185"/>
      <c r="AB232" s="185"/>
      <c r="AC232" s="185"/>
      <c r="AD232" s="185"/>
      <c r="AE232" s="185"/>
      <c r="AF232" s="185"/>
      <c r="AG232" s="185"/>
      <c r="AH232" s="185"/>
      <c r="AI232" s="185"/>
      <c r="AJ232" s="185"/>
      <c r="AK232" s="185"/>
      <c r="AL232" s="185"/>
      <c r="AM232" s="185"/>
      <c r="AN232" s="185"/>
      <c r="AO232" s="185"/>
      <c r="AP232" s="185"/>
      <c r="AQ232" s="185"/>
      <c r="AR232" s="185"/>
      <c r="AS232" s="185"/>
      <c r="AT232" s="185"/>
      <c r="AU232" s="185"/>
      <c r="AV232" s="185"/>
      <c r="AW232" s="185"/>
      <c r="AX232" s="185"/>
      <c r="AY232" s="185"/>
      <c r="AZ232" s="185"/>
      <c r="BA232" s="185"/>
      <c r="BB232" s="185"/>
      <c r="BC232" s="185"/>
      <c r="BD232" s="185"/>
      <c r="BE232" s="185"/>
      <c r="BF232" s="185"/>
      <c r="BG232" s="185"/>
      <c r="BH232" s="185"/>
      <c r="BI232" s="185"/>
      <c r="BJ232" s="185"/>
      <c r="BK232" s="185"/>
      <c r="BL232" s="185"/>
      <c r="BM232" s="185"/>
      <c r="BN232" s="185"/>
      <c r="BO232" s="185"/>
      <c r="BP232" s="185"/>
      <c r="BQ232" s="185"/>
      <c r="BR232" s="185"/>
      <c r="BS232" s="185"/>
      <c r="BT232" s="185"/>
      <c r="BU232" s="185"/>
      <c r="BV232" s="185"/>
      <c r="BW232" s="185"/>
      <c r="BX232" s="185"/>
      <c r="BY232" s="185"/>
      <c r="BZ232" s="185"/>
      <c r="CA232" s="185"/>
      <c r="CB232" s="185"/>
      <c r="CC232" s="185"/>
      <c r="CD232" s="185"/>
      <c r="CE232" s="185"/>
      <c r="CF232" s="185"/>
      <c r="CG232" s="185"/>
      <c r="CH232" s="185"/>
      <c r="CI232" s="185"/>
      <c r="CJ232" s="185"/>
      <c r="CK232" s="185"/>
      <c r="CL232" s="185"/>
      <c r="CM232" s="185"/>
      <c r="CN232" s="185"/>
      <c r="CO232" s="185"/>
      <c r="CP232" s="185"/>
      <c r="CQ232" s="185"/>
      <c r="CR232" s="185"/>
      <c r="CS232" s="185"/>
      <c r="CT232" s="185"/>
      <c r="CU232" s="185"/>
      <c r="CV232" s="185"/>
      <c r="CW232" s="185"/>
      <c r="CX232" s="185"/>
      <c r="CY232" s="185"/>
      <c r="CZ232" s="185"/>
      <c r="DA232" s="185"/>
      <c r="DB232" s="185"/>
      <c r="DC232" s="185"/>
      <c r="DD232" s="185"/>
      <c r="DE232" s="185"/>
      <c r="DF232" s="185"/>
      <c r="DG232" s="185"/>
      <c r="DH232" s="185"/>
      <c r="DI232" s="185"/>
      <c r="DJ232" s="185"/>
      <c r="DK232" s="185"/>
      <c r="DL232" s="185"/>
      <c r="DM232" s="185"/>
      <c r="DN232" s="185"/>
      <c r="DO232" s="185"/>
      <c r="DP232" s="185"/>
      <c r="DQ232" s="185"/>
      <c r="DR232" s="185"/>
      <c r="DS232" s="185"/>
      <c r="DT232" s="185"/>
      <c r="DU232" s="185"/>
      <c r="DV232" s="185"/>
      <c r="DW232" s="185"/>
      <c r="DX232" s="185"/>
      <c r="DY232" s="185"/>
      <c r="DZ232" s="185"/>
      <c r="EA232" s="185"/>
      <c r="EB232" s="185"/>
      <c r="EC232" s="185"/>
      <c r="ED232" s="185"/>
      <c r="EE232" s="185"/>
      <c r="EF232" s="185"/>
      <c r="EG232" s="185"/>
      <c r="EH232" s="185"/>
      <c r="EI232" s="185"/>
      <c r="EJ232" s="185"/>
      <c r="EK232" s="185"/>
      <c r="EL232" s="185"/>
      <c r="EM232" s="185"/>
      <c r="EN232" s="185"/>
      <c r="EO232" s="185"/>
      <c r="EP232" s="185"/>
      <c r="EQ232" s="185"/>
      <c r="ER232" s="185"/>
      <c r="ES232" s="185"/>
      <c r="ET232" s="185"/>
      <c r="EU232" s="185"/>
      <c r="EV232" s="185"/>
      <c r="EW232" s="185"/>
      <c r="EX232" s="185"/>
      <c r="EY232" s="185"/>
      <c r="EZ232" s="185"/>
      <c r="FA232" s="185"/>
      <c r="FB232" s="185"/>
      <c r="FC232" s="185"/>
      <c r="FD232" s="185"/>
      <c r="FE232" s="185"/>
      <c r="FF232" s="185"/>
      <c r="FG232" s="185"/>
      <c r="FH232" s="185"/>
      <c r="FI232" s="185"/>
      <c r="FJ232" s="185"/>
      <c r="FK232" s="185"/>
      <c r="FL232" s="185"/>
      <c r="FM232" s="185"/>
      <c r="FN232" s="185"/>
      <c r="FO232" s="185"/>
      <c r="FP232" s="185"/>
      <c r="FQ232" s="185"/>
      <c r="FR232" s="185"/>
      <c r="FS232" s="185"/>
      <c r="FT232" s="185"/>
      <c r="FU232" s="185"/>
      <c r="FV232" s="185"/>
      <c r="FW232" s="185"/>
      <c r="FX232" s="185"/>
      <c r="FY232" s="185"/>
      <c r="FZ232" s="185"/>
      <c r="GA232" s="185"/>
      <c r="GB232" s="185"/>
      <c r="GC232" s="185"/>
      <c r="GD232" s="185"/>
      <c r="GE232" s="185"/>
      <c r="GF232" s="185"/>
      <c r="GG232" s="185"/>
      <c r="GH232" s="185"/>
      <c r="GI232" s="185"/>
      <c r="GJ232" s="185"/>
      <c r="GK232" s="185"/>
      <c r="GL232" s="185"/>
      <c r="GM232" s="185"/>
      <c r="GN232" s="185"/>
      <c r="GO232" s="185"/>
      <c r="GP232" s="185"/>
      <c r="GQ232" s="185"/>
      <c r="GR232" s="185"/>
      <c r="GS232" s="185"/>
      <c r="GT232" s="185"/>
      <c r="GU232" s="185"/>
      <c r="GV232" s="185"/>
      <c r="GW232" s="185"/>
      <c r="GX232" s="185"/>
      <c r="GY232" s="185"/>
      <c r="GZ232" s="185"/>
      <c r="HA232" s="185"/>
      <c r="HB232" s="185"/>
      <c r="HC232" s="185"/>
      <c r="HD232" s="185"/>
      <c r="HE232" s="185"/>
      <c r="HF232" s="185"/>
      <c r="HG232" s="185"/>
      <c r="HH232" s="185"/>
      <c r="HI232" s="185"/>
      <c r="HJ232" s="185"/>
      <c r="HK232" s="185"/>
      <c r="HL232" s="185"/>
      <c r="HM232" s="185"/>
      <c r="HN232" s="185"/>
      <c r="HO232" s="185"/>
      <c r="HP232" s="185"/>
      <c r="HQ232" s="185"/>
      <c r="HR232" s="185"/>
      <c r="HS232" s="185"/>
      <c r="HT232" s="185"/>
      <c r="HU232" s="185"/>
      <c r="HV232" s="185"/>
      <c r="HW232" s="185"/>
      <c r="HX232" s="185"/>
      <c r="HY232" s="185"/>
      <c r="HZ232" s="185"/>
      <c r="IA232" s="185"/>
      <c r="IB232" s="185"/>
      <c r="IC232" s="185"/>
      <c r="ID232" s="185"/>
      <c r="IE232" s="185"/>
      <c r="IF232" s="185"/>
      <c r="IG232" s="185"/>
      <c r="IH232" s="185"/>
      <c r="II232" s="185"/>
      <c r="IJ232" s="185"/>
      <c r="IK232" s="185"/>
      <c r="IL232" s="185"/>
      <c r="IM232" s="185"/>
    </row>
    <row r="233" spans="1:247" s="305" customFormat="1">
      <c r="A233" s="177"/>
      <c r="B233" s="178"/>
      <c r="C233" s="179"/>
      <c r="D233" s="180"/>
      <c r="E233" s="181"/>
      <c r="F233" s="182"/>
      <c r="G233" s="182"/>
      <c r="H233" s="183"/>
      <c r="I233" s="183"/>
      <c r="J233" s="183"/>
      <c r="K233" s="184"/>
      <c r="L233" s="185"/>
      <c r="M233" s="185"/>
      <c r="N233" s="185"/>
      <c r="O233" s="185"/>
      <c r="P233" s="185"/>
      <c r="Q233" s="185"/>
      <c r="R233" s="185"/>
      <c r="S233" s="185"/>
      <c r="T233" s="185"/>
      <c r="U233" s="185"/>
      <c r="V233" s="185"/>
      <c r="W233" s="185"/>
      <c r="X233" s="185"/>
      <c r="Y233" s="185"/>
      <c r="Z233" s="185"/>
      <c r="AA233" s="185"/>
      <c r="AB233" s="185"/>
      <c r="AC233" s="185"/>
      <c r="AD233" s="185"/>
      <c r="AE233" s="185"/>
      <c r="AF233" s="185"/>
      <c r="AG233" s="185"/>
      <c r="AH233" s="185"/>
      <c r="AI233" s="185"/>
      <c r="AJ233" s="185"/>
      <c r="AK233" s="185"/>
      <c r="AL233" s="185"/>
      <c r="AM233" s="185"/>
      <c r="AN233" s="185"/>
      <c r="AO233" s="185"/>
      <c r="AP233" s="185"/>
      <c r="AQ233" s="185"/>
      <c r="AR233" s="185"/>
      <c r="AS233" s="185"/>
      <c r="AT233" s="185"/>
      <c r="AU233" s="185"/>
      <c r="AV233" s="185"/>
      <c r="AW233" s="185"/>
      <c r="AX233" s="185"/>
      <c r="AY233" s="185"/>
      <c r="AZ233" s="185"/>
      <c r="BA233" s="185"/>
      <c r="BB233" s="185"/>
      <c r="BC233" s="185"/>
      <c r="BD233" s="185"/>
      <c r="BE233" s="185"/>
      <c r="BF233" s="185"/>
      <c r="BG233" s="185"/>
      <c r="BH233" s="185"/>
      <c r="BI233" s="185"/>
      <c r="BJ233" s="185"/>
      <c r="BK233" s="185"/>
      <c r="BL233" s="185"/>
      <c r="BM233" s="185"/>
      <c r="BN233" s="185"/>
      <c r="BO233" s="185"/>
      <c r="BP233" s="185"/>
      <c r="BQ233" s="185"/>
      <c r="BR233" s="185"/>
      <c r="BS233" s="185"/>
      <c r="BT233" s="185"/>
      <c r="BU233" s="185"/>
      <c r="BV233" s="185"/>
      <c r="BW233" s="185"/>
      <c r="BX233" s="185"/>
      <c r="BY233" s="185"/>
      <c r="BZ233" s="185"/>
      <c r="CA233" s="185"/>
      <c r="CB233" s="185"/>
      <c r="CC233" s="185"/>
      <c r="CD233" s="185"/>
      <c r="CE233" s="185"/>
      <c r="CF233" s="185"/>
      <c r="CG233" s="185"/>
      <c r="CH233" s="185"/>
      <c r="CI233" s="185"/>
      <c r="CJ233" s="185"/>
      <c r="CK233" s="185"/>
      <c r="CL233" s="185"/>
      <c r="CM233" s="185"/>
      <c r="CN233" s="185"/>
      <c r="CO233" s="185"/>
      <c r="CP233" s="185"/>
      <c r="CQ233" s="185"/>
      <c r="CR233" s="185"/>
      <c r="CS233" s="185"/>
      <c r="CT233" s="185"/>
      <c r="CU233" s="185"/>
      <c r="CV233" s="185"/>
      <c r="CW233" s="185"/>
      <c r="CX233" s="185"/>
      <c r="CY233" s="185"/>
      <c r="CZ233" s="185"/>
      <c r="DA233" s="185"/>
      <c r="DB233" s="185"/>
      <c r="DC233" s="185"/>
      <c r="DD233" s="185"/>
      <c r="DE233" s="185"/>
      <c r="DF233" s="185"/>
      <c r="DG233" s="185"/>
      <c r="DH233" s="185"/>
      <c r="DI233" s="185"/>
      <c r="DJ233" s="185"/>
      <c r="DK233" s="185"/>
      <c r="DL233" s="185"/>
      <c r="DM233" s="185"/>
      <c r="DN233" s="185"/>
      <c r="DO233" s="185"/>
      <c r="DP233" s="185"/>
      <c r="DQ233" s="185"/>
      <c r="DR233" s="185"/>
      <c r="DS233" s="185"/>
      <c r="DT233" s="185"/>
      <c r="DU233" s="185"/>
      <c r="DV233" s="185"/>
      <c r="DW233" s="185"/>
      <c r="DX233" s="185"/>
      <c r="DY233" s="185"/>
      <c r="DZ233" s="185"/>
      <c r="EA233" s="185"/>
      <c r="EB233" s="185"/>
      <c r="EC233" s="185"/>
      <c r="ED233" s="185"/>
      <c r="EE233" s="185"/>
      <c r="EF233" s="185"/>
      <c r="EG233" s="185"/>
      <c r="EH233" s="185"/>
      <c r="EI233" s="185"/>
      <c r="EJ233" s="185"/>
      <c r="EK233" s="185"/>
      <c r="EL233" s="185"/>
      <c r="EM233" s="185"/>
      <c r="EN233" s="185"/>
      <c r="EO233" s="185"/>
      <c r="EP233" s="185"/>
      <c r="EQ233" s="185"/>
      <c r="ER233" s="185"/>
      <c r="ES233" s="185"/>
      <c r="ET233" s="185"/>
      <c r="EU233" s="185"/>
      <c r="EV233" s="185"/>
      <c r="EW233" s="185"/>
      <c r="EX233" s="185"/>
      <c r="EY233" s="185"/>
      <c r="EZ233" s="185"/>
      <c r="FA233" s="185"/>
      <c r="FB233" s="185"/>
      <c r="FC233" s="185"/>
      <c r="FD233" s="185"/>
      <c r="FE233" s="185"/>
      <c r="FF233" s="185"/>
      <c r="FG233" s="185"/>
      <c r="FH233" s="185"/>
      <c r="FI233" s="185"/>
      <c r="FJ233" s="185"/>
      <c r="FK233" s="185"/>
      <c r="FL233" s="185"/>
      <c r="FM233" s="185"/>
      <c r="FN233" s="185"/>
      <c r="FO233" s="185"/>
      <c r="FP233" s="185"/>
      <c r="FQ233" s="185"/>
      <c r="FR233" s="185"/>
      <c r="FS233" s="185"/>
      <c r="FT233" s="185"/>
      <c r="FU233" s="185"/>
      <c r="FV233" s="185"/>
      <c r="FW233" s="185"/>
      <c r="FX233" s="185"/>
      <c r="FY233" s="185"/>
      <c r="FZ233" s="185"/>
      <c r="GA233" s="185"/>
      <c r="GB233" s="185"/>
      <c r="GC233" s="185"/>
      <c r="GD233" s="185"/>
      <c r="GE233" s="185"/>
      <c r="GF233" s="185"/>
      <c r="GG233" s="185"/>
      <c r="GH233" s="185"/>
      <c r="GI233" s="185"/>
      <c r="GJ233" s="185"/>
      <c r="GK233" s="185"/>
      <c r="GL233" s="185"/>
      <c r="GM233" s="185"/>
      <c r="GN233" s="185"/>
      <c r="GO233" s="185"/>
      <c r="GP233" s="185"/>
      <c r="GQ233" s="185"/>
      <c r="GR233" s="185"/>
      <c r="GS233" s="185"/>
      <c r="GT233" s="185"/>
      <c r="GU233" s="185"/>
      <c r="GV233" s="185"/>
      <c r="GW233" s="185"/>
      <c r="GX233" s="185"/>
      <c r="GY233" s="185"/>
      <c r="GZ233" s="185"/>
      <c r="HA233" s="185"/>
      <c r="HB233" s="185"/>
      <c r="HC233" s="185"/>
      <c r="HD233" s="185"/>
      <c r="HE233" s="185"/>
      <c r="HF233" s="185"/>
      <c r="HG233" s="185"/>
      <c r="HH233" s="185"/>
      <c r="HI233" s="185"/>
      <c r="HJ233" s="185"/>
      <c r="HK233" s="185"/>
      <c r="HL233" s="185"/>
      <c r="HM233" s="185"/>
      <c r="HN233" s="185"/>
      <c r="HO233" s="185"/>
      <c r="HP233" s="185"/>
      <c r="HQ233" s="185"/>
      <c r="HR233" s="185"/>
      <c r="HS233" s="185"/>
      <c r="HT233" s="185"/>
      <c r="HU233" s="185"/>
      <c r="HV233" s="185"/>
      <c r="HW233" s="185"/>
      <c r="HX233" s="185"/>
      <c r="HY233" s="185"/>
      <c r="HZ233" s="185"/>
      <c r="IA233" s="185"/>
      <c r="IB233" s="185"/>
      <c r="IC233" s="185"/>
      <c r="ID233" s="185"/>
      <c r="IE233" s="185"/>
      <c r="IF233" s="185"/>
      <c r="IG233" s="185"/>
      <c r="IH233" s="185"/>
      <c r="II233" s="185"/>
      <c r="IJ233" s="185"/>
      <c r="IK233" s="185"/>
      <c r="IL233" s="185"/>
      <c r="IM233" s="185"/>
    </row>
  </sheetData>
  <mergeCells count="18">
    <mergeCell ref="B1:F1"/>
    <mergeCell ref="B225:D225"/>
    <mergeCell ref="C226:D226"/>
    <mergeCell ref="B229:D229"/>
    <mergeCell ref="B2:K2"/>
    <mergeCell ref="B3:K3"/>
    <mergeCell ref="B6:B7"/>
    <mergeCell ref="C6:C7"/>
    <mergeCell ref="D6:D7"/>
    <mergeCell ref="E6:E7"/>
    <mergeCell ref="F6:F7"/>
    <mergeCell ref="G6:G7"/>
    <mergeCell ref="H6:H7"/>
    <mergeCell ref="I6:I7"/>
    <mergeCell ref="J6:J7"/>
    <mergeCell ref="K6:K7"/>
    <mergeCell ref="B224:D224"/>
    <mergeCell ref="B200:D200"/>
  </mergeCells>
  <printOptions horizontalCentered="1"/>
  <pageMargins left="0.196527777777778" right="0.196527777777778" top="0.39374999999999999" bottom="0.39374999999999999" header="0.511811023622047" footer="0.31527777777777799"/>
  <pageSetup paperSize="9" scale="60" fitToHeight="0" orientation="portrait" verticalDpi="300" r:id="rId1"/>
  <headerFooter>
    <oddFooter>&amp;C- &amp;P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89"/>
  <sheetViews>
    <sheetView view="pageBreakPreview" topLeftCell="E857" zoomScale="110" zoomScaleNormal="110" zoomScaleSheetLayoutView="110" zoomScalePageLayoutView="75" workbookViewId="0">
      <selection activeCell="A4" sqref="A4:N869"/>
    </sheetView>
  </sheetViews>
  <sheetFormatPr defaultColWidth="9.26953125" defaultRowHeight="15.5"/>
  <cols>
    <col min="1" max="1" width="3.7265625" style="306" customWidth="1"/>
    <col min="2" max="3" width="5.7265625" style="307" customWidth="1"/>
    <col min="4" max="4" width="87.7265625" style="308" customWidth="1"/>
    <col min="5" max="7" width="11.7265625" style="310" customWidth="1"/>
    <col min="8" max="8" width="6.7265625" style="307" customWidth="1"/>
    <col min="9" max="9" width="12.7265625" style="309" customWidth="1"/>
    <col min="10" max="14" width="12.7265625" style="310" customWidth="1"/>
    <col min="15" max="16384" width="9.26953125" style="310"/>
  </cols>
  <sheetData>
    <row r="1" spans="1:16">
      <c r="A1" s="311"/>
      <c r="B1" s="1893" t="s">
        <v>1191</v>
      </c>
      <c r="C1" s="1893"/>
      <c r="D1" s="1893"/>
      <c r="E1" s="1893"/>
      <c r="F1" s="1893"/>
      <c r="G1" s="1946"/>
      <c r="H1" s="1946"/>
      <c r="I1" s="1946"/>
      <c r="J1" s="312"/>
      <c r="K1" s="312"/>
      <c r="L1" s="312"/>
      <c r="M1" s="312"/>
      <c r="N1" s="312"/>
    </row>
    <row r="2" spans="1:16" ht="24.75" customHeight="1">
      <c r="A2" s="311"/>
      <c r="B2" s="1947" t="s">
        <v>411</v>
      </c>
      <c r="C2" s="1947"/>
      <c r="D2" s="1947"/>
      <c r="E2" s="1947"/>
      <c r="F2" s="1947"/>
      <c r="G2" s="1947"/>
      <c r="H2" s="1947"/>
      <c r="I2" s="1947"/>
      <c r="J2" s="1947"/>
      <c r="K2" s="1947"/>
      <c r="L2" s="1947"/>
      <c r="M2" s="1947"/>
      <c r="N2" s="1947"/>
    </row>
    <row r="3" spans="1:16" s="315" customFormat="1" ht="24.75" customHeight="1">
      <c r="A3" s="311"/>
      <c r="B3" s="1948" t="s">
        <v>412</v>
      </c>
      <c r="C3" s="1948"/>
      <c r="D3" s="1948"/>
      <c r="E3" s="1948"/>
      <c r="F3" s="1948"/>
      <c r="G3" s="1948"/>
      <c r="H3" s="1948"/>
      <c r="I3" s="1948"/>
      <c r="J3" s="1948"/>
      <c r="K3" s="1948"/>
      <c r="L3" s="1948"/>
      <c r="M3" s="1948"/>
      <c r="N3" s="1948"/>
    </row>
    <row r="4" spans="1:16" s="319" customFormat="1" ht="14.5">
      <c r="A4" s="316"/>
      <c r="B4" s="317"/>
      <c r="C4" s="317"/>
      <c r="D4" s="318"/>
      <c r="H4" s="320"/>
      <c r="I4" s="321"/>
      <c r="J4" s="322"/>
      <c r="K4" s="322"/>
      <c r="L4" s="322"/>
      <c r="M4" s="1949" t="s">
        <v>0</v>
      </c>
      <c r="N4" s="1949"/>
    </row>
    <row r="5" spans="1:16" s="324" customFormat="1" ht="13.5" thickBot="1">
      <c r="A5" s="323"/>
      <c r="B5" s="324" t="s">
        <v>1</v>
      </c>
      <c r="C5" s="325" t="s">
        <v>2</v>
      </c>
      <c r="D5" s="326" t="s">
        <v>72</v>
      </c>
      <c r="E5" s="324" t="s">
        <v>73</v>
      </c>
      <c r="F5" s="324" t="s">
        <v>74</v>
      </c>
      <c r="G5" s="324" t="s">
        <v>75</v>
      </c>
      <c r="H5" s="325" t="s">
        <v>76</v>
      </c>
      <c r="I5" s="324" t="s">
        <v>77</v>
      </c>
      <c r="J5" s="324" t="s">
        <v>78</v>
      </c>
      <c r="K5" s="324" t="s">
        <v>79</v>
      </c>
      <c r="L5" s="324" t="s">
        <v>80</v>
      </c>
      <c r="M5" s="324" t="s">
        <v>81</v>
      </c>
      <c r="N5" s="324" t="s">
        <v>184</v>
      </c>
    </row>
    <row r="6" spans="1:16" s="314" customFormat="1" ht="34.5" customHeight="1" thickBot="1">
      <c r="A6" s="306"/>
      <c r="B6" s="1953" t="s">
        <v>82</v>
      </c>
      <c r="C6" s="1954" t="s">
        <v>83</v>
      </c>
      <c r="D6" s="1955" t="s">
        <v>3</v>
      </c>
      <c r="E6" s="1956" t="s">
        <v>188</v>
      </c>
      <c r="F6" s="1956" t="s">
        <v>87</v>
      </c>
      <c r="G6" s="1959" t="s">
        <v>88</v>
      </c>
      <c r="H6" s="1960" t="s">
        <v>222</v>
      </c>
      <c r="I6" s="1950" t="s">
        <v>413</v>
      </c>
      <c r="J6" s="1951" t="s">
        <v>21</v>
      </c>
      <c r="K6" s="1951"/>
      <c r="L6" s="1951"/>
      <c r="M6" s="1951"/>
      <c r="N6" s="1951"/>
    </row>
    <row r="7" spans="1:16" s="314" customFormat="1" ht="44" thickBot="1">
      <c r="A7" s="306"/>
      <c r="B7" s="1953"/>
      <c r="C7" s="1954"/>
      <c r="D7" s="1955"/>
      <c r="E7" s="1956"/>
      <c r="F7" s="1956"/>
      <c r="G7" s="1959"/>
      <c r="H7" s="1960"/>
      <c r="I7" s="1950"/>
      <c r="J7" s="327" t="s">
        <v>224</v>
      </c>
      <c r="K7" s="327" t="s">
        <v>1229</v>
      </c>
      <c r="L7" s="327" t="s">
        <v>226</v>
      </c>
      <c r="M7" s="327" t="s">
        <v>227</v>
      </c>
      <c r="N7" s="328" t="s">
        <v>228</v>
      </c>
    </row>
    <row r="8" spans="1:16" s="314" customFormat="1" ht="23.25" customHeight="1">
      <c r="A8" s="306">
        <v>1</v>
      </c>
      <c r="B8" s="329">
        <v>18</v>
      </c>
      <c r="C8" s="330" t="s">
        <v>414</v>
      </c>
      <c r="D8" s="331"/>
      <c r="E8" s="1254"/>
      <c r="F8" s="1254"/>
      <c r="G8" s="1255"/>
      <c r="H8" s="332"/>
      <c r="I8" s="333"/>
      <c r="J8" s="334"/>
      <c r="K8" s="334"/>
      <c r="L8" s="334"/>
      <c r="M8" s="334"/>
      <c r="N8" s="335"/>
    </row>
    <row r="9" spans="1:16" s="307" customFormat="1" ht="22.5" customHeight="1">
      <c r="A9" s="306">
        <v>2</v>
      </c>
      <c r="B9" s="336"/>
      <c r="C9" s="337">
        <v>1</v>
      </c>
      <c r="D9" s="338" t="s">
        <v>1230</v>
      </c>
      <c r="E9" s="1256">
        <v>88</v>
      </c>
      <c r="F9" s="1256">
        <v>945</v>
      </c>
      <c r="G9" s="1257">
        <v>833</v>
      </c>
      <c r="H9" s="339" t="s">
        <v>80</v>
      </c>
      <c r="I9" s="340"/>
      <c r="J9" s="341"/>
      <c r="K9" s="341"/>
      <c r="L9" s="341"/>
      <c r="M9" s="341"/>
      <c r="N9" s="342"/>
    </row>
    <row r="10" spans="1:16" s="351" customFormat="1" ht="18" customHeight="1">
      <c r="A10" s="306">
        <v>3</v>
      </c>
      <c r="B10" s="343"/>
      <c r="C10" s="344"/>
      <c r="D10" s="345" t="s">
        <v>198</v>
      </c>
      <c r="E10" s="1258"/>
      <c r="F10" s="1258"/>
      <c r="G10" s="1259"/>
      <c r="H10" s="346"/>
      <c r="I10" s="347">
        <f>SUM(J10:N10)</f>
        <v>1412</v>
      </c>
      <c r="J10" s="348"/>
      <c r="K10" s="348"/>
      <c r="L10" s="349">
        <v>1412</v>
      </c>
      <c r="M10" s="348"/>
      <c r="N10" s="350"/>
    </row>
    <row r="11" spans="1:16" s="351" customFormat="1" ht="18" customHeight="1">
      <c r="A11" s="306">
        <v>4</v>
      </c>
      <c r="B11" s="343"/>
      <c r="C11" s="344"/>
      <c r="D11" s="163" t="s">
        <v>765</v>
      </c>
      <c r="E11" s="1258"/>
      <c r="F11" s="1258"/>
      <c r="G11" s="1259"/>
      <c r="H11" s="346"/>
      <c r="I11" s="340">
        <f>SUM(J11:N11)</f>
        <v>1612</v>
      </c>
      <c r="J11" s="352">
        <v>445</v>
      </c>
      <c r="K11" s="352">
        <v>137</v>
      </c>
      <c r="L11" s="352">
        <v>1030</v>
      </c>
      <c r="M11" s="341"/>
      <c r="N11" s="353"/>
    </row>
    <row r="12" spans="1:16" s="351" customFormat="1" ht="18" customHeight="1">
      <c r="A12" s="306">
        <v>5</v>
      </c>
      <c r="B12" s="343"/>
      <c r="C12" s="344"/>
      <c r="D12" s="165" t="s">
        <v>1021</v>
      </c>
      <c r="E12" s="1258"/>
      <c r="F12" s="1258"/>
      <c r="G12" s="1259"/>
      <c r="H12" s="346"/>
      <c r="I12" s="166">
        <f>SUM(J12:Q12)</f>
        <v>1060</v>
      </c>
      <c r="J12" s="354">
        <v>176</v>
      </c>
      <c r="K12" s="354">
        <v>74</v>
      </c>
      <c r="L12" s="354">
        <v>810</v>
      </c>
      <c r="M12" s="354"/>
      <c r="N12" s="355"/>
    </row>
    <row r="13" spans="1:16" s="307" customFormat="1" ht="22.5" customHeight="1">
      <c r="A13" s="306">
        <v>6</v>
      </c>
      <c r="B13" s="357"/>
      <c r="C13" s="344">
        <v>2</v>
      </c>
      <c r="D13" s="358" t="s">
        <v>415</v>
      </c>
      <c r="E13" s="1258">
        <v>20</v>
      </c>
      <c r="F13" s="1258">
        <v>580</v>
      </c>
      <c r="G13" s="1259">
        <v>101</v>
      </c>
      <c r="H13" s="346" t="s">
        <v>231</v>
      </c>
      <c r="I13" s="359"/>
      <c r="J13" s="356"/>
      <c r="K13" s="356"/>
      <c r="L13" s="356"/>
      <c r="M13" s="356"/>
      <c r="N13" s="353"/>
      <c r="P13" s="351"/>
    </row>
    <row r="14" spans="1:16" s="351" customFormat="1" ht="18" customHeight="1">
      <c r="A14" s="306">
        <v>7</v>
      </c>
      <c r="B14" s="343"/>
      <c r="C14" s="344"/>
      <c r="D14" s="345" t="s">
        <v>198</v>
      </c>
      <c r="E14" s="1258"/>
      <c r="F14" s="1258"/>
      <c r="G14" s="1259"/>
      <c r="H14" s="346"/>
      <c r="I14" s="347">
        <f>SUM(J14:N14)</f>
        <v>5479</v>
      </c>
      <c r="J14" s="348"/>
      <c r="K14" s="348"/>
      <c r="L14" s="349">
        <v>1479</v>
      </c>
      <c r="M14" s="348"/>
      <c r="N14" s="360">
        <v>4000</v>
      </c>
    </row>
    <row r="15" spans="1:16" s="351" customFormat="1" ht="18" customHeight="1">
      <c r="A15" s="306">
        <v>8</v>
      </c>
      <c r="B15" s="343"/>
      <c r="C15" s="344"/>
      <c r="D15" s="163" t="s">
        <v>765</v>
      </c>
      <c r="E15" s="1258"/>
      <c r="F15" s="1258"/>
      <c r="G15" s="1259"/>
      <c r="H15" s="346"/>
      <c r="I15" s="340">
        <f>SUM(J15:N15)</f>
        <v>2479</v>
      </c>
      <c r="J15" s="361"/>
      <c r="K15" s="361"/>
      <c r="L15" s="362">
        <v>1479</v>
      </c>
      <c r="M15" s="361"/>
      <c r="N15" s="363">
        <v>1000</v>
      </c>
    </row>
    <row r="16" spans="1:16" s="351" customFormat="1" ht="18" customHeight="1">
      <c r="A16" s="306">
        <v>9</v>
      </c>
      <c r="B16" s="343"/>
      <c r="C16" s="344"/>
      <c r="D16" s="165" t="s">
        <v>1021</v>
      </c>
      <c r="E16" s="1258"/>
      <c r="F16" s="1258"/>
      <c r="G16" s="1259"/>
      <c r="H16" s="346"/>
      <c r="I16" s="166">
        <f>SUM(J16:Q16)</f>
        <v>68</v>
      </c>
      <c r="J16" s="364"/>
      <c r="K16" s="364"/>
      <c r="L16" s="364">
        <v>68</v>
      </c>
      <c r="M16" s="364"/>
      <c r="N16" s="366"/>
    </row>
    <row r="17" spans="1:16" s="307" customFormat="1" ht="22.5" customHeight="1">
      <c r="A17" s="306">
        <v>10</v>
      </c>
      <c r="B17" s="357"/>
      <c r="C17" s="344">
        <v>3</v>
      </c>
      <c r="D17" s="358" t="s">
        <v>416</v>
      </c>
      <c r="E17" s="1258">
        <v>242</v>
      </c>
      <c r="F17" s="1258">
        <v>6103</v>
      </c>
      <c r="G17" s="1259">
        <v>5580</v>
      </c>
      <c r="H17" s="346" t="s">
        <v>231</v>
      </c>
      <c r="I17" s="367"/>
      <c r="J17" s="368"/>
      <c r="K17" s="368"/>
      <c r="L17" s="368"/>
      <c r="M17" s="368"/>
      <c r="N17" s="369"/>
      <c r="P17" s="351"/>
    </row>
    <row r="18" spans="1:16" s="307" customFormat="1" ht="18" customHeight="1">
      <c r="A18" s="306">
        <v>11</v>
      </c>
      <c r="B18" s="357"/>
      <c r="C18" s="344"/>
      <c r="D18" s="345" t="s">
        <v>198</v>
      </c>
      <c r="E18" s="1258"/>
      <c r="F18" s="1258"/>
      <c r="G18" s="1259"/>
      <c r="H18" s="346"/>
      <c r="I18" s="347">
        <f>SUM(J18:N18)</f>
        <v>41684</v>
      </c>
      <c r="J18" s="349">
        <v>3290</v>
      </c>
      <c r="K18" s="349">
        <v>1108</v>
      </c>
      <c r="L18" s="349">
        <f>35602+1684</f>
        <v>37286</v>
      </c>
      <c r="M18" s="368"/>
      <c r="N18" s="369"/>
      <c r="P18" s="351"/>
    </row>
    <row r="19" spans="1:16" s="307" customFormat="1" ht="18" customHeight="1">
      <c r="A19" s="306">
        <v>12</v>
      </c>
      <c r="B19" s="357"/>
      <c r="C19" s="344"/>
      <c r="D19" s="163" t="s">
        <v>765</v>
      </c>
      <c r="E19" s="1258"/>
      <c r="F19" s="1258"/>
      <c r="G19" s="1259"/>
      <c r="H19" s="346"/>
      <c r="I19" s="340">
        <f>SUM(J19:N19)</f>
        <v>31990</v>
      </c>
      <c r="J19" s="362">
        <v>2790</v>
      </c>
      <c r="K19" s="362">
        <v>914</v>
      </c>
      <c r="L19" s="362">
        <v>28286</v>
      </c>
      <c r="M19" s="368"/>
      <c r="N19" s="369"/>
      <c r="P19" s="351"/>
    </row>
    <row r="20" spans="1:16" s="307" customFormat="1" ht="18" customHeight="1">
      <c r="A20" s="306">
        <v>13</v>
      </c>
      <c r="B20" s="357"/>
      <c r="C20" s="344"/>
      <c r="D20" s="165" t="s">
        <v>1021</v>
      </c>
      <c r="E20" s="1258"/>
      <c r="F20" s="1258"/>
      <c r="G20" s="1259"/>
      <c r="H20" s="346"/>
      <c r="I20" s="166">
        <f>SUM(J20:Q20)</f>
        <v>3754</v>
      </c>
      <c r="J20" s="364">
        <v>369</v>
      </c>
      <c r="K20" s="364">
        <v>164</v>
      </c>
      <c r="L20" s="364">
        <v>3221</v>
      </c>
      <c r="M20" s="368"/>
      <c r="N20" s="369"/>
      <c r="P20" s="351"/>
    </row>
    <row r="21" spans="1:16" s="307" customFormat="1" ht="22.5" customHeight="1">
      <c r="A21" s="306">
        <v>14</v>
      </c>
      <c r="B21" s="357"/>
      <c r="C21" s="344">
        <v>4</v>
      </c>
      <c r="D21" s="358" t="s">
        <v>417</v>
      </c>
      <c r="E21" s="1258">
        <v>4210</v>
      </c>
      <c r="F21" s="1258">
        <v>6138</v>
      </c>
      <c r="G21" s="1259">
        <v>6857</v>
      </c>
      <c r="H21" s="346" t="s">
        <v>231</v>
      </c>
      <c r="I21" s="347"/>
      <c r="J21" s="348"/>
      <c r="K21" s="348"/>
      <c r="L21" s="348"/>
      <c r="M21" s="348"/>
      <c r="N21" s="350"/>
      <c r="P21" s="351"/>
    </row>
    <row r="22" spans="1:16" s="351" customFormat="1" ht="18" customHeight="1">
      <c r="A22" s="306">
        <v>15</v>
      </c>
      <c r="B22" s="343"/>
      <c r="C22" s="344"/>
      <c r="D22" s="345" t="s">
        <v>198</v>
      </c>
      <c r="F22" s="1260"/>
      <c r="H22" s="346"/>
      <c r="I22" s="347">
        <f>SUM(J22:N22)</f>
        <v>74055</v>
      </c>
      <c r="J22" s="349">
        <v>4498</v>
      </c>
      <c r="K22" s="349">
        <v>982</v>
      </c>
      <c r="L22" s="349">
        <f>64794+3781</f>
        <v>68575</v>
      </c>
      <c r="M22" s="348"/>
      <c r="N22" s="350"/>
    </row>
    <row r="23" spans="1:16" s="351" customFormat="1" ht="18" customHeight="1">
      <c r="A23" s="306">
        <v>16</v>
      </c>
      <c r="B23" s="343"/>
      <c r="C23" s="344"/>
      <c r="D23" s="163" t="s">
        <v>765</v>
      </c>
      <c r="E23" s="1261"/>
      <c r="F23" s="1261"/>
      <c r="G23" s="1265"/>
      <c r="H23" s="346"/>
      <c r="I23" s="340">
        <f>SUM(J23:N23)</f>
        <v>57077</v>
      </c>
      <c r="J23" s="362">
        <v>3240</v>
      </c>
      <c r="K23" s="362">
        <v>756</v>
      </c>
      <c r="L23" s="362">
        <v>53081</v>
      </c>
      <c r="M23" s="348"/>
      <c r="N23" s="350"/>
    </row>
    <row r="24" spans="1:16" s="351" customFormat="1" ht="18" customHeight="1">
      <c r="A24" s="306">
        <v>17</v>
      </c>
      <c r="B24" s="343"/>
      <c r="C24" s="344"/>
      <c r="D24" s="165" t="s">
        <v>1021</v>
      </c>
      <c r="E24" s="1261"/>
      <c r="F24" s="1261"/>
      <c r="G24" s="1262"/>
      <c r="H24" s="346"/>
      <c r="I24" s="166">
        <f>SUM(J24:Q24)</f>
        <v>30951</v>
      </c>
      <c r="J24" s="364">
        <v>1644</v>
      </c>
      <c r="K24" s="364">
        <v>494</v>
      </c>
      <c r="L24" s="364">
        <v>28813</v>
      </c>
      <c r="M24" s="348"/>
      <c r="N24" s="350"/>
    </row>
    <row r="25" spans="1:16" s="307" customFormat="1" ht="22.5" customHeight="1">
      <c r="A25" s="306">
        <v>18</v>
      </c>
      <c r="B25" s="357"/>
      <c r="C25" s="344">
        <v>5</v>
      </c>
      <c r="D25" s="358" t="s">
        <v>12</v>
      </c>
      <c r="E25" s="1258">
        <v>13273</v>
      </c>
      <c r="F25" s="1258">
        <v>12853</v>
      </c>
      <c r="G25" s="1259">
        <v>18833</v>
      </c>
      <c r="H25" s="346" t="s">
        <v>231</v>
      </c>
      <c r="I25" s="367"/>
      <c r="J25" s="368"/>
      <c r="K25" s="368"/>
      <c r="L25" s="368"/>
      <c r="M25" s="368"/>
      <c r="N25" s="369"/>
      <c r="O25" s="351"/>
      <c r="P25" s="351"/>
    </row>
    <row r="26" spans="1:16" s="373" customFormat="1" ht="18" customHeight="1">
      <c r="A26" s="306">
        <v>19</v>
      </c>
      <c r="B26" s="370"/>
      <c r="C26" s="371"/>
      <c r="D26" s="345" t="s">
        <v>198</v>
      </c>
      <c r="E26" s="347"/>
      <c r="F26" s="347"/>
      <c r="G26" s="1263"/>
      <c r="H26" s="372"/>
      <c r="I26" s="347">
        <f>SUM(J26:N26)</f>
        <v>32429</v>
      </c>
      <c r="J26" s="349">
        <f>7345+1101</f>
        <v>8446</v>
      </c>
      <c r="K26" s="349">
        <f>3447+143</f>
        <v>3590</v>
      </c>
      <c r="L26" s="349">
        <f>15216+4827</f>
        <v>20043</v>
      </c>
      <c r="M26" s="349"/>
      <c r="N26" s="360">
        <v>350</v>
      </c>
    </row>
    <row r="27" spans="1:16" s="373" customFormat="1" ht="18" customHeight="1">
      <c r="A27" s="306">
        <v>20</v>
      </c>
      <c r="B27" s="370"/>
      <c r="C27" s="371"/>
      <c r="D27" s="163" t="s">
        <v>765</v>
      </c>
      <c r="E27" s="347"/>
      <c r="F27" s="347"/>
      <c r="G27" s="1263"/>
      <c r="H27" s="372"/>
      <c r="I27" s="340">
        <f>SUM(J27:N27)</f>
        <v>32029</v>
      </c>
      <c r="J27" s="362">
        <v>15110</v>
      </c>
      <c r="K27" s="362">
        <v>3530</v>
      </c>
      <c r="L27" s="362">
        <v>13063</v>
      </c>
      <c r="M27" s="362"/>
      <c r="N27" s="363">
        <v>326</v>
      </c>
    </row>
    <row r="28" spans="1:16" s="373" customFormat="1" ht="18" customHeight="1">
      <c r="A28" s="306">
        <v>21</v>
      </c>
      <c r="B28" s="370"/>
      <c r="C28" s="371"/>
      <c r="D28" s="165" t="s">
        <v>1021</v>
      </c>
      <c r="E28" s="347"/>
      <c r="F28" s="347"/>
      <c r="G28" s="1263"/>
      <c r="H28" s="372"/>
      <c r="I28" s="166">
        <f>SUM(J28:Q28)</f>
        <v>29901</v>
      </c>
      <c r="J28" s="364">
        <v>14727</v>
      </c>
      <c r="K28" s="364">
        <v>2874</v>
      </c>
      <c r="L28" s="364">
        <v>11974</v>
      </c>
      <c r="M28" s="349"/>
      <c r="N28" s="366">
        <v>326</v>
      </c>
    </row>
    <row r="29" spans="1:16" s="373" customFormat="1" ht="22.5" customHeight="1">
      <c r="A29" s="306">
        <v>22</v>
      </c>
      <c r="B29" s="370"/>
      <c r="C29" s="344">
        <v>6</v>
      </c>
      <c r="D29" s="358" t="s">
        <v>418</v>
      </c>
      <c r="E29" s="1258">
        <f>SUM(E33:E57)</f>
        <v>0</v>
      </c>
      <c r="F29" s="1258">
        <f>SUM(F33:F57)</f>
        <v>0</v>
      </c>
      <c r="G29" s="1258">
        <f>SUM(G33:G57)</f>
        <v>0</v>
      </c>
      <c r="H29" s="372"/>
      <c r="I29" s="347"/>
      <c r="J29" s="349"/>
      <c r="K29" s="349"/>
      <c r="L29" s="349"/>
      <c r="M29" s="349"/>
      <c r="N29" s="360"/>
    </row>
    <row r="30" spans="1:16" s="373" customFormat="1" ht="18" customHeight="1">
      <c r="A30" s="306">
        <v>23</v>
      </c>
      <c r="B30" s="370"/>
      <c r="C30" s="344"/>
      <c r="D30" s="345" t="s">
        <v>198</v>
      </c>
      <c r="E30" s="1258"/>
      <c r="F30" s="1258"/>
      <c r="G30" s="1259"/>
      <c r="H30" s="372"/>
      <c r="I30" s="347">
        <f>SUM(J30:N30)</f>
        <v>34500</v>
      </c>
      <c r="J30" s="349">
        <f>J34+J38+J42+J46+J50+J54+J58+J62+J66</f>
        <v>0</v>
      </c>
      <c r="K30" s="349">
        <f>K34+K38+K42+K46+K50+K54+K58+K62+K66</f>
        <v>0</v>
      </c>
      <c r="L30" s="349">
        <f>L34+L38+L42+L46+L50+L54+L58+L62+L66</f>
        <v>34500</v>
      </c>
      <c r="M30" s="349">
        <f>M34+M38+M42+M46+M50+M54+M58+M62+M66</f>
        <v>0</v>
      </c>
      <c r="N30" s="360">
        <f>N34+N38+N42+N46+N50+N54+N58+N62+N66</f>
        <v>0</v>
      </c>
    </row>
    <row r="31" spans="1:16" s="373" customFormat="1" ht="18" customHeight="1">
      <c r="A31" s="306">
        <v>24</v>
      </c>
      <c r="B31" s="370"/>
      <c r="C31" s="344"/>
      <c r="D31" s="163" t="s">
        <v>765</v>
      </c>
      <c r="E31" s="1258"/>
      <c r="F31" s="1258"/>
      <c r="G31" s="1259"/>
      <c r="H31" s="372"/>
      <c r="I31" s="340">
        <f>SUM(J31:N31)</f>
        <v>13140</v>
      </c>
      <c r="J31" s="362">
        <f t="shared" ref="J31:N32" si="0">J35+J39+J43+J47+J51+J55+J59+J63+J67+J70</f>
        <v>0</v>
      </c>
      <c r="K31" s="362">
        <f t="shared" si="0"/>
        <v>0</v>
      </c>
      <c r="L31" s="362">
        <f t="shared" si="0"/>
        <v>13140</v>
      </c>
      <c r="M31" s="362">
        <f t="shared" si="0"/>
        <v>0</v>
      </c>
      <c r="N31" s="363">
        <f t="shared" si="0"/>
        <v>0</v>
      </c>
    </row>
    <row r="32" spans="1:16" s="373" customFormat="1" ht="18" customHeight="1">
      <c r="A32" s="306">
        <v>25</v>
      </c>
      <c r="B32" s="370"/>
      <c r="C32" s="344"/>
      <c r="D32" s="165" t="s">
        <v>1021</v>
      </c>
      <c r="E32" s="1258"/>
      <c r="F32" s="1258"/>
      <c r="G32" s="1259"/>
      <c r="H32" s="372"/>
      <c r="I32" s="166">
        <f>SUM(J32:Q32)</f>
        <v>9365</v>
      </c>
      <c r="J32" s="364">
        <f t="shared" si="0"/>
        <v>0</v>
      </c>
      <c r="K32" s="364">
        <f t="shared" si="0"/>
        <v>0</v>
      </c>
      <c r="L32" s="364">
        <f t="shared" si="0"/>
        <v>9365</v>
      </c>
      <c r="M32" s="364">
        <f t="shared" si="0"/>
        <v>0</v>
      </c>
      <c r="N32" s="366">
        <f t="shared" si="0"/>
        <v>0</v>
      </c>
    </row>
    <row r="33" spans="1:14" s="373" customFormat="1" ht="18" customHeight="1">
      <c r="A33" s="306">
        <v>26</v>
      </c>
      <c r="B33" s="370"/>
      <c r="C33" s="371"/>
      <c r="D33" s="374" t="s">
        <v>419</v>
      </c>
      <c r="E33" s="375"/>
      <c r="F33" s="375"/>
      <c r="G33" s="1264"/>
      <c r="H33" s="346" t="s">
        <v>231</v>
      </c>
      <c r="I33" s="347"/>
      <c r="J33" s="349"/>
      <c r="K33" s="349"/>
      <c r="L33" s="349"/>
      <c r="M33" s="349"/>
      <c r="N33" s="360"/>
    </row>
    <row r="34" spans="1:14" s="373" customFormat="1" ht="18" customHeight="1">
      <c r="A34" s="306">
        <v>27</v>
      </c>
      <c r="B34" s="370"/>
      <c r="C34" s="371"/>
      <c r="D34" s="376" t="s">
        <v>198</v>
      </c>
      <c r="E34" s="375"/>
      <c r="F34" s="375"/>
      <c r="G34" s="1264"/>
      <c r="H34" s="346"/>
      <c r="I34" s="377">
        <f>SUM(J34:N34)</f>
        <v>1500</v>
      </c>
      <c r="J34" s="349"/>
      <c r="K34" s="349"/>
      <c r="L34" s="378">
        <v>1500</v>
      </c>
      <c r="M34" s="349"/>
      <c r="N34" s="360"/>
    </row>
    <row r="35" spans="1:14" s="373" customFormat="1" ht="18" customHeight="1">
      <c r="A35" s="306">
        <v>28</v>
      </c>
      <c r="B35" s="370"/>
      <c r="C35" s="371"/>
      <c r="D35" s="379" t="s">
        <v>765</v>
      </c>
      <c r="E35" s="375"/>
      <c r="F35" s="375"/>
      <c r="G35" s="1264"/>
      <c r="H35" s="346"/>
      <c r="I35" s="375">
        <f>SUM(J35:N35)</f>
        <v>0</v>
      </c>
      <c r="J35" s="362"/>
      <c r="K35" s="362"/>
      <c r="L35" s="364">
        <v>0</v>
      </c>
      <c r="M35" s="349"/>
      <c r="N35" s="360"/>
    </row>
    <row r="36" spans="1:14" s="373" customFormat="1" ht="18" customHeight="1">
      <c r="A36" s="306">
        <v>29</v>
      </c>
      <c r="B36" s="370"/>
      <c r="C36" s="371"/>
      <c r="D36" s="379" t="s">
        <v>1021</v>
      </c>
      <c r="E36" s="375"/>
      <c r="F36" s="375"/>
      <c r="G36" s="1264"/>
      <c r="H36" s="346"/>
      <c r="I36" s="166">
        <f>SUM(J36:Q36)</f>
        <v>0</v>
      </c>
      <c r="J36" s="349"/>
      <c r="K36" s="349"/>
      <c r="L36" s="364"/>
      <c r="M36" s="349"/>
      <c r="N36" s="360"/>
    </row>
    <row r="37" spans="1:14" s="373" customFormat="1" ht="18" customHeight="1">
      <c r="A37" s="306">
        <v>30</v>
      </c>
      <c r="B37" s="370"/>
      <c r="C37" s="371"/>
      <c r="D37" s="374" t="s">
        <v>420</v>
      </c>
      <c r="E37" s="375"/>
      <c r="F37" s="375"/>
      <c r="G37" s="1264"/>
      <c r="H37" s="346" t="s">
        <v>80</v>
      </c>
      <c r="I37" s="347"/>
      <c r="J37" s="349"/>
      <c r="K37" s="349"/>
      <c r="L37" s="378"/>
      <c r="M37" s="349"/>
      <c r="N37" s="360"/>
    </row>
    <row r="38" spans="1:14" s="373" customFormat="1" ht="18" customHeight="1">
      <c r="A38" s="306">
        <v>31</v>
      </c>
      <c r="B38" s="370"/>
      <c r="C38" s="371"/>
      <c r="D38" s="376" t="s">
        <v>198</v>
      </c>
      <c r="E38" s="375"/>
      <c r="F38" s="375"/>
      <c r="G38" s="1264"/>
      <c r="H38" s="346"/>
      <c r="I38" s="377">
        <f>SUM(J38:N38)</f>
        <v>3500</v>
      </c>
      <c r="J38" s="349"/>
      <c r="K38" s="349"/>
      <c r="L38" s="378">
        <v>3500</v>
      </c>
      <c r="M38" s="349"/>
      <c r="N38" s="360"/>
    </row>
    <row r="39" spans="1:14" s="373" customFormat="1" ht="18" customHeight="1">
      <c r="A39" s="306">
        <v>32</v>
      </c>
      <c r="B39" s="370"/>
      <c r="C39" s="371"/>
      <c r="D39" s="379" t="s">
        <v>765</v>
      </c>
      <c r="E39" s="375"/>
      <c r="F39" s="375"/>
      <c r="G39" s="1264"/>
      <c r="H39" s="346"/>
      <c r="I39" s="375">
        <f>SUM(J39:N39)</f>
        <v>2850</v>
      </c>
      <c r="J39" s="362"/>
      <c r="K39" s="362"/>
      <c r="L39" s="364">
        <v>2850</v>
      </c>
      <c r="M39" s="349"/>
      <c r="N39" s="360"/>
    </row>
    <row r="40" spans="1:14" s="373" customFormat="1" ht="18" customHeight="1">
      <c r="A40" s="306">
        <v>33</v>
      </c>
      <c r="B40" s="370"/>
      <c r="C40" s="371"/>
      <c r="D40" s="379" t="s">
        <v>1021</v>
      </c>
      <c r="E40" s="375"/>
      <c r="F40" s="375"/>
      <c r="G40" s="1264"/>
      <c r="H40" s="346"/>
      <c r="I40" s="166">
        <f>SUM(J40:Q40)</f>
        <v>2850</v>
      </c>
      <c r="J40" s="349"/>
      <c r="K40" s="349"/>
      <c r="L40" s="364">
        <v>2850</v>
      </c>
      <c r="M40" s="349"/>
      <c r="N40" s="360"/>
    </row>
    <row r="41" spans="1:14" s="373" customFormat="1" ht="18" customHeight="1">
      <c r="A41" s="306">
        <v>34</v>
      </c>
      <c r="B41" s="370"/>
      <c r="C41" s="371"/>
      <c r="D41" s="374" t="s">
        <v>421</v>
      </c>
      <c r="E41" s="375"/>
      <c r="F41" s="375"/>
      <c r="G41" s="1264"/>
      <c r="H41" s="346" t="s">
        <v>231</v>
      </c>
      <c r="I41" s="347"/>
      <c r="J41" s="349"/>
      <c r="K41" s="349"/>
      <c r="L41" s="378"/>
      <c r="M41" s="349"/>
      <c r="N41" s="360"/>
    </row>
    <row r="42" spans="1:14" s="373" customFormat="1" ht="18" customHeight="1">
      <c r="A42" s="306">
        <v>35</v>
      </c>
      <c r="B42" s="370"/>
      <c r="C42" s="371"/>
      <c r="D42" s="376" t="s">
        <v>198</v>
      </c>
      <c r="E42" s="375"/>
      <c r="F42" s="375"/>
      <c r="G42" s="1264"/>
      <c r="H42" s="346"/>
      <c r="I42" s="377">
        <f>SUM(J42:N42)</f>
        <v>1500</v>
      </c>
      <c r="J42" s="349"/>
      <c r="K42" s="349"/>
      <c r="L42" s="378">
        <v>1500</v>
      </c>
      <c r="M42" s="349"/>
      <c r="N42" s="360"/>
    </row>
    <row r="43" spans="1:14" s="373" customFormat="1" ht="18" customHeight="1">
      <c r="A43" s="306">
        <v>36</v>
      </c>
      <c r="B43" s="370"/>
      <c r="C43" s="371"/>
      <c r="D43" s="379" t="s">
        <v>765</v>
      </c>
      <c r="E43" s="375"/>
      <c r="F43" s="375"/>
      <c r="G43" s="1264"/>
      <c r="H43" s="346"/>
      <c r="I43" s="375">
        <f>SUM(J43:N43)</f>
        <v>0</v>
      </c>
      <c r="J43" s="362"/>
      <c r="K43" s="362"/>
      <c r="L43" s="364">
        <v>0</v>
      </c>
      <c r="M43" s="349"/>
      <c r="N43" s="360"/>
    </row>
    <row r="44" spans="1:14" s="373" customFormat="1" ht="18" customHeight="1">
      <c r="A44" s="306">
        <v>37</v>
      </c>
      <c r="B44" s="370"/>
      <c r="C44" s="371"/>
      <c r="D44" s="379" t="s">
        <v>1021</v>
      </c>
      <c r="E44" s="375"/>
      <c r="F44" s="375"/>
      <c r="G44" s="1264"/>
      <c r="H44" s="346"/>
      <c r="I44" s="166">
        <f>SUM(J44:Q44)</f>
        <v>0</v>
      </c>
      <c r="J44" s="349"/>
      <c r="K44" s="349"/>
      <c r="L44" s="364"/>
      <c r="M44" s="349"/>
      <c r="N44" s="360"/>
    </row>
    <row r="45" spans="1:14" s="373" customFormat="1" ht="18" customHeight="1">
      <c r="A45" s="306">
        <v>38</v>
      </c>
      <c r="B45" s="370"/>
      <c r="C45" s="371"/>
      <c r="D45" s="374" t="s">
        <v>422</v>
      </c>
      <c r="E45" s="375"/>
      <c r="F45" s="375"/>
      <c r="G45" s="1264"/>
      <c r="H45" s="346" t="s">
        <v>231</v>
      </c>
      <c r="I45" s="347"/>
      <c r="J45" s="349"/>
      <c r="K45" s="349"/>
      <c r="L45" s="378"/>
      <c r="M45" s="349"/>
      <c r="N45" s="360"/>
    </row>
    <row r="46" spans="1:14" s="373" customFormat="1" ht="18" customHeight="1">
      <c r="A46" s="306">
        <v>39</v>
      </c>
      <c r="B46" s="370"/>
      <c r="C46" s="371"/>
      <c r="D46" s="376" t="s">
        <v>198</v>
      </c>
      <c r="E46" s="375"/>
      <c r="F46" s="375"/>
      <c r="G46" s="1264"/>
      <c r="H46" s="346"/>
      <c r="I46" s="377">
        <f>SUM(J46:N46)</f>
        <v>5500</v>
      </c>
      <c r="J46" s="349"/>
      <c r="K46" s="349"/>
      <c r="L46" s="378">
        <v>5500</v>
      </c>
      <c r="M46" s="349"/>
      <c r="N46" s="360"/>
    </row>
    <row r="47" spans="1:14" s="373" customFormat="1" ht="18" customHeight="1">
      <c r="A47" s="306">
        <v>40</v>
      </c>
      <c r="B47" s="370"/>
      <c r="C47" s="371"/>
      <c r="D47" s="379" t="s">
        <v>765</v>
      </c>
      <c r="E47" s="375"/>
      <c r="F47" s="375"/>
      <c r="G47" s="1264"/>
      <c r="H47" s="346"/>
      <c r="I47" s="375">
        <f>SUM(J47:N47)</f>
        <v>0</v>
      </c>
      <c r="J47" s="362"/>
      <c r="K47" s="362"/>
      <c r="L47" s="364">
        <v>0</v>
      </c>
      <c r="M47" s="349"/>
      <c r="N47" s="360"/>
    </row>
    <row r="48" spans="1:14" s="373" customFormat="1" ht="18" customHeight="1">
      <c r="A48" s="306">
        <v>41</v>
      </c>
      <c r="B48" s="370"/>
      <c r="C48" s="371"/>
      <c r="D48" s="379" t="s">
        <v>1021</v>
      </c>
      <c r="E48" s="375"/>
      <c r="F48" s="375"/>
      <c r="G48" s="1264"/>
      <c r="H48" s="346"/>
      <c r="I48" s="166">
        <f>SUM(J48:Q48)</f>
        <v>0</v>
      </c>
      <c r="J48" s="349"/>
      <c r="K48" s="349"/>
      <c r="L48" s="364"/>
      <c r="M48" s="349"/>
      <c r="N48" s="360"/>
    </row>
    <row r="49" spans="1:14" s="373" customFormat="1" ht="18" customHeight="1">
      <c r="A49" s="306">
        <v>42</v>
      </c>
      <c r="B49" s="370"/>
      <c r="C49" s="371"/>
      <c r="D49" s="374" t="s">
        <v>423</v>
      </c>
      <c r="E49" s="375"/>
      <c r="F49" s="375"/>
      <c r="G49" s="1264"/>
      <c r="H49" s="346" t="s">
        <v>80</v>
      </c>
      <c r="I49" s="347"/>
      <c r="J49" s="349"/>
      <c r="K49" s="349"/>
      <c r="L49" s="378"/>
      <c r="M49" s="349"/>
      <c r="N49" s="360"/>
    </row>
    <row r="50" spans="1:14" s="373" customFormat="1" ht="18" customHeight="1">
      <c r="A50" s="306">
        <v>43</v>
      </c>
      <c r="B50" s="370"/>
      <c r="C50" s="371"/>
      <c r="D50" s="376" t="s">
        <v>198</v>
      </c>
      <c r="E50" s="375"/>
      <c r="F50" s="375"/>
      <c r="G50" s="1264"/>
      <c r="H50" s="346"/>
      <c r="I50" s="377">
        <f>SUM(J50:N50)</f>
        <v>8500</v>
      </c>
      <c r="J50" s="349"/>
      <c r="K50" s="349"/>
      <c r="L50" s="378">
        <v>8500</v>
      </c>
      <c r="M50" s="349"/>
      <c r="N50" s="360"/>
    </row>
    <row r="51" spans="1:14" s="373" customFormat="1" ht="18" customHeight="1">
      <c r="A51" s="306">
        <v>44</v>
      </c>
      <c r="B51" s="370"/>
      <c r="C51" s="371"/>
      <c r="D51" s="379" t="s">
        <v>765</v>
      </c>
      <c r="E51" s="375"/>
      <c r="F51" s="375"/>
      <c r="G51" s="1264"/>
      <c r="H51" s="346"/>
      <c r="I51" s="375">
        <f>SUM(J51:N51)</f>
        <v>0</v>
      </c>
      <c r="J51" s="362"/>
      <c r="K51" s="362"/>
      <c r="L51" s="364">
        <v>0</v>
      </c>
      <c r="M51" s="349"/>
      <c r="N51" s="360"/>
    </row>
    <row r="52" spans="1:14" s="373" customFormat="1" ht="18" customHeight="1">
      <c r="A52" s="306">
        <v>45</v>
      </c>
      <c r="B52" s="370"/>
      <c r="C52" s="371"/>
      <c r="D52" s="379" t="s">
        <v>1021</v>
      </c>
      <c r="E52" s="375"/>
      <c r="F52" s="375"/>
      <c r="G52" s="1264"/>
      <c r="H52" s="346"/>
      <c r="I52" s="166">
        <f>SUM(J52:Q52)</f>
        <v>0</v>
      </c>
      <c r="J52" s="349"/>
      <c r="K52" s="349"/>
      <c r="L52" s="364"/>
      <c r="M52" s="349"/>
      <c r="N52" s="360"/>
    </row>
    <row r="53" spans="1:14" s="373" customFormat="1" ht="18" customHeight="1">
      <c r="A53" s="306">
        <v>46</v>
      </c>
      <c r="B53" s="370"/>
      <c r="C53" s="371"/>
      <c r="D53" s="374" t="s">
        <v>424</v>
      </c>
      <c r="E53" s="375"/>
      <c r="F53" s="375"/>
      <c r="G53" s="1264"/>
      <c r="H53" s="346" t="s">
        <v>231</v>
      </c>
      <c r="I53" s="347"/>
      <c r="J53" s="349"/>
      <c r="K53" s="349"/>
      <c r="L53" s="378"/>
      <c r="M53" s="349"/>
      <c r="N53" s="360"/>
    </row>
    <row r="54" spans="1:14" s="373" customFormat="1" ht="18" customHeight="1">
      <c r="A54" s="306">
        <v>47</v>
      </c>
      <c r="B54" s="370"/>
      <c r="C54" s="371"/>
      <c r="D54" s="376" t="s">
        <v>198</v>
      </c>
      <c r="E54" s="375"/>
      <c r="F54" s="375"/>
      <c r="G54" s="1264"/>
      <c r="H54" s="346"/>
      <c r="I54" s="377">
        <f>SUM(J54:N54)</f>
        <v>4000</v>
      </c>
      <c r="J54" s="349"/>
      <c r="K54" s="349"/>
      <c r="L54" s="378">
        <v>4000</v>
      </c>
      <c r="M54" s="349"/>
      <c r="N54" s="360"/>
    </row>
    <row r="55" spans="1:14" s="373" customFormat="1" ht="18" customHeight="1">
      <c r="A55" s="306">
        <v>48</v>
      </c>
      <c r="B55" s="370"/>
      <c r="C55" s="371"/>
      <c r="D55" s="379" t="s">
        <v>765</v>
      </c>
      <c r="E55" s="375"/>
      <c r="F55" s="375"/>
      <c r="G55" s="1264"/>
      <c r="H55" s="346"/>
      <c r="I55" s="375">
        <f>SUM(J55:N55)</f>
        <v>3775</v>
      </c>
      <c r="J55" s="362"/>
      <c r="K55" s="362"/>
      <c r="L55" s="364">
        <v>3775</v>
      </c>
      <c r="M55" s="349"/>
      <c r="N55" s="360"/>
    </row>
    <row r="56" spans="1:14" s="373" customFormat="1" ht="18" customHeight="1">
      <c r="A56" s="306">
        <v>49</v>
      </c>
      <c r="B56" s="370"/>
      <c r="C56" s="371"/>
      <c r="D56" s="379" t="s">
        <v>1021</v>
      </c>
      <c r="E56" s="375"/>
      <c r="F56" s="375"/>
      <c r="G56" s="1264"/>
      <c r="H56" s="346"/>
      <c r="I56" s="166">
        <f>SUM(J56:Q56)</f>
        <v>3775</v>
      </c>
      <c r="J56" s="349"/>
      <c r="K56" s="349"/>
      <c r="L56" s="364">
        <v>3775</v>
      </c>
      <c r="M56" s="349"/>
      <c r="N56" s="360"/>
    </row>
    <row r="57" spans="1:14" s="373" customFormat="1" ht="18" customHeight="1">
      <c r="A57" s="306">
        <v>50</v>
      </c>
      <c r="B57" s="370"/>
      <c r="C57" s="371"/>
      <c r="D57" s="374" t="s">
        <v>1231</v>
      </c>
      <c r="E57" s="375"/>
      <c r="F57" s="375"/>
      <c r="G57" s="1264"/>
      <c r="H57" s="346" t="s">
        <v>80</v>
      </c>
      <c r="I57" s="347"/>
      <c r="J57" s="349"/>
      <c r="K57" s="349"/>
      <c r="L57" s="378"/>
      <c r="M57" s="349"/>
      <c r="N57" s="360"/>
    </row>
    <row r="58" spans="1:14" s="373" customFormat="1" ht="18" customHeight="1">
      <c r="A58" s="306">
        <v>51</v>
      </c>
      <c r="B58" s="370"/>
      <c r="C58" s="371"/>
      <c r="D58" s="376" t="s">
        <v>198</v>
      </c>
      <c r="E58" s="375"/>
      <c r="F58" s="375"/>
      <c r="G58" s="1264"/>
      <c r="H58" s="346"/>
      <c r="I58" s="377">
        <f>SUM(J58:N58)</f>
        <v>2500</v>
      </c>
      <c r="J58" s="349"/>
      <c r="K58" s="349"/>
      <c r="L58" s="378">
        <v>2500</v>
      </c>
      <c r="M58" s="349"/>
      <c r="N58" s="360"/>
    </row>
    <row r="59" spans="1:14" s="373" customFormat="1" ht="18" customHeight="1">
      <c r="A59" s="306">
        <v>52</v>
      </c>
      <c r="B59" s="370"/>
      <c r="C59" s="371"/>
      <c r="D59" s="379" t="s">
        <v>765</v>
      </c>
      <c r="E59" s="375"/>
      <c r="F59" s="375"/>
      <c r="G59" s="1264"/>
      <c r="H59" s="346"/>
      <c r="I59" s="375">
        <f>SUM(J59:N59)</f>
        <v>2740</v>
      </c>
      <c r="J59" s="362"/>
      <c r="K59" s="362"/>
      <c r="L59" s="364">
        <v>2740</v>
      </c>
      <c r="M59" s="349"/>
      <c r="N59" s="360"/>
    </row>
    <row r="60" spans="1:14" s="373" customFormat="1" ht="18" customHeight="1">
      <c r="A60" s="306">
        <v>53</v>
      </c>
      <c r="B60" s="370"/>
      <c r="C60" s="371"/>
      <c r="D60" s="379" t="s">
        <v>1021</v>
      </c>
      <c r="E60" s="375"/>
      <c r="F60" s="375"/>
      <c r="G60" s="1264"/>
      <c r="H60" s="346"/>
      <c r="I60" s="166">
        <f>SUM(J60:Q60)</f>
        <v>2740</v>
      </c>
      <c r="J60" s="349"/>
      <c r="K60" s="349"/>
      <c r="L60" s="364">
        <v>2740</v>
      </c>
      <c r="M60" s="349"/>
      <c r="N60" s="360"/>
    </row>
    <row r="61" spans="1:14" s="373" customFormat="1" ht="18" customHeight="1">
      <c r="A61" s="306">
        <v>54</v>
      </c>
      <c r="B61" s="370"/>
      <c r="C61" s="371"/>
      <c r="D61" s="374" t="s">
        <v>425</v>
      </c>
      <c r="E61" s="375"/>
      <c r="F61" s="375"/>
      <c r="G61" s="1264"/>
      <c r="H61" s="346" t="s">
        <v>231</v>
      </c>
      <c r="I61" s="347"/>
      <c r="J61" s="349"/>
      <c r="K61" s="349"/>
      <c r="L61" s="378"/>
      <c r="M61" s="349"/>
      <c r="N61" s="360"/>
    </row>
    <row r="62" spans="1:14" s="373" customFormat="1" ht="18" customHeight="1">
      <c r="A62" s="306">
        <v>55</v>
      </c>
      <c r="B62" s="370"/>
      <c r="C62" s="371"/>
      <c r="D62" s="376" t="s">
        <v>198</v>
      </c>
      <c r="E62" s="375"/>
      <c r="F62" s="375"/>
      <c r="G62" s="1264"/>
      <c r="H62" s="346"/>
      <c r="I62" s="377">
        <f>SUM(J62:N62)</f>
        <v>4000</v>
      </c>
      <c r="J62" s="349"/>
      <c r="K62" s="349"/>
      <c r="L62" s="378">
        <v>4000</v>
      </c>
      <c r="M62" s="349"/>
      <c r="N62" s="360"/>
    </row>
    <row r="63" spans="1:14" s="373" customFormat="1" ht="18" customHeight="1">
      <c r="A63" s="306">
        <v>56</v>
      </c>
      <c r="B63" s="370"/>
      <c r="C63" s="371"/>
      <c r="D63" s="379" t="s">
        <v>765</v>
      </c>
      <c r="E63" s="375"/>
      <c r="F63" s="375"/>
      <c r="G63" s="1264"/>
      <c r="H63" s="346"/>
      <c r="I63" s="375">
        <f>SUM(J63:N63)</f>
        <v>3775</v>
      </c>
      <c r="J63" s="362"/>
      <c r="K63" s="362"/>
      <c r="L63" s="364">
        <v>3775</v>
      </c>
      <c r="M63" s="349"/>
      <c r="N63" s="360"/>
    </row>
    <row r="64" spans="1:14" s="373" customFormat="1" ht="18" customHeight="1">
      <c r="A64" s="306">
        <v>57</v>
      </c>
      <c r="B64" s="370"/>
      <c r="C64" s="371"/>
      <c r="D64" s="379" t="s">
        <v>1021</v>
      </c>
      <c r="E64" s="375"/>
      <c r="F64" s="375"/>
      <c r="G64" s="1264"/>
      <c r="H64" s="346"/>
      <c r="I64" s="166">
        <f>SUM(J64:Q64)</f>
        <v>0</v>
      </c>
      <c r="J64" s="349"/>
      <c r="K64" s="349"/>
      <c r="L64" s="364"/>
      <c r="M64" s="349"/>
      <c r="N64" s="360"/>
    </row>
    <row r="65" spans="1:16" s="373" customFormat="1" ht="18" customHeight="1">
      <c r="A65" s="306">
        <v>58</v>
      </c>
      <c r="B65" s="370"/>
      <c r="C65" s="371"/>
      <c r="D65" s="374" t="s">
        <v>426</v>
      </c>
      <c r="E65" s="375"/>
      <c r="F65" s="375"/>
      <c r="G65" s="1264"/>
      <c r="H65" s="346" t="s">
        <v>231</v>
      </c>
      <c r="I65" s="347"/>
      <c r="J65" s="349"/>
      <c r="K65" s="349"/>
      <c r="L65" s="378"/>
      <c r="M65" s="349"/>
      <c r="N65" s="360"/>
    </row>
    <row r="66" spans="1:16" s="373" customFormat="1" ht="18" customHeight="1">
      <c r="A66" s="306">
        <v>59</v>
      </c>
      <c r="B66" s="370"/>
      <c r="C66" s="371"/>
      <c r="D66" s="376" t="s">
        <v>198</v>
      </c>
      <c r="E66" s="375"/>
      <c r="F66" s="375"/>
      <c r="G66" s="1264"/>
      <c r="H66" s="346"/>
      <c r="I66" s="377">
        <f>SUM(J66:N66)</f>
        <v>3500</v>
      </c>
      <c r="J66" s="349"/>
      <c r="K66" s="349"/>
      <c r="L66" s="378">
        <v>3500</v>
      </c>
      <c r="M66" s="349"/>
      <c r="N66" s="360"/>
    </row>
    <row r="67" spans="1:16" s="373" customFormat="1" ht="18" customHeight="1">
      <c r="A67" s="306">
        <v>60</v>
      </c>
      <c r="B67" s="370"/>
      <c r="C67" s="371"/>
      <c r="D67" s="379" t="s">
        <v>765</v>
      </c>
      <c r="E67" s="375"/>
      <c r="F67" s="375"/>
      <c r="G67" s="1264"/>
      <c r="H67" s="346"/>
      <c r="I67" s="375">
        <f>SUM(J67:N67)</f>
        <v>0</v>
      </c>
      <c r="J67" s="362"/>
      <c r="K67" s="362"/>
      <c r="L67" s="364">
        <v>0</v>
      </c>
      <c r="M67" s="349"/>
      <c r="N67" s="360"/>
    </row>
    <row r="68" spans="1:16" s="373" customFormat="1" ht="18" customHeight="1">
      <c r="A68" s="306">
        <v>61</v>
      </c>
      <c r="B68" s="370"/>
      <c r="C68" s="371"/>
      <c r="D68" s="379" t="s">
        <v>1021</v>
      </c>
      <c r="E68" s="375"/>
      <c r="F68" s="375"/>
      <c r="G68" s="1264"/>
      <c r="H68" s="346"/>
      <c r="I68" s="166">
        <f>SUM(J68:Q68)</f>
        <v>0</v>
      </c>
      <c r="J68" s="349"/>
      <c r="K68" s="349"/>
      <c r="L68" s="364"/>
      <c r="M68" s="349"/>
      <c r="N68" s="360"/>
    </row>
    <row r="69" spans="1:16" s="373" customFormat="1" ht="18" customHeight="1">
      <c r="A69" s="306">
        <v>62</v>
      </c>
      <c r="B69" s="370"/>
      <c r="C69" s="371"/>
      <c r="D69" s="374" t="s">
        <v>427</v>
      </c>
      <c r="E69" s="375"/>
      <c r="F69" s="375"/>
      <c r="G69" s="1264"/>
      <c r="H69" s="346" t="s">
        <v>231</v>
      </c>
      <c r="I69" s="161"/>
      <c r="J69" s="362"/>
      <c r="K69" s="362"/>
      <c r="L69" s="364"/>
      <c r="M69" s="349"/>
      <c r="N69" s="360"/>
    </row>
    <row r="70" spans="1:16" s="373" customFormat="1" ht="18" customHeight="1">
      <c r="A70" s="306">
        <v>63</v>
      </c>
      <c r="B70" s="370"/>
      <c r="C70" s="371"/>
      <c r="D70" s="379" t="s">
        <v>765</v>
      </c>
      <c r="E70" s="375"/>
      <c r="F70" s="375"/>
      <c r="G70" s="1264"/>
      <c r="H70" s="346"/>
      <c r="I70" s="375">
        <f>SUM(J70:N70)</f>
        <v>0</v>
      </c>
      <c r="J70" s="362"/>
      <c r="K70" s="362"/>
      <c r="L70" s="364">
        <v>0</v>
      </c>
      <c r="M70" s="349"/>
      <c r="N70" s="360"/>
    </row>
    <row r="71" spans="1:16" s="373" customFormat="1" ht="18" customHeight="1">
      <c r="A71" s="306">
        <v>64</v>
      </c>
      <c r="B71" s="370"/>
      <c r="C71" s="371"/>
      <c r="D71" s="379" t="s">
        <v>1021</v>
      </c>
      <c r="E71" s="375"/>
      <c r="F71" s="375"/>
      <c r="G71" s="1264"/>
      <c r="H71" s="346"/>
      <c r="I71" s="166">
        <f>SUM(J71:Q71)</f>
        <v>0</v>
      </c>
      <c r="J71" s="362"/>
      <c r="K71" s="362"/>
      <c r="L71" s="364"/>
      <c r="M71" s="349"/>
      <c r="N71" s="360"/>
    </row>
    <row r="72" spans="1:16" s="307" customFormat="1" ht="22.5" customHeight="1">
      <c r="A72" s="306">
        <v>65</v>
      </c>
      <c r="B72" s="357"/>
      <c r="C72" s="344">
        <v>7</v>
      </c>
      <c r="D72" s="358" t="s">
        <v>428</v>
      </c>
      <c r="E72" s="1258">
        <f>SUM(E76,E80,E84,E88,E92)+E96+E100</f>
        <v>78500</v>
      </c>
      <c r="F72" s="1258">
        <f>SUM(F76,F80,F84,F88,F92,F96,F100)</f>
        <v>40000</v>
      </c>
      <c r="G72" s="1258">
        <f>SUM(G76,G80,G84,G88,G92,G96,G100)</f>
        <v>122000</v>
      </c>
      <c r="H72" s="346" t="s">
        <v>231</v>
      </c>
      <c r="I72" s="367"/>
      <c r="J72" s="368"/>
      <c r="K72" s="368"/>
      <c r="L72" s="368"/>
      <c r="M72" s="368"/>
      <c r="N72" s="369"/>
      <c r="O72" s="351"/>
      <c r="P72" s="351"/>
    </row>
    <row r="73" spans="1:16" s="351" customFormat="1" ht="18" customHeight="1">
      <c r="A73" s="306">
        <v>66</v>
      </c>
      <c r="B73" s="343"/>
      <c r="C73" s="344"/>
      <c r="D73" s="345" t="s">
        <v>198</v>
      </c>
      <c r="E73" s="1258"/>
      <c r="F73" s="1258"/>
      <c r="G73" s="1259"/>
      <c r="H73" s="346"/>
      <c r="I73" s="347">
        <f>SUM(J73:N73)</f>
        <v>203000</v>
      </c>
      <c r="J73" s="349">
        <f>SUM(J81,J97,)+J77+J85+J89+J93+J101+J105+J109+J113</f>
        <v>0</v>
      </c>
      <c r="K73" s="349">
        <f>SUM(K81,K97,)+K77+K85+K89+K93+K101+K105+K109+K113</f>
        <v>0</v>
      </c>
      <c r="L73" s="349">
        <f>SUM(L81,L97,)+L77+L85+L89+L93+L101+L105+L109+L113</f>
        <v>0</v>
      </c>
      <c r="M73" s="349">
        <f>SUM(M81,M97,)+M77+M85+M89+M93+M101+M105+M109+M113</f>
        <v>0</v>
      </c>
      <c r="N73" s="360">
        <f>SUM(N81,N97,)+N77+N85+N89+N93+N101+N105+N109+N113</f>
        <v>203000</v>
      </c>
    </row>
    <row r="74" spans="1:16" s="351" customFormat="1" ht="18" customHeight="1">
      <c r="A74" s="306">
        <v>67</v>
      </c>
      <c r="B74" s="343"/>
      <c r="C74" s="344"/>
      <c r="D74" s="163" t="s">
        <v>765</v>
      </c>
      <c r="E74" s="1258"/>
      <c r="F74" s="1258"/>
      <c r="G74" s="1259"/>
      <c r="H74" s="346"/>
      <c r="I74" s="340">
        <f>SUM(J74:N74)</f>
        <v>195000</v>
      </c>
      <c r="J74" s="362">
        <f>SUM(J82,J98,)+J78+J86+J90+J94+J102+J106+J110+J114+J117</f>
        <v>0</v>
      </c>
      <c r="K74" s="362">
        <f>SUM(K82,K98,)+K78+K86+K90+K94+K102+K106+K110+K114+K117</f>
        <v>0</v>
      </c>
      <c r="L74" s="362">
        <f>SUM(L82,L98,)+L78+L86+L90+L94+L102+L106+L110+L114+L117</f>
        <v>0</v>
      </c>
      <c r="M74" s="362">
        <f>SUM(M82,M98,)+M78+M86+M90+M94+M102+M106+M110+M114+M117</f>
        <v>0</v>
      </c>
      <c r="N74" s="363">
        <f>SUM(N82,N98,)+N78+N86+N90+N94+N102+N106+N110+N114+N117</f>
        <v>195000</v>
      </c>
    </row>
    <row r="75" spans="1:16" s="351" customFormat="1" ht="18" customHeight="1">
      <c r="A75" s="306">
        <v>68</v>
      </c>
      <c r="B75" s="343"/>
      <c r="C75" s="344"/>
      <c r="D75" s="165" t="s">
        <v>1021</v>
      </c>
      <c r="E75" s="1258"/>
      <c r="F75" s="1258"/>
      <c r="G75" s="1259"/>
      <c r="H75" s="346"/>
      <c r="I75" s="166">
        <f>SUM(J75:Q75)</f>
        <v>195000</v>
      </c>
      <c r="J75" s="364">
        <f>J79+J83+J87+J91+J95+J99+J103+J107+J111+J115+J118</f>
        <v>0</v>
      </c>
      <c r="K75" s="364">
        <f>K79+K83+K87+K91+K95+K99+K103+K107+K111+K115+K118</f>
        <v>0</v>
      </c>
      <c r="L75" s="364">
        <f>L79+L83+L87+L91+L95+L99+L103+L107+L111+L115+L118</f>
        <v>0</v>
      </c>
      <c r="M75" s="364">
        <f>M79+M83+M87+M91+M95+M99+M103+M107+M111+M115+M118</f>
        <v>0</v>
      </c>
      <c r="N75" s="366">
        <f>N79+N83+N87+N91+N95+N99+N103+N107+N111+N115+N118</f>
        <v>195000</v>
      </c>
    </row>
    <row r="76" spans="1:16" s="384" customFormat="1" ht="18" customHeight="1">
      <c r="A76" s="306">
        <v>69</v>
      </c>
      <c r="B76" s="380"/>
      <c r="C76" s="344"/>
      <c r="D76" s="374" t="s">
        <v>429</v>
      </c>
      <c r="E76" s="375">
        <v>15000</v>
      </c>
      <c r="F76" s="375"/>
      <c r="G76" s="1264">
        <v>40000</v>
      </c>
      <c r="H76" s="381"/>
      <c r="I76" s="382"/>
      <c r="J76" s="378"/>
      <c r="K76" s="378"/>
      <c r="L76" s="378"/>
      <c r="M76" s="378"/>
      <c r="N76" s="383"/>
      <c r="P76" s="351"/>
    </row>
    <row r="77" spans="1:16" s="384" customFormat="1" ht="18" customHeight="1">
      <c r="A77" s="306">
        <v>70</v>
      </c>
      <c r="B77" s="380"/>
      <c r="C77" s="344"/>
      <c r="D77" s="376" t="s">
        <v>198</v>
      </c>
      <c r="E77" s="375"/>
      <c r="F77" s="375"/>
      <c r="G77" s="1264"/>
      <c r="H77" s="381"/>
      <c r="I77" s="377">
        <f>SUM(J77:N77)</f>
        <v>40000</v>
      </c>
      <c r="J77" s="378"/>
      <c r="K77" s="378"/>
      <c r="L77" s="378"/>
      <c r="M77" s="378"/>
      <c r="N77" s="383">
        <v>40000</v>
      </c>
      <c r="P77" s="351"/>
    </row>
    <row r="78" spans="1:16" s="384" customFormat="1" ht="18" customHeight="1">
      <c r="A78" s="306">
        <v>71</v>
      </c>
      <c r="B78" s="380"/>
      <c r="C78" s="344"/>
      <c r="D78" s="379" t="s">
        <v>765</v>
      </c>
      <c r="E78" s="375"/>
      <c r="F78" s="375"/>
      <c r="G78" s="1264"/>
      <c r="H78" s="381"/>
      <c r="I78" s="375">
        <f>SUM(J78:N78)</f>
        <v>40000</v>
      </c>
      <c r="J78" s="364"/>
      <c r="K78" s="364"/>
      <c r="L78" s="364"/>
      <c r="M78" s="364"/>
      <c r="N78" s="366">
        <v>40000</v>
      </c>
      <c r="P78" s="351"/>
    </row>
    <row r="79" spans="1:16" s="384" customFormat="1" ht="18" customHeight="1">
      <c r="A79" s="306">
        <v>72</v>
      </c>
      <c r="B79" s="380"/>
      <c r="C79" s="344"/>
      <c r="D79" s="379" t="s">
        <v>1022</v>
      </c>
      <c r="E79" s="375"/>
      <c r="F79" s="375"/>
      <c r="G79" s="1264"/>
      <c r="H79" s="381"/>
      <c r="I79" s="166">
        <f>SUM(J79:Q79)</f>
        <v>40000</v>
      </c>
      <c r="J79" s="378"/>
      <c r="K79" s="378"/>
      <c r="L79" s="378"/>
      <c r="M79" s="378"/>
      <c r="N79" s="366">
        <v>40000</v>
      </c>
      <c r="P79" s="351"/>
    </row>
    <row r="80" spans="1:16" s="384" customFormat="1" ht="18" customHeight="1">
      <c r="A80" s="306">
        <v>73</v>
      </c>
      <c r="B80" s="380"/>
      <c r="C80" s="344"/>
      <c r="D80" s="374" t="s">
        <v>430</v>
      </c>
      <c r="E80" s="375">
        <v>20000</v>
      </c>
      <c r="F80" s="375">
        <v>20000</v>
      </c>
      <c r="G80" s="1264">
        <v>20000</v>
      </c>
      <c r="H80" s="381"/>
      <c r="I80" s="385"/>
      <c r="J80" s="386"/>
      <c r="K80" s="386"/>
      <c r="L80" s="386"/>
      <c r="M80" s="386"/>
      <c r="N80" s="387"/>
      <c r="P80" s="351"/>
    </row>
    <row r="81" spans="1:16" s="384" customFormat="1" ht="18" customHeight="1">
      <c r="A81" s="306">
        <v>74</v>
      </c>
      <c r="B81" s="380"/>
      <c r="C81" s="344"/>
      <c r="D81" s="376" t="s">
        <v>198</v>
      </c>
      <c r="E81" s="375"/>
      <c r="F81" s="375"/>
      <c r="G81" s="1264"/>
      <c r="H81" s="381"/>
      <c r="I81" s="377">
        <f>SUM(J81:N81)</f>
        <v>0</v>
      </c>
      <c r="J81" s="378"/>
      <c r="K81" s="378"/>
      <c r="L81" s="378"/>
      <c r="M81" s="378"/>
      <c r="N81" s="383"/>
      <c r="P81" s="351"/>
    </row>
    <row r="82" spans="1:16" s="384" customFormat="1" ht="18" customHeight="1">
      <c r="A82" s="306">
        <v>75</v>
      </c>
      <c r="B82" s="380"/>
      <c r="C82" s="344"/>
      <c r="D82" s="379" t="s">
        <v>765</v>
      </c>
      <c r="E82" s="375"/>
      <c r="F82" s="375"/>
      <c r="G82" s="1264"/>
      <c r="H82" s="381"/>
      <c r="I82" s="377">
        <f>SUM(J82:N82)</f>
        <v>0</v>
      </c>
      <c r="J82" s="378"/>
      <c r="K82" s="378"/>
      <c r="L82" s="378"/>
      <c r="M82" s="378"/>
      <c r="N82" s="383"/>
      <c r="P82" s="351"/>
    </row>
    <row r="83" spans="1:16" s="384" customFormat="1" ht="18" customHeight="1">
      <c r="A83" s="306">
        <v>76</v>
      </c>
      <c r="B83" s="380"/>
      <c r="C83" s="344"/>
      <c r="D83" s="379" t="s">
        <v>1022</v>
      </c>
      <c r="E83" s="375"/>
      <c r="F83" s="375"/>
      <c r="G83" s="1264"/>
      <c r="H83" s="381"/>
      <c r="I83" s="166">
        <f>SUM(J83:Q83)</f>
        <v>0</v>
      </c>
      <c r="J83" s="378"/>
      <c r="K83" s="378"/>
      <c r="L83" s="378"/>
      <c r="M83" s="378"/>
      <c r="N83" s="383"/>
      <c r="P83" s="351"/>
    </row>
    <row r="84" spans="1:16" s="384" customFormat="1" ht="18" customHeight="1">
      <c r="A84" s="306">
        <v>77</v>
      </c>
      <c r="B84" s="380"/>
      <c r="C84" s="344"/>
      <c r="D84" s="374" t="s">
        <v>431</v>
      </c>
      <c r="E84" s="375">
        <v>1000</v>
      </c>
      <c r="F84" s="375"/>
      <c r="G84" s="1264">
        <v>5000</v>
      </c>
      <c r="H84" s="381"/>
      <c r="I84" s="385"/>
      <c r="J84" s="386"/>
      <c r="K84" s="386"/>
      <c r="L84" s="386"/>
      <c r="M84" s="386"/>
      <c r="N84" s="387"/>
      <c r="P84" s="351"/>
    </row>
    <row r="85" spans="1:16" s="384" customFormat="1" ht="18" customHeight="1">
      <c r="A85" s="306">
        <v>78</v>
      </c>
      <c r="B85" s="380"/>
      <c r="C85" s="344"/>
      <c r="D85" s="376" t="s">
        <v>198</v>
      </c>
      <c r="E85" s="375"/>
      <c r="F85" s="375"/>
      <c r="G85" s="1264"/>
      <c r="H85" s="381"/>
      <c r="I85" s="377">
        <f>SUM(J85:N85)</f>
        <v>20000</v>
      </c>
      <c r="J85" s="386"/>
      <c r="K85" s="386"/>
      <c r="L85" s="386"/>
      <c r="M85" s="386"/>
      <c r="N85" s="387">
        <v>20000</v>
      </c>
      <c r="P85" s="351"/>
    </row>
    <row r="86" spans="1:16" s="384" customFormat="1" ht="18" customHeight="1">
      <c r="A86" s="306">
        <v>79</v>
      </c>
      <c r="B86" s="380"/>
      <c r="C86" s="344"/>
      <c r="D86" s="379" t="s">
        <v>765</v>
      </c>
      <c r="E86" s="375"/>
      <c r="F86" s="375"/>
      <c r="G86" s="1264"/>
      <c r="H86" s="381"/>
      <c r="I86" s="375">
        <f>SUM(J86:N86)</f>
        <v>20000</v>
      </c>
      <c r="J86" s="388"/>
      <c r="K86" s="388"/>
      <c r="L86" s="388"/>
      <c r="M86" s="388"/>
      <c r="N86" s="389">
        <v>20000</v>
      </c>
      <c r="P86" s="351"/>
    </row>
    <row r="87" spans="1:16" s="384" customFormat="1" ht="18" customHeight="1">
      <c r="A87" s="306">
        <v>80</v>
      </c>
      <c r="B87" s="380"/>
      <c r="C87" s="344"/>
      <c r="D87" s="379" t="s">
        <v>1022</v>
      </c>
      <c r="E87" s="375"/>
      <c r="F87" s="375"/>
      <c r="G87" s="1264"/>
      <c r="H87" s="381"/>
      <c r="I87" s="166">
        <f>SUM(J87:Q87)</f>
        <v>20000</v>
      </c>
      <c r="J87" s="386"/>
      <c r="K87" s="386"/>
      <c r="L87" s="386"/>
      <c r="M87" s="386"/>
      <c r="N87" s="389">
        <v>20000</v>
      </c>
      <c r="P87" s="351"/>
    </row>
    <row r="88" spans="1:16" s="384" customFormat="1" ht="18" customHeight="1">
      <c r="A88" s="306">
        <v>81</v>
      </c>
      <c r="B88" s="380"/>
      <c r="C88" s="344"/>
      <c r="D88" s="374" t="s">
        <v>432</v>
      </c>
      <c r="E88" s="375">
        <v>7500</v>
      </c>
      <c r="F88" s="375"/>
      <c r="G88" s="1264">
        <v>15000</v>
      </c>
      <c r="H88" s="381"/>
      <c r="I88" s="385"/>
      <c r="J88" s="386"/>
      <c r="K88" s="386"/>
      <c r="L88" s="386"/>
      <c r="M88" s="386"/>
      <c r="N88" s="387"/>
      <c r="P88" s="351"/>
    </row>
    <row r="89" spans="1:16" s="384" customFormat="1" ht="18" customHeight="1">
      <c r="A89" s="306">
        <v>82</v>
      </c>
      <c r="B89" s="380"/>
      <c r="C89" s="344"/>
      <c r="D89" s="376" t="s">
        <v>198</v>
      </c>
      <c r="E89" s="375"/>
      <c r="F89" s="375"/>
      <c r="G89" s="1264"/>
      <c r="H89" s="381"/>
      <c r="I89" s="377">
        <f>SUM(J89:N89)</f>
        <v>30000</v>
      </c>
      <c r="J89" s="386"/>
      <c r="K89" s="386"/>
      <c r="L89" s="386"/>
      <c r="M89" s="386"/>
      <c r="N89" s="387">
        <v>30000</v>
      </c>
      <c r="P89" s="351"/>
    </row>
    <row r="90" spans="1:16" s="384" customFormat="1" ht="18" customHeight="1">
      <c r="A90" s="306">
        <v>83</v>
      </c>
      <c r="B90" s="380"/>
      <c r="C90" s="344"/>
      <c r="D90" s="379" t="s">
        <v>765</v>
      </c>
      <c r="E90" s="375"/>
      <c r="F90" s="375"/>
      <c r="G90" s="1264"/>
      <c r="H90" s="381"/>
      <c r="I90" s="375">
        <f>SUM(J90:N90)</f>
        <v>65000</v>
      </c>
      <c r="J90" s="388"/>
      <c r="K90" s="388"/>
      <c r="L90" s="388"/>
      <c r="M90" s="388"/>
      <c r="N90" s="389">
        <v>65000</v>
      </c>
      <c r="P90" s="351"/>
    </row>
    <row r="91" spans="1:16" s="384" customFormat="1" ht="18" customHeight="1">
      <c r="A91" s="306">
        <v>84</v>
      </c>
      <c r="B91" s="380"/>
      <c r="C91" s="344"/>
      <c r="D91" s="379" t="s">
        <v>1022</v>
      </c>
      <c r="E91" s="375"/>
      <c r="F91" s="375"/>
      <c r="G91" s="1264"/>
      <c r="H91" s="381"/>
      <c r="I91" s="166">
        <f>SUM(J91:Q91)</f>
        <v>65000</v>
      </c>
      <c r="J91" s="386"/>
      <c r="K91" s="386"/>
      <c r="L91" s="386"/>
      <c r="M91" s="386"/>
      <c r="N91" s="389">
        <v>65000</v>
      </c>
      <c r="P91" s="351"/>
    </row>
    <row r="92" spans="1:16" s="384" customFormat="1" ht="18" customHeight="1">
      <c r="A92" s="306">
        <v>85</v>
      </c>
      <c r="B92" s="380"/>
      <c r="C92" s="344"/>
      <c r="D92" s="374" t="s">
        <v>433</v>
      </c>
      <c r="E92" s="375">
        <v>5000</v>
      </c>
      <c r="F92" s="375"/>
      <c r="G92" s="1264">
        <v>10000</v>
      </c>
      <c r="H92" s="381"/>
      <c r="I92" s="385"/>
      <c r="J92" s="386"/>
      <c r="K92" s="386"/>
      <c r="L92" s="386"/>
      <c r="M92" s="386"/>
      <c r="N92" s="387"/>
    </row>
    <row r="93" spans="1:16" s="384" customFormat="1" ht="18" customHeight="1">
      <c r="A93" s="306">
        <v>86</v>
      </c>
      <c r="B93" s="380"/>
      <c r="C93" s="344"/>
      <c r="D93" s="376" t="s">
        <v>198</v>
      </c>
      <c r="E93" s="375"/>
      <c r="F93" s="375"/>
      <c r="G93" s="1264"/>
      <c r="H93" s="381"/>
      <c r="I93" s="377">
        <f>SUM(J93:N93)</f>
        <v>40000</v>
      </c>
      <c r="J93" s="386"/>
      <c r="K93" s="386"/>
      <c r="L93" s="386"/>
      <c r="M93" s="386"/>
      <c r="N93" s="387">
        <v>40000</v>
      </c>
    </row>
    <row r="94" spans="1:16" s="384" customFormat="1" ht="18" customHeight="1">
      <c r="A94" s="306">
        <v>87</v>
      </c>
      <c r="B94" s="380"/>
      <c r="C94" s="344"/>
      <c r="D94" s="379" t="s">
        <v>765</v>
      </c>
      <c r="E94" s="375"/>
      <c r="F94" s="375"/>
      <c r="G94" s="1264"/>
      <c r="H94" s="381"/>
      <c r="I94" s="375">
        <f>SUM(J94:N94)</f>
        <v>40000</v>
      </c>
      <c r="J94" s="388"/>
      <c r="K94" s="388"/>
      <c r="L94" s="388"/>
      <c r="M94" s="388"/>
      <c r="N94" s="389">
        <v>40000</v>
      </c>
    </row>
    <row r="95" spans="1:16" s="384" customFormat="1" ht="18" customHeight="1">
      <c r="A95" s="306">
        <v>88</v>
      </c>
      <c r="B95" s="380"/>
      <c r="C95" s="344"/>
      <c r="D95" s="379" t="s">
        <v>1022</v>
      </c>
      <c r="E95" s="375"/>
      <c r="F95" s="375"/>
      <c r="G95" s="1264"/>
      <c r="H95" s="381"/>
      <c r="I95" s="166">
        <f>SUM(J95:Q95)</f>
        <v>40000</v>
      </c>
      <c r="J95" s="386"/>
      <c r="K95" s="386"/>
      <c r="L95" s="386"/>
      <c r="M95" s="386"/>
      <c r="N95" s="389">
        <v>40000</v>
      </c>
    </row>
    <row r="96" spans="1:16" s="384" customFormat="1" ht="18" customHeight="1">
      <c r="A96" s="306">
        <v>89</v>
      </c>
      <c r="B96" s="380"/>
      <c r="C96" s="344"/>
      <c r="D96" s="374" t="s">
        <v>434</v>
      </c>
      <c r="E96" s="375">
        <v>20000</v>
      </c>
      <c r="F96" s="375">
        <v>20000</v>
      </c>
      <c r="G96" s="1264">
        <v>20000</v>
      </c>
      <c r="H96" s="381"/>
      <c r="I96" s="382"/>
      <c r="J96" s="378"/>
      <c r="K96" s="378"/>
      <c r="L96" s="378"/>
      <c r="M96" s="378"/>
      <c r="N96" s="383"/>
    </row>
    <row r="97" spans="1:14" s="384" customFormat="1" ht="18" customHeight="1">
      <c r="A97" s="306">
        <v>90</v>
      </c>
      <c r="B97" s="380"/>
      <c r="C97" s="344"/>
      <c r="D97" s="376" t="s">
        <v>198</v>
      </c>
      <c r="E97" s="375"/>
      <c r="F97" s="375"/>
      <c r="G97" s="1264"/>
      <c r="H97" s="381"/>
      <c r="I97" s="377">
        <f>SUM(J97:N97)</f>
        <v>20000</v>
      </c>
      <c r="J97" s="378"/>
      <c r="K97" s="378"/>
      <c r="L97" s="378"/>
      <c r="M97" s="378"/>
      <c r="N97" s="383">
        <v>20000</v>
      </c>
    </row>
    <row r="98" spans="1:14" s="384" customFormat="1" ht="18" customHeight="1">
      <c r="A98" s="306">
        <v>91</v>
      </c>
      <c r="B98" s="380"/>
      <c r="C98" s="344"/>
      <c r="D98" s="379" t="s">
        <v>765</v>
      </c>
      <c r="E98" s="375"/>
      <c r="F98" s="375"/>
      <c r="G98" s="1264"/>
      <c r="H98" s="381"/>
      <c r="I98" s="375">
        <f>SUM(J98:N98)</f>
        <v>20000</v>
      </c>
      <c r="J98" s="364"/>
      <c r="K98" s="364"/>
      <c r="L98" s="364"/>
      <c r="M98" s="364"/>
      <c r="N98" s="366">
        <v>20000</v>
      </c>
    </row>
    <row r="99" spans="1:14" s="384" customFormat="1" ht="18" customHeight="1">
      <c r="A99" s="306">
        <v>92</v>
      </c>
      <c r="B99" s="380"/>
      <c r="C99" s="344"/>
      <c r="D99" s="379" t="s">
        <v>1022</v>
      </c>
      <c r="E99" s="375"/>
      <c r="F99" s="375"/>
      <c r="G99" s="1264"/>
      <c r="H99" s="381"/>
      <c r="I99" s="166">
        <f>SUM(J99:Q99)</f>
        <v>20000</v>
      </c>
      <c r="J99" s="378"/>
      <c r="K99" s="378"/>
      <c r="L99" s="378"/>
      <c r="M99" s="378"/>
      <c r="N99" s="366">
        <v>20000</v>
      </c>
    </row>
    <row r="100" spans="1:14" s="384" customFormat="1" ht="18" customHeight="1">
      <c r="A100" s="306">
        <v>93</v>
      </c>
      <c r="B100" s="380"/>
      <c r="C100" s="344"/>
      <c r="D100" s="374" t="s">
        <v>435</v>
      </c>
      <c r="E100" s="375">
        <v>10000</v>
      </c>
      <c r="F100" s="375"/>
      <c r="G100" s="1264">
        <v>12000</v>
      </c>
      <c r="H100" s="381"/>
      <c r="I100" s="382"/>
      <c r="J100" s="378"/>
      <c r="K100" s="378"/>
      <c r="L100" s="378"/>
      <c r="M100" s="378"/>
      <c r="N100" s="383"/>
    </row>
    <row r="101" spans="1:14" s="384" customFormat="1" ht="18" customHeight="1">
      <c r="A101" s="306">
        <v>94</v>
      </c>
      <c r="B101" s="380"/>
      <c r="C101" s="344"/>
      <c r="D101" s="376" t="s">
        <v>198</v>
      </c>
      <c r="E101" s="375"/>
      <c r="F101" s="375"/>
      <c r="G101" s="1264"/>
      <c r="H101" s="381"/>
      <c r="I101" s="377">
        <f>SUM(J101:N101)</f>
        <v>10000</v>
      </c>
      <c r="J101" s="378"/>
      <c r="K101" s="378"/>
      <c r="L101" s="378"/>
      <c r="M101" s="378"/>
      <c r="N101" s="383">
        <v>10000</v>
      </c>
    </row>
    <row r="102" spans="1:14" s="384" customFormat="1" ht="18" customHeight="1">
      <c r="A102" s="306">
        <v>95</v>
      </c>
      <c r="B102" s="380"/>
      <c r="C102" s="344"/>
      <c r="D102" s="379" t="s">
        <v>765</v>
      </c>
      <c r="E102" s="375"/>
      <c r="F102" s="375"/>
      <c r="G102" s="1264"/>
      <c r="H102" s="381"/>
      <c r="I102" s="375">
        <f>SUM(J102:N102)</f>
        <v>10000</v>
      </c>
      <c r="J102" s="364"/>
      <c r="K102" s="364"/>
      <c r="L102" s="364"/>
      <c r="M102" s="364"/>
      <c r="N102" s="366">
        <v>10000</v>
      </c>
    </row>
    <row r="103" spans="1:14" s="384" customFormat="1" ht="18" customHeight="1">
      <c r="A103" s="306">
        <v>96</v>
      </c>
      <c r="B103" s="380"/>
      <c r="C103" s="344"/>
      <c r="D103" s="379" t="s">
        <v>1022</v>
      </c>
      <c r="E103" s="375"/>
      <c r="F103" s="375"/>
      <c r="G103" s="1264"/>
      <c r="H103" s="381"/>
      <c r="I103" s="166">
        <f>SUM(J103:Q103)</f>
        <v>10000</v>
      </c>
      <c r="J103" s="378"/>
      <c r="K103" s="378"/>
      <c r="L103" s="378"/>
      <c r="M103" s="378"/>
      <c r="N103" s="366">
        <v>10000</v>
      </c>
    </row>
    <row r="104" spans="1:14" s="384" customFormat="1" ht="18" customHeight="1">
      <c r="A104" s="306">
        <v>97</v>
      </c>
      <c r="B104" s="380"/>
      <c r="C104" s="344"/>
      <c r="D104" s="374" t="s">
        <v>436</v>
      </c>
      <c r="E104" s="375"/>
      <c r="F104" s="375"/>
      <c r="G104" s="1264"/>
      <c r="H104" s="381"/>
      <c r="I104" s="377"/>
      <c r="J104" s="378"/>
      <c r="K104" s="378"/>
      <c r="L104" s="378"/>
      <c r="M104" s="378"/>
      <c r="N104" s="383"/>
    </row>
    <row r="105" spans="1:14" s="384" customFormat="1" ht="18" customHeight="1">
      <c r="A105" s="306">
        <v>98</v>
      </c>
      <c r="B105" s="380"/>
      <c r="C105" s="344"/>
      <c r="D105" s="376" t="s">
        <v>198</v>
      </c>
      <c r="E105" s="375"/>
      <c r="F105" s="375"/>
      <c r="G105" s="1264"/>
      <c r="H105" s="381"/>
      <c r="I105" s="377">
        <f>SUM(J105:N105)</f>
        <v>10000</v>
      </c>
      <c r="J105" s="378"/>
      <c r="K105" s="378"/>
      <c r="L105" s="378"/>
      <c r="M105" s="378"/>
      <c r="N105" s="383">
        <v>10000</v>
      </c>
    </row>
    <row r="106" spans="1:14" s="384" customFormat="1" ht="18" customHeight="1">
      <c r="A106" s="306">
        <v>99</v>
      </c>
      <c r="B106" s="380"/>
      <c r="C106" s="344"/>
      <c r="D106" s="379" t="s">
        <v>765</v>
      </c>
      <c r="E106" s="375"/>
      <c r="F106" s="375"/>
      <c r="G106" s="1264"/>
      <c r="H106" s="381"/>
      <c r="I106" s="375">
        <f>SUM(J106:N106)</f>
        <v>0</v>
      </c>
      <c r="J106" s="364"/>
      <c r="K106" s="364"/>
      <c r="L106" s="364"/>
      <c r="M106" s="364"/>
      <c r="N106" s="366">
        <v>0</v>
      </c>
    </row>
    <row r="107" spans="1:14" s="384" customFormat="1" ht="18" customHeight="1">
      <c r="A107" s="306">
        <v>100</v>
      </c>
      <c r="B107" s="380"/>
      <c r="C107" s="344"/>
      <c r="D107" s="379" t="s">
        <v>1021</v>
      </c>
      <c r="E107" s="375"/>
      <c r="F107" s="375"/>
      <c r="G107" s="1264"/>
      <c r="H107" s="381"/>
      <c r="I107" s="166">
        <f>SUM(J107:Q107)</f>
        <v>0</v>
      </c>
      <c r="J107" s="378"/>
      <c r="K107" s="378"/>
      <c r="L107" s="378"/>
      <c r="M107" s="378"/>
      <c r="N107" s="366"/>
    </row>
    <row r="108" spans="1:14" s="384" customFormat="1" ht="18" customHeight="1">
      <c r="A108" s="306">
        <v>101</v>
      </c>
      <c r="B108" s="380"/>
      <c r="C108" s="344"/>
      <c r="D108" s="374" t="s">
        <v>437</v>
      </c>
      <c r="E108" s="375"/>
      <c r="F108" s="375"/>
      <c r="G108" s="1264"/>
      <c r="H108" s="381"/>
      <c r="I108" s="377"/>
      <c r="J108" s="378"/>
      <c r="K108" s="378"/>
      <c r="L108" s="378"/>
      <c r="M108" s="378"/>
      <c r="N108" s="383"/>
    </row>
    <row r="109" spans="1:14" s="384" customFormat="1" ht="18" customHeight="1">
      <c r="A109" s="306">
        <v>102</v>
      </c>
      <c r="B109" s="380"/>
      <c r="C109" s="344"/>
      <c r="D109" s="376" t="s">
        <v>198</v>
      </c>
      <c r="E109" s="375"/>
      <c r="F109" s="375"/>
      <c r="G109" s="1264"/>
      <c r="H109" s="381"/>
      <c r="I109" s="377">
        <f>SUM(J109:N109)</f>
        <v>22000</v>
      </c>
      <c r="J109" s="378"/>
      <c r="K109" s="378"/>
      <c r="L109" s="378"/>
      <c r="M109" s="378"/>
      <c r="N109" s="383">
        <v>22000</v>
      </c>
    </row>
    <row r="110" spans="1:14" s="384" customFormat="1" ht="18" customHeight="1">
      <c r="A110" s="306">
        <v>103</v>
      </c>
      <c r="B110" s="380"/>
      <c r="C110" s="344"/>
      <c r="D110" s="379" t="s">
        <v>765</v>
      </c>
      <c r="E110" s="375"/>
      <c r="F110" s="375"/>
      <c r="G110" s="1264"/>
      <c r="H110" s="381"/>
      <c r="I110" s="375">
        <f>SUM(J110:N110)</f>
        <v>0</v>
      </c>
      <c r="J110" s="364"/>
      <c r="K110" s="364"/>
      <c r="L110" s="364"/>
      <c r="M110" s="364"/>
      <c r="N110" s="366">
        <v>0</v>
      </c>
    </row>
    <row r="111" spans="1:14" s="384" customFormat="1" ht="18" customHeight="1">
      <c r="A111" s="306">
        <v>104</v>
      </c>
      <c r="B111" s="380"/>
      <c r="C111" s="344"/>
      <c r="D111" s="379" t="s">
        <v>1021</v>
      </c>
      <c r="E111" s="375"/>
      <c r="F111" s="375"/>
      <c r="G111" s="1264"/>
      <c r="H111" s="381"/>
      <c r="I111" s="166">
        <f>SUM(J111:Q111)</f>
        <v>0</v>
      </c>
      <c r="J111" s="378"/>
      <c r="K111" s="378"/>
      <c r="L111" s="378"/>
      <c r="M111" s="378"/>
      <c r="N111" s="366"/>
    </row>
    <row r="112" spans="1:14" s="384" customFormat="1" ht="18" customHeight="1">
      <c r="A112" s="306">
        <v>105</v>
      </c>
      <c r="B112" s="380"/>
      <c r="C112" s="344"/>
      <c r="D112" s="374" t="s">
        <v>438</v>
      </c>
      <c r="E112" s="375"/>
      <c r="F112" s="375"/>
      <c r="G112" s="1264"/>
      <c r="H112" s="381"/>
      <c r="I112" s="377"/>
      <c r="J112" s="378"/>
      <c r="K112" s="378"/>
      <c r="L112" s="378"/>
      <c r="M112" s="378"/>
      <c r="N112" s="383"/>
    </row>
    <row r="113" spans="1:16" s="384" customFormat="1" ht="18" customHeight="1">
      <c r="A113" s="306">
        <v>106</v>
      </c>
      <c r="B113" s="380"/>
      <c r="C113" s="344"/>
      <c r="D113" s="376" t="s">
        <v>198</v>
      </c>
      <c r="E113" s="375"/>
      <c r="F113" s="375"/>
      <c r="G113" s="1264"/>
      <c r="H113" s="381"/>
      <c r="I113" s="377">
        <f>SUM(J113:N113)</f>
        <v>11000</v>
      </c>
      <c r="J113" s="378"/>
      <c r="K113" s="378"/>
      <c r="L113" s="378"/>
      <c r="M113" s="378"/>
      <c r="N113" s="383">
        <v>11000</v>
      </c>
    </row>
    <row r="114" spans="1:16" s="384" customFormat="1" ht="18" customHeight="1">
      <c r="A114" s="306">
        <v>107</v>
      </c>
      <c r="B114" s="380"/>
      <c r="C114" s="344"/>
      <c r="D114" s="379" t="s">
        <v>765</v>
      </c>
      <c r="E114" s="375"/>
      <c r="F114" s="375"/>
      <c r="G114" s="1264"/>
      <c r="H114" s="381"/>
      <c r="I114" s="375">
        <f>SUM(J114:N114)</f>
        <v>0</v>
      </c>
      <c r="J114" s="364"/>
      <c r="K114" s="364"/>
      <c r="L114" s="364"/>
      <c r="M114" s="364"/>
      <c r="N114" s="366">
        <v>0</v>
      </c>
    </row>
    <row r="115" spans="1:16" s="384" customFormat="1" ht="18" customHeight="1">
      <c r="A115" s="306">
        <v>108</v>
      </c>
      <c r="B115" s="380"/>
      <c r="C115" s="344"/>
      <c r="D115" s="379" t="s">
        <v>1021</v>
      </c>
      <c r="E115" s="375"/>
      <c r="F115" s="375"/>
      <c r="G115" s="1264"/>
      <c r="H115" s="381"/>
      <c r="I115" s="166">
        <f>SUM(J115:Q115)</f>
        <v>0</v>
      </c>
      <c r="J115" s="378"/>
      <c r="K115" s="378"/>
      <c r="L115" s="378"/>
      <c r="M115" s="378"/>
      <c r="N115" s="366"/>
    </row>
    <row r="116" spans="1:16" s="384" customFormat="1" ht="18" customHeight="1">
      <c r="A116" s="306">
        <v>109</v>
      </c>
      <c r="B116" s="380"/>
      <c r="C116" s="344"/>
      <c r="D116" s="374" t="s">
        <v>439</v>
      </c>
      <c r="E116" s="375"/>
      <c r="F116" s="375"/>
      <c r="G116" s="1264"/>
      <c r="H116" s="381"/>
      <c r="I116" s="161"/>
      <c r="J116" s="378"/>
      <c r="K116" s="378"/>
      <c r="L116" s="378"/>
      <c r="M116" s="378"/>
      <c r="N116" s="366"/>
    </row>
    <row r="117" spans="1:16" s="384" customFormat="1" ht="18" customHeight="1">
      <c r="A117" s="306">
        <v>110</v>
      </c>
      <c r="B117" s="380"/>
      <c r="C117" s="344"/>
      <c r="D117" s="379" t="s">
        <v>765</v>
      </c>
      <c r="E117" s="375"/>
      <c r="F117" s="375"/>
      <c r="G117" s="1264"/>
      <c r="H117" s="381"/>
      <c r="I117" s="375">
        <f>SUM(J117:N117)</f>
        <v>0</v>
      </c>
      <c r="J117" s="378"/>
      <c r="K117" s="378"/>
      <c r="L117" s="378"/>
      <c r="M117" s="378"/>
      <c r="N117" s="366">
        <v>0</v>
      </c>
    </row>
    <row r="118" spans="1:16" s="384" customFormat="1" ht="18" customHeight="1">
      <c r="A118" s="306">
        <v>111</v>
      </c>
      <c r="B118" s="380"/>
      <c r="C118" s="344"/>
      <c r="D118" s="379" t="s">
        <v>1021</v>
      </c>
      <c r="E118" s="375"/>
      <c r="F118" s="375"/>
      <c r="G118" s="1264"/>
      <c r="H118" s="381"/>
      <c r="I118" s="166">
        <f>SUM(J118:Q118)</f>
        <v>0</v>
      </c>
      <c r="J118" s="378"/>
      <c r="K118" s="378"/>
      <c r="L118" s="378"/>
      <c r="M118" s="378"/>
      <c r="N118" s="366"/>
    </row>
    <row r="119" spans="1:16" s="384" customFormat="1" ht="22.5" customHeight="1">
      <c r="A119" s="306">
        <v>112</v>
      </c>
      <c r="B119" s="380"/>
      <c r="C119" s="344">
        <v>8</v>
      </c>
      <c r="D119" s="358" t="s">
        <v>440</v>
      </c>
      <c r="E119" s="375"/>
      <c r="F119" s="375"/>
      <c r="G119" s="1264"/>
      <c r="H119" s="346" t="s">
        <v>231</v>
      </c>
      <c r="I119" s="377"/>
      <c r="J119" s="378"/>
      <c r="K119" s="378"/>
      <c r="L119" s="378"/>
      <c r="M119" s="378"/>
      <c r="N119" s="383"/>
    </row>
    <row r="120" spans="1:16" s="384" customFormat="1" ht="18" customHeight="1">
      <c r="A120" s="306">
        <v>113</v>
      </c>
      <c r="B120" s="380"/>
      <c r="C120" s="344"/>
      <c r="D120" s="345" t="s">
        <v>198</v>
      </c>
      <c r="E120" s="375"/>
      <c r="F120" s="375"/>
      <c r="G120" s="1264"/>
      <c r="H120" s="381"/>
      <c r="I120" s="347">
        <f>SUM(J120:N120)</f>
        <v>9300</v>
      </c>
      <c r="J120" s="378"/>
      <c r="K120" s="378"/>
      <c r="L120" s="378"/>
      <c r="M120" s="378"/>
      <c r="N120" s="360">
        <v>9300</v>
      </c>
    </row>
    <row r="121" spans="1:16" s="384" customFormat="1" ht="18" customHeight="1">
      <c r="A121" s="306">
        <v>114</v>
      </c>
      <c r="B121" s="380"/>
      <c r="C121" s="344"/>
      <c r="D121" s="163" t="s">
        <v>765</v>
      </c>
      <c r="E121" s="375"/>
      <c r="F121" s="375"/>
      <c r="G121" s="1264"/>
      <c r="H121" s="381"/>
      <c r="I121" s="340">
        <f>SUM(J121:N121)</f>
        <v>9300</v>
      </c>
      <c r="J121" s="364"/>
      <c r="K121" s="364"/>
      <c r="L121" s="364"/>
      <c r="M121" s="364"/>
      <c r="N121" s="363">
        <v>9300</v>
      </c>
    </row>
    <row r="122" spans="1:16" s="384" customFormat="1" ht="18" customHeight="1">
      <c r="A122" s="306">
        <v>115</v>
      </c>
      <c r="B122" s="380"/>
      <c r="C122" s="344"/>
      <c r="D122" s="165" t="s">
        <v>1022</v>
      </c>
      <c r="E122" s="375"/>
      <c r="F122" s="375"/>
      <c r="G122" s="1264"/>
      <c r="H122" s="381"/>
      <c r="I122" s="166">
        <f>SUM(J122:Q122)</f>
        <v>9300</v>
      </c>
      <c r="J122" s="378"/>
      <c r="K122" s="378"/>
      <c r="L122" s="378"/>
      <c r="M122" s="378"/>
      <c r="N122" s="366">
        <v>9300</v>
      </c>
    </row>
    <row r="123" spans="1:16" s="307" customFormat="1" ht="22.5" customHeight="1">
      <c r="A123" s="306">
        <v>116</v>
      </c>
      <c r="B123" s="357"/>
      <c r="C123" s="344">
        <v>9</v>
      </c>
      <c r="D123" s="358" t="s">
        <v>14</v>
      </c>
      <c r="E123" s="1258"/>
      <c r="F123" s="1258">
        <v>11300</v>
      </c>
      <c r="G123" s="1259">
        <v>7547</v>
      </c>
      <c r="H123" s="346" t="s">
        <v>231</v>
      </c>
      <c r="I123" s="347"/>
      <c r="J123" s="348"/>
      <c r="K123" s="348"/>
      <c r="L123" s="348"/>
      <c r="M123" s="348"/>
      <c r="N123" s="350"/>
      <c r="P123" s="351"/>
    </row>
    <row r="124" spans="1:16" s="351" customFormat="1" ht="18" customHeight="1">
      <c r="A124" s="306">
        <v>117</v>
      </c>
      <c r="B124" s="343"/>
      <c r="C124" s="344"/>
      <c r="D124" s="345" t="s">
        <v>198</v>
      </c>
      <c r="F124" s="1260"/>
      <c r="H124" s="346"/>
      <c r="I124" s="347">
        <f>SUM(J124:N124)</f>
        <v>35253</v>
      </c>
      <c r="J124" s="348"/>
      <c r="K124" s="348"/>
      <c r="L124" s="349">
        <f>18000+9253+8000</f>
        <v>35253</v>
      </c>
      <c r="M124" s="348"/>
      <c r="N124" s="350"/>
    </row>
    <row r="125" spans="1:16" s="351" customFormat="1" ht="18" customHeight="1">
      <c r="A125" s="306">
        <v>118</v>
      </c>
      <c r="B125" s="343"/>
      <c r="C125" s="344"/>
      <c r="D125" s="163" t="s">
        <v>765</v>
      </c>
      <c r="E125" s="1261"/>
      <c r="F125" s="1260"/>
      <c r="G125" s="1265"/>
      <c r="H125" s="346"/>
      <c r="I125" s="340">
        <f>SUM(J125:N125)</f>
        <v>35253</v>
      </c>
      <c r="J125" s="362">
        <v>7494</v>
      </c>
      <c r="K125" s="362">
        <v>4051</v>
      </c>
      <c r="L125" s="362">
        <v>23708</v>
      </c>
      <c r="M125" s="348"/>
      <c r="N125" s="350"/>
    </row>
    <row r="126" spans="1:16" s="351" customFormat="1" ht="18" customHeight="1">
      <c r="A126" s="306">
        <v>119</v>
      </c>
      <c r="B126" s="343"/>
      <c r="C126" s="344"/>
      <c r="D126" s="165" t="s">
        <v>1021</v>
      </c>
      <c r="E126" s="1261"/>
      <c r="F126" s="1261"/>
      <c r="G126" s="1262"/>
      <c r="H126" s="346"/>
      <c r="I126" s="166">
        <f>SUM(J126:Q126)</f>
        <v>24165</v>
      </c>
      <c r="J126" s="364">
        <v>7118</v>
      </c>
      <c r="K126" s="364">
        <v>1429</v>
      </c>
      <c r="L126" s="364">
        <v>15618</v>
      </c>
      <c r="M126" s="348"/>
      <c r="N126" s="350"/>
    </row>
    <row r="127" spans="1:16" s="307" customFormat="1" ht="22.5" customHeight="1">
      <c r="A127" s="306">
        <v>120</v>
      </c>
      <c r="B127" s="357"/>
      <c r="C127" s="344">
        <v>10</v>
      </c>
      <c r="D127" s="358" t="s">
        <v>13</v>
      </c>
      <c r="E127" s="1258">
        <v>10545</v>
      </c>
      <c r="F127" s="1258">
        <v>7344</v>
      </c>
      <c r="G127" s="1259">
        <v>7988</v>
      </c>
      <c r="H127" s="346" t="s">
        <v>231</v>
      </c>
      <c r="I127" s="347"/>
      <c r="J127" s="348"/>
      <c r="K127" s="348"/>
      <c r="L127" s="348"/>
      <c r="M127" s="348"/>
      <c r="N127" s="350"/>
      <c r="P127" s="351"/>
    </row>
    <row r="128" spans="1:16" s="351" customFormat="1" ht="18" customHeight="1">
      <c r="A128" s="306">
        <v>121</v>
      </c>
      <c r="B128" s="343"/>
      <c r="C128" s="344"/>
      <c r="D128" s="345" t="s">
        <v>198</v>
      </c>
      <c r="E128" s="1258"/>
      <c r="F128" s="1258"/>
      <c r="G128" s="1259"/>
      <c r="H128" s="346"/>
      <c r="I128" s="347">
        <f>SUM(J128:N128)</f>
        <v>16516</v>
      </c>
      <c r="J128" s="349">
        <v>3006</v>
      </c>
      <c r="K128" s="349">
        <v>1242</v>
      </c>
      <c r="L128" s="349">
        <f>10752+1516</f>
        <v>12268</v>
      </c>
      <c r="M128" s="348"/>
      <c r="N128" s="350"/>
    </row>
    <row r="129" spans="1:16" s="351" customFormat="1" ht="18" customHeight="1">
      <c r="A129" s="306">
        <v>122</v>
      </c>
      <c r="B129" s="343"/>
      <c r="C129" s="344"/>
      <c r="D129" s="163" t="s">
        <v>765</v>
      </c>
      <c r="E129" s="1258"/>
      <c r="F129" s="1258"/>
      <c r="G129" s="1259"/>
      <c r="H129" s="339"/>
      <c r="I129" s="340">
        <f>SUM(J129:N129)</f>
        <v>14415</v>
      </c>
      <c r="J129" s="362">
        <v>3506</v>
      </c>
      <c r="K129" s="362">
        <v>1407</v>
      </c>
      <c r="L129" s="362">
        <v>9502</v>
      </c>
      <c r="M129" s="348"/>
      <c r="N129" s="350"/>
    </row>
    <row r="130" spans="1:16" s="351" customFormat="1" ht="18" customHeight="1">
      <c r="A130" s="306">
        <v>123</v>
      </c>
      <c r="B130" s="343"/>
      <c r="C130" s="344"/>
      <c r="D130" s="165" t="s">
        <v>1023</v>
      </c>
      <c r="E130" s="1258"/>
      <c r="F130" s="1258"/>
      <c r="G130" s="1259"/>
      <c r="H130" s="339"/>
      <c r="I130" s="166">
        <f>SUM(J130:Q130)</f>
        <v>9404</v>
      </c>
      <c r="J130" s="364">
        <v>1768</v>
      </c>
      <c r="K130" s="364">
        <v>655</v>
      </c>
      <c r="L130" s="364">
        <v>6981</v>
      </c>
      <c r="M130" s="348"/>
      <c r="N130" s="350"/>
    </row>
    <row r="131" spans="1:16" s="307" customFormat="1" ht="22.5" customHeight="1">
      <c r="A131" s="306">
        <v>124</v>
      </c>
      <c r="B131" s="357"/>
      <c r="C131" s="344">
        <v>11</v>
      </c>
      <c r="D131" s="358" t="s">
        <v>441</v>
      </c>
      <c r="E131" s="1258">
        <v>254</v>
      </c>
      <c r="F131" s="1258">
        <v>2127</v>
      </c>
      <c r="G131" s="1259">
        <v>536</v>
      </c>
      <c r="H131" s="339" t="s">
        <v>231</v>
      </c>
      <c r="I131" s="347"/>
      <c r="J131" s="348"/>
      <c r="K131" s="348"/>
      <c r="L131" s="348"/>
      <c r="M131" s="348"/>
      <c r="N131" s="350"/>
      <c r="P131" s="351"/>
    </row>
    <row r="132" spans="1:16" s="307" customFormat="1" ht="18" customHeight="1">
      <c r="A132" s="306">
        <v>125</v>
      </c>
      <c r="B132" s="357"/>
      <c r="C132" s="344"/>
      <c r="D132" s="345" t="s">
        <v>198</v>
      </c>
      <c r="E132" s="1258"/>
      <c r="F132" s="1258"/>
      <c r="G132" s="1259"/>
      <c r="H132" s="339"/>
      <c r="I132" s="347">
        <f>SUM(J132:N132)</f>
        <v>15441</v>
      </c>
      <c r="J132" s="348"/>
      <c r="K132" s="348"/>
      <c r="L132" s="349">
        <f>10700+1591</f>
        <v>12291</v>
      </c>
      <c r="M132" s="348"/>
      <c r="N132" s="360">
        <v>3150</v>
      </c>
      <c r="P132" s="351"/>
    </row>
    <row r="133" spans="1:16" s="307" customFormat="1" ht="18" customHeight="1">
      <c r="A133" s="306">
        <v>126</v>
      </c>
      <c r="B133" s="357"/>
      <c r="C133" s="344"/>
      <c r="D133" s="163" t="s">
        <v>765</v>
      </c>
      <c r="E133" s="1258"/>
      <c r="F133" s="1258"/>
      <c r="G133" s="1259"/>
      <c r="H133" s="339"/>
      <c r="I133" s="340">
        <f>SUM(J133:N133)</f>
        <v>15441</v>
      </c>
      <c r="J133" s="361"/>
      <c r="K133" s="361"/>
      <c r="L133" s="362">
        <v>12291</v>
      </c>
      <c r="M133" s="361"/>
      <c r="N133" s="363">
        <v>3150</v>
      </c>
      <c r="P133" s="351"/>
    </row>
    <row r="134" spans="1:16" s="307" customFormat="1" ht="18" customHeight="1">
      <c r="A134" s="306">
        <v>127</v>
      </c>
      <c r="B134" s="357"/>
      <c r="C134" s="344"/>
      <c r="D134" s="165" t="s">
        <v>1022</v>
      </c>
      <c r="E134" s="1258"/>
      <c r="F134" s="1258"/>
      <c r="G134" s="1259"/>
      <c r="H134" s="339"/>
      <c r="I134" s="166">
        <f>SUM(J134:Q134)</f>
        <v>468</v>
      </c>
      <c r="J134" s="348"/>
      <c r="K134" s="348"/>
      <c r="L134" s="364">
        <v>468</v>
      </c>
      <c r="M134" s="348"/>
      <c r="N134" s="360"/>
      <c r="P134" s="351"/>
    </row>
    <row r="135" spans="1:16" s="307" customFormat="1" ht="22.5" customHeight="1">
      <c r="A135" s="306">
        <v>128</v>
      </c>
      <c r="B135" s="357"/>
      <c r="C135" s="344">
        <v>13</v>
      </c>
      <c r="D135" s="358" t="s">
        <v>442</v>
      </c>
      <c r="E135" s="1258">
        <f>SUM(E139,E143,E155,E156)</f>
        <v>3500</v>
      </c>
      <c r="F135" s="1258">
        <f>SUM(F139,F143,F155,F156)</f>
        <v>2000</v>
      </c>
      <c r="G135" s="1259">
        <f>SUM(G139,G143,G155,G156)+5199</f>
        <v>9199</v>
      </c>
      <c r="H135" s="346" t="s">
        <v>231</v>
      </c>
      <c r="I135" s="347"/>
      <c r="J135" s="348"/>
      <c r="K135" s="348"/>
      <c r="L135" s="348"/>
      <c r="M135" s="348"/>
      <c r="N135" s="350"/>
      <c r="P135" s="351"/>
    </row>
    <row r="136" spans="1:16" s="307" customFormat="1" ht="18" customHeight="1">
      <c r="A136" s="306">
        <v>129</v>
      </c>
      <c r="B136" s="357"/>
      <c r="C136" s="344"/>
      <c r="D136" s="345" t="s">
        <v>198</v>
      </c>
      <c r="E136" s="1258"/>
      <c r="F136" s="1258"/>
      <c r="G136" s="1259"/>
      <c r="H136" s="346"/>
      <c r="I136" s="347">
        <f>SUM(J136:N136)</f>
        <v>29241</v>
      </c>
      <c r="J136" s="349">
        <f t="shared" ref="J136:N137" si="1">J144+J140+J158+J166+J170+J174+J178+J182+J162+J148+J152</f>
        <v>0</v>
      </c>
      <c r="K136" s="349">
        <f t="shared" si="1"/>
        <v>0</v>
      </c>
      <c r="L136" s="349">
        <f t="shared" si="1"/>
        <v>1441</v>
      </c>
      <c r="M136" s="349">
        <f t="shared" si="1"/>
        <v>0</v>
      </c>
      <c r="N136" s="360">
        <f t="shared" si="1"/>
        <v>27800</v>
      </c>
      <c r="P136" s="351"/>
    </row>
    <row r="137" spans="1:16" s="307" customFormat="1" ht="18" customHeight="1">
      <c r="A137" s="306">
        <v>130</v>
      </c>
      <c r="B137" s="357"/>
      <c r="C137" s="344"/>
      <c r="D137" s="163" t="s">
        <v>765</v>
      </c>
      <c r="E137" s="1258"/>
      <c r="F137" s="1258"/>
      <c r="G137" s="1259"/>
      <c r="H137" s="346"/>
      <c r="I137" s="340">
        <f>SUM(J137:N137)</f>
        <v>16741</v>
      </c>
      <c r="J137" s="362">
        <f t="shared" si="1"/>
        <v>0</v>
      </c>
      <c r="K137" s="362">
        <f t="shared" si="1"/>
        <v>0</v>
      </c>
      <c r="L137" s="362">
        <f t="shared" si="1"/>
        <v>1441</v>
      </c>
      <c r="M137" s="362">
        <f t="shared" si="1"/>
        <v>0</v>
      </c>
      <c r="N137" s="363">
        <f t="shared" si="1"/>
        <v>15300</v>
      </c>
      <c r="P137" s="351"/>
    </row>
    <row r="138" spans="1:16" s="307" customFormat="1" ht="18" customHeight="1">
      <c r="A138" s="306">
        <v>131</v>
      </c>
      <c r="B138" s="357"/>
      <c r="C138" s="344"/>
      <c r="D138" s="165" t="s">
        <v>1022</v>
      </c>
      <c r="E138" s="1258"/>
      <c r="F138" s="1258"/>
      <c r="G138" s="1259"/>
      <c r="H138" s="346"/>
      <c r="I138" s="166">
        <f>SUM(J138:Q138)</f>
        <v>12531</v>
      </c>
      <c r="J138" s="364">
        <f>J142+J146+J150+J154+J160+J164+J168+J172+J176+J180+J184</f>
        <v>0</v>
      </c>
      <c r="K138" s="364">
        <f>K142+K146+K150+K154+K160+K164+K168+K172+K176+K180+K184</f>
        <v>0</v>
      </c>
      <c r="L138" s="364">
        <f>L142+L146+L150+L154+L160+L164+L168+L172+L176+L180+L184</f>
        <v>1431</v>
      </c>
      <c r="M138" s="364">
        <f>M142+M146+M150+M154+M160+M164+M168+M172+M176+M180+M184</f>
        <v>0</v>
      </c>
      <c r="N138" s="366">
        <f>N142+N146+N150+N154+N160+N164+N168+N172+N176+N180+N184</f>
        <v>11100</v>
      </c>
      <c r="P138" s="351"/>
    </row>
    <row r="139" spans="1:16" s="384" customFormat="1" ht="18" customHeight="1">
      <c r="A139" s="306">
        <v>132</v>
      </c>
      <c r="B139" s="380"/>
      <c r="C139" s="344"/>
      <c r="D139" s="390" t="s">
        <v>443</v>
      </c>
      <c r="E139" s="375"/>
      <c r="F139" s="375"/>
      <c r="G139" s="1264"/>
      <c r="H139" s="381"/>
      <c r="I139" s="382"/>
      <c r="J139" s="378"/>
      <c r="K139" s="378"/>
      <c r="L139" s="378"/>
      <c r="M139" s="378"/>
      <c r="N139" s="383"/>
    </row>
    <row r="140" spans="1:16" s="384" customFormat="1" ht="18" customHeight="1">
      <c r="A140" s="306">
        <v>133</v>
      </c>
      <c r="B140" s="380"/>
      <c r="C140" s="344"/>
      <c r="D140" s="391" t="s">
        <v>198</v>
      </c>
      <c r="E140" s="375"/>
      <c r="F140" s="375"/>
      <c r="G140" s="1264"/>
      <c r="H140" s="381"/>
      <c r="I140" s="377">
        <f>SUM(J140:N140)</f>
        <v>2500</v>
      </c>
      <c r="J140" s="378"/>
      <c r="K140" s="378"/>
      <c r="L140" s="378"/>
      <c r="M140" s="378"/>
      <c r="N140" s="383">
        <v>2500</v>
      </c>
    </row>
    <row r="141" spans="1:16" s="384" customFormat="1" ht="18" customHeight="1">
      <c r="A141" s="306">
        <v>134</v>
      </c>
      <c r="B141" s="380"/>
      <c r="C141" s="344"/>
      <c r="D141" s="379" t="s">
        <v>765</v>
      </c>
      <c r="E141" s="375"/>
      <c r="F141" s="375"/>
      <c r="G141" s="1264"/>
      <c r="H141" s="381"/>
      <c r="I141" s="375">
        <f>SUM(J141:N141)</f>
        <v>0</v>
      </c>
      <c r="J141" s="364"/>
      <c r="K141" s="364"/>
      <c r="L141" s="364"/>
      <c r="M141" s="364"/>
      <c r="N141" s="366">
        <v>0</v>
      </c>
    </row>
    <row r="142" spans="1:16" s="384" customFormat="1" ht="18" customHeight="1">
      <c r="A142" s="306">
        <v>135</v>
      </c>
      <c r="B142" s="380"/>
      <c r="C142" s="344"/>
      <c r="D142" s="379" t="s">
        <v>1021</v>
      </c>
      <c r="E142" s="375"/>
      <c r="F142" s="375"/>
      <c r="G142" s="1264"/>
      <c r="H142" s="381"/>
      <c r="I142" s="166">
        <f>SUM(J142:Q142)</f>
        <v>0</v>
      </c>
      <c r="J142" s="378"/>
      <c r="K142" s="378"/>
      <c r="L142" s="378"/>
      <c r="M142" s="378"/>
      <c r="N142" s="366"/>
    </row>
    <row r="143" spans="1:16" s="384" customFormat="1" ht="18" customHeight="1">
      <c r="A143" s="306">
        <v>136</v>
      </c>
      <c r="B143" s="380"/>
      <c r="C143" s="344"/>
      <c r="D143" s="390" t="s">
        <v>444</v>
      </c>
      <c r="E143" s="375">
        <v>2000</v>
      </c>
      <c r="F143" s="375">
        <v>1500</v>
      </c>
      <c r="G143" s="1264">
        <v>4000</v>
      </c>
      <c r="H143" s="381"/>
      <c r="I143" s="385"/>
      <c r="J143" s="386"/>
      <c r="K143" s="386"/>
      <c r="L143" s="386"/>
      <c r="M143" s="386"/>
      <c r="N143" s="387"/>
    </row>
    <row r="144" spans="1:16" s="384" customFormat="1" ht="18" customHeight="1">
      <c r="A144" s="306">
        <v>137</v>
      </c>
      <c r="B144" s="380"/>
      <c r="C144" s="344"/>
      <c r="D144" s="391" t="s">
        <v>198</v>
      </c>
      <c r="E144" s="375"/>
      <c r="F144" s="375"/>
      <c r="G144" s="1264"/>
      <c r="H144" s="381"/>
      <c r="I144" s="377">
        <f>SUM(J144:N144)</f>
        <v>4000</v>
      </c>
      <c r="J144" s="386"/>
      <c r="K144" s="386"/>
      <c r="L144" s="386"/>
      <c r="M144" s="386"/>
      <c r="N144" s="387">
        <v>4000</v>
      </c>
    </row>
    <row r="145" spans="1:14" s="384" customFormat="1" ht="18" customHeight="1">
      <c r="A145" s="306">
        <v>138</v>
      </c>
      <c r="B145" s="380"/>
      <c r="C145" s="344"/>
      <c r="D145" s="379" t="s">
        <v>765</v>
      </c>
      <c r="E145" s="375"/>
      <c r="F145" s="375"/>
      <c r="G145" s="1264"/>
      <c r="H145" s="381"/>
      <c r="I145" s="375">
        <f>SUM(J145:N145)</f>
        <v>4000</v>
      </c>
      <c r="J145" s="388"/>
      <c r="K145" s="388"/>
      <c r="L145" s="388"/>
      <c r="M145" s="388"/>
      <c r="N145" s="389">
        <v>4000</v>
      </c>
    </row>
    <row r="146" spans="1:14" s="384" customFormat="1" ht="18" customHeight="1">
      <c r="A146" s="306">
        <v>139</v>
      </c>
      <c r="B146" s="380"/>
      <c r="C146" s="344"/>
      <c r="D146" s="379" t="s">
        <v>1022</v>
      </c>
      <c r="E146" s="375"/>
      <c r="F146" s="375"/>
      <c r="G146" s="1264"/>
      <c r="H146" s="381"/>
      <c r="I146" s="166">
        <f>SUM(J146:Q146)</f>
        <v>4000</v>
      </c>
      <c r="J146" s="386"/>
      <c r="K146" s="386"/>
      <c r="L146" s="386"/>
      <c r="M146" s="386"/>
      <c r="N146" s="389">
        <v>4000</v>
      </c>
    </row>
    <row r="147" spans="1:14" s="384" customFormat="1" ht="18" customHeight="1">
      <c r="A147" s="306">
        <v>140</v>
      </c>
      <c r="B147" s="380"/>
      <c r="C147" s="344"/>
      <c r="D147" s="390" t="s">
        <v>445</v>
      </c>
      <c r="E147" s="375"/>
      <c r="F147" s="375"/>
      <c r="G147" s="1264"/>
      <c r="H147" s="381"/>
      <c r="I147" s="377"/>
      <c r="J147" s="386"/>
      <c r="K147" s="386"/>
      <c r="L147" s="386"/>
      <c r="M147" s="386"/>
      <c r="N147" s="387"/>
    </row>
    <row r="148" spans="1:14" s="384" customFormat="1" ht="18" customHeight="1">
      <c r="A148" s="306">
        <v>141</v>
      </c>
      <c r="B148" s="380"/>
      <c r="C148" s="344"/>
      <c r="D148" s="391" t="s">
        <v>198</v>
      </c>
      <c r="E148" s="375"/>
      <c r="F148" s="375"/>
      <c r="G148" s="1264"/>
      <c r="H148" s="381"/>
      <c r="I148" s="377">
        <f>SUM(J148:N148)</f>
        <v>1500</v>
      </c>
      <c r="J148" s="386"/>
      <c r="K148" s="386"/>
      <c r="L148" s="386"/>
      <c r="M148" s="386"/>
      <c r="N148" s="387">
        <v>1500</v>
      </c>
    </row>
    <row r="149" spans="1:14" s="384" customFormat="1" ht="18" customHeight="1">
      <c r="A149" s="306">
        <v>142</v>
      </c>
      <c r="B149" s="380"/>
      <c r="C149" s="344"/>
      <c r="D149" s="379" t="s">
        <v>765</v>
      </c>
      <c r="E149" s="375"/>
      <c r="F149" s="375"/>
      <c r="G149" s="1264"/>
      <c r="H149" s="381"/>
      <c r="I149" s="375">
        <f>SUM(J149:N149)</f>
        <v>1500</v>
      </c>
      <c r="J149" s="388"/>
      <c r="K149" s="388"/>
      <c r="L149" s="388"/>
      <c r="M149" s="388"/>
      <c r="N149" s="389">
        <v>1500</v>
      </c>
    </row>
    <row r="150" spans="1:14" s="384" customFormat="1" ht="18" customHeight="1">
      <c r="A150" s="306">
        <v>143</v>
      </c>
      <c r="B150" s="380"/>
      <c r="C150" s="344"/>
      <c r="D150" s="379" t="s">
        <v>1022</v>
      </c>
      <c r="E150" s="375"/>
      <c r="F150" s="375"/>
      <c r="G150" s="1264"/>
      <c r="H150" s="381"/>
      <c r="I150" s="166">
        <f>SUM(J150:Q150)</f>
        <v>1500</v>
      </c>
      <c r="J150" s="386"/>
      <c r="K150" s="386"/>
      <c r="L150" s="386"/>
      <c r="M150" s="386"/>
      <c r="N150" s="389">
        <v>1500</v>
      </c>
    </row>
    <row r="151" spans="1:14" s="384" customFormat="1" ht="18" customHeight="1">
      <c r="A151" s="306">
        <v>144</v>
      </c>
      <c r="B151" s="380"/>
      <c r="C151" s="344"/>
      <c r="D151" s="390" t="s">
        <v>446</v>
      </c>
      <c r="E151" s="375"/>
      <c r="F151" s="375"/>
      <c r="G151" s="1264"/>
      <c r="H151" s="381"/>
      <c r="I151" s="377"/>
      <c r="J151" s="386"/>
      <c r="K151" s="386"/>
      <c r="L151" s="386"/>
      <c r="M151" s="386"/>
      <c r="N151" s="387"/>
    </row>
    <row r="152" spans="1:14" s="384" customFormat="1" ht="18" customHeight="1">
      <c r="A152" s="306">
        <v>145</v>
      </c>
      <c r="B152" s="380"/>
      <c r="C152" s="344"/>
      <c r="D152" s="391" t="s">
        <v>198</v>
      </c>
      <c r="E152" s="375"/>
      <c r="F152" s="375"/>
      <c r="G152" s="1264"/>
      <c r="H152" s="381"/>
      <c r="I152" s="377">
        <f>SUM(J152:N152)</f>
        <v>2200</v>
      </c>
      <c r="J152" s="386"/>
      <c r="K152" s="386"/>
      <c r="L152" s="386"/>
      <c r="M152" s="386"/>
      <c r="N152" s="387">
        <v>2200</v>
      </c>
    </row>
    <row r="153" spans="1:14" s="384" customFormat="1" ht="18" customHeight="1">
      <c r="A153" s="306">
        <v>146</v>
      </c>
      <c r="B153" s="380"/>
      <c r="C153" s="344"/>
      <c r="D153" s="379" t="s">
        <v>765</v>
      </c>
      <c r="E153" s="375"/>
      <c r="F153" s="375"/>
      <c r="G153" s="1264"/>
      <c r="H153" s="381"/>
      <c r="I153" s="375">
        <f>SUM(J153:N153)</f>
        <v>2200</v>
      </c>
      <c r="J153" s="388"/>
      <c r="K153" s="388"/>
      <c r="L153" s="388"/>
      <c r="M153" s="388"/>
      <c r="N153" s="389">
        <v>2200</v>
      </c>
    </row>
    <row r="154" spans="1:14" s="384" customFormat="1" ht="18" customHeight="1">
      <c r="A154" s="306">
        <v>147</v>
      </c>
      <c r="B154" s="380"/>
      <c r="C154" s="344"/>
      <c r="D154" s="379" t="s">
        <v>1022</v>
      </c>
      <c r="E154" s="375"/>
      <c r="F154" s="375"/>
      <c r="G154" s="1264"/>
      <c r="H154" s="381"/>
      <c r="I154" s="166">
        <f>SUM(J154:Q154)</f>
        <v>2200</v>
      </c>
      <c r="J154" s="386"/>
      <c r="K154" s="386"/>
      <c r="L154" s="386"/>
      <c r="M154" s="386"/>
      <c r="N154" s="389">
        <v>2200</v>
      </c>
    </row>
    <row r="155" spans="1:14" s="384" customFormat="1" ht="18" customHeight="1">
      <c r="A155" s="306">
        <v>148</v>
      </c>
      <c r="B155" s="380"/>
      <c r="C155" s="344"/>
      <c r="D155" s="390" t="s">
        <v>447</v>
      </c>
      <c r="E155" s="375">
        <v>500</v>
      </c>
      <c r="F155" s="375">
        <v>500</v>
      </c>
      <c r="G155" s="1264"/>
      <c r="H155" s="381"/>
      <c r="I155" s="377"/>
      <c r="J155" s="378"/>
      <c r="K155" s="378"/>
      <c r="L155" s="378"/>
      <c r="M155" s="378"/>
      <c r="N155" s="383"/>
    </row>
    <row r="156" spans="1:14" s="384" customFormat="1" ht="18" customHeight="1">
      <c r="A156" s="306">
        <v>149</v>
      </c>
      <c r="B156" s="380"/>
      <c r="C156" s="344"/>
      <c r="D156" s="390" t="s">
        <v>448</v>
      </c>
      <c r="E156" s="375">
        <v>1000</v>
      </c>
      <c r="F156" s="375"/>
      <c r="G156" s="1264"/>
      <c r="H156" s="381"/>
      <c r="I156" s="382"/>
      <c r="J156" s="378"/>
      <c r="K156" s="378"/>
      <c r="L156" s="378"/>
      <c r="M156" s="378"/>
      <c r="N156" s="383"/>
    </row>
    <row r="157" spans="1:14" s="384" customFormat="1" ht="18" customHeight="1">
      <c r="A157" s="306">
        <v>150</v>
      </c>
      <c r="B157" s="380"/>
      <c r="C157" s="344"/>
      <c r="D157" s="390" t="s">
        <v>449</v>
      </c>
      <c r="E157" s="375"/>
      <c r="F157" s="375"/>
      <c r="G157" s="1264"/>
      <c r="H157" s="381"/>
      <c r="I157" s="377"/>
      <c r="J157" s="378"/>
      <c r="K157" s="378"/>
      <c r="L157" s="378"/>
      <c r="M157" s="378"/>
      <c r="N157" s="383"/>
    </row>
    <row r="158" spans="1:14" s="384" customFormat="1" ht="18" customHeight="1">
      <c r="A158" s="306">
        <v>151</v>
      </c>
      <c r="B158" s="380"/>
      <c r="C158" s="344"/>
      <c r="D158" s="391" t="s">
        <v>198</v>
      </c>
      <c r="E158" s="375"/>
      <c r="F158" s="375"/>
      <c r="G158" s="1264"/>
      <c r="H158" s="381"/>
      <c r="I158" s="377">
        <f>SUM(J158:N158)</f>
        <v>1500</v>
      </c>
      <c r="J158" s="378"/>
      <c r="K158" s="378"/>
      <c r="L158" s="378"/>
      <c r="M158" s="378"/>
      <c r="N158" s="383">
        <v>1500</v>
      </c>
    </row>
    <row r="159" spans="1:14" s="384" customFormat="1" ht="18" customHeight="1">
      <c r="A159" s="306">
        <v>152</v>
      </c>
      <c r="B159" s="380"/>
      <c r="C159" s="344"/>
      <c r="D159" s="379" t="s">
        <v>765</v>
      </c>
      <c r="E159" s="375"/>
      <c r="F159" s="375"/>
      <c r="G159" s="1264"/>
      <c r="H159" s="381"/>
      <c r="I159" s="375">
        <f>SUM(J159:N159)</f>
        <v>1500</v>
      </c>
      <c r="J159" s="364"/>
      <c r="K159" s="364"/>
      <c r="L159" s="364"/>
      <c r="M159" s="364"/>
      <c r="N159" s="366">
        <v>1500</v>
      </c>
    </row>
    <row r="160" spans="1:14" s="384" customFormat="1" ht="18" customHeight="1">
      <c r="A160" s="306">
        <v>153</v>
      </c>
      <c r="B160" s="380"/>
      <c r="C160" s="344"/>
      <c r="D160" s="379" t="s">
        <v>1022</v>
      </c>
      <c r="E160" s="375"/>
      <c r="F160" s="375"/>
      <c r="G160" s="1264"/>
      <c r="H160" s="381"/>
      <c r="I160" s="166">
        <f>SUM(J160:Q160)</f>
        <v>1500</v>
      </c>
      <c r="J160" s="378"/>
      <c r="K160" s="378"/>
      <c r="L160" s="378"/>
      <c r="M160" s="378"/>
      <c r="N160" s="366">
        <v>1500</v>
      </c>
    </row>
    <row r="161" spans="1:14" s="384" customFormat="1" ht="18" customHeight="1">
      <c r="A161" s="306">
        <v>154</v>
      </c>
      <c r="B161" s="380"/>
      <c r="C161" s="344"/>
      <c r="D161" s="390" t="s">
        <v>450</v>
      </c>
      <c r="E161" s="375"/>
      <c r="F161" s="375"/>
      <c r="G161" s="1264"/>
      <c r="H161" s="381"/>
      <c r="I161" s="382"/>
      <c r="J161" s="378"/>
      <c r="K161" s="378"/>
      <c r="L161" s="378"/>
      <c r="M161" s="378"/>
      <c r="N161" s="383"/>
    </row>
    <row r="162" spans="1:14" s="384" customFormat="1" ht="18" customHeight="1">
      <c r="A162" s="306">
        <v>155</v>
      </c>
      <c r="B162" s="380"/>
      <c r="C162" s="344"/>
      <c r="D162" s="391" t="s">
        <v>198</v>
      </c>
      <c r="E162" s="375"/>
      <c r="F162" s="375"/>
      <c r="G162" s="1264"/>
      <c r="H162" s="381"/>
      <c r="I162" s="377">
        <f>SUM(J162:N162)</f>
        <v>1400</v>
      </c>
      <c r="J162" s="378"/>
      <c r="K162" s="378"/>
      <c r="L162" s="378"/>
      <c r="M162" s="378"/>
      <c r="N162" s="383">
        <v>1400</v>
      </c>
    </row>
    <row r="163" spans="1:14" s="384" customFormat="1" ht="18" customHeight="1">
      <c r="A163" s="306">
        <v>156</v>
      </c>
      <c r="B163" s="380"/>
      <c r="C163" s="344"/>
      <c r="D163" s="379" t="s">
        <v>765</v>
      </c>
      <c r="E163" s="375"/>
      <c r="F163" s="375"/>
      <c r="G163" s="1264"/>
      <c r="H163" s="381"/>
      <c r="I163" s="375">
        <f>SUM(J163:N163)</f>
        <v>1400</v>
      </c>
      <c r="J163" s="364"/>
      <c r="K163" s="364"/>
      <c r="L163" s="364"/>
      <c r="M163" s="364"/>
      <c r="N163" s="366">
        <v>1400</v>
      </c>
    </row>
    <row r="164" spans="1:14" s="384" customFormat="1" ht="18" customHeight="1">
      <c r="A164" s="306">
        <v>157</v>
      </c>
      <c r="B164" s="380"/>
      <c r="C164" s="344"/>
      <c r="D164" s="379" t="s">
        <v>1022</v>
      </c>
      <c r="E164" s="375"/>
      <c r="F164" s="375"/>
      <c r="G164" s="1264"/>
      <c r="H164" s="381"/>
      <c r="I164" s="166">
        <f>SUM(J164:Q164)</f>
        <v>1400</v>
      </c>
      <c r="J164" s="378"/>
      <c r="K164" s="378"/>
      <c r="L164" s="378"/>
      <c r="M164" s="378"/>
      <c r="N164" s="366">
        <v>1400</v>
      </c>
    </row>
    <row r="165" spans="1:14" s="384" customFormat="1" ht="18" customHeight="1">
      <c r="A165" s="306">
        <v>158</v>
      </c>
      <c r="B165" s="380"/>
      <c r="C165" s="344"/>
      <c r="D165" s="390" t="s">
        <v>451</v>
      </c>
      <c r="E165" s="375"/>
      <c r="F165" s="375"/>
      <c r="G165" s="1264"/>
      <c r="H165" s="381"/>
      <c r="I165" s="382"/>
      <c r="J165" s="378"/>
      <c r="K165" s="378"/>
      <c r="L165" s="378"/>
      <c r="M165" s="378"/>
      <c r="N165" s="383"/>
    </row>
    <row r="166" spans="1:14" s="384" customFormat="1" ht="18" customHeight="1">
      <c r="A166" s="306">
        <v>159</v>
      </c>
      <c r="B166" s="380"/>
      <c r="C166" s="344"/>
      <c r="D166" s="391" t="s">
        <v>198</v>
      </c>
      <c r="E166" s="375"/>
      <c r="F166" s="375"/>
      <c r="G166" s="1264"/>
      <c r="H166" s="381"/>
      <c r="I166" s="377">
        <f>SUM(J166:N166)</f>
        <v>10000</v>
      </c>
      <c r="J166" s="378"/>
      <c r="K166" s="378"/>
      <c r="L166" s="378"/>
      <c r="M166" s="378"/>
      <c r="N166" s="383">
        <v>10000</v>
      </c>
    </row>
    <row r="167" spans="1:14" s="384" customFormat="1" ht="18" customHeight="1">
      <c r="A167" s="306">
        <v>160</v>
      </c>
      <c r="B167" s="380"/>
      <c r="C167" s="344"/>
      <c r="D167" s="379" t="s">
        <v>765</v>
      </c>
      <c r="E167" s="1266"/>
      <c r="F167" s="375"/>
      <c r="G167" s="1264"/>
      <c r="H167" s="381"/>
      <c r="I167" s="375">
        <f>SUM(J167:N167)</f>
        <v>0</v>
      </c>
      <c r="J167" s="364"/>
      <c r="K167" s="364"/>
      <c r="L167" s="364"/>
      <c r="M167" s="364"/>
      <c r="N167" s="366">
        <v>0</v>
      </c>
    </row>
    <row r="168" spans="1:14" s="384" customFormat="1" ht="18" customHeight="1">
      <c r="A168" s="306">
        <v>161</v>
      </c>
      <c r="B168" s="380"/>
      <c r="C168" s="344"/>
      <c r="D168" s="379" t="s">
        <v>1021</v>
      </c>
      <c r="E168" s="1266"/>
      <c r="F168" s="375"/>
      <c r="G168" s="1264"/>
      <c r="H168" s="381"/>
      <c r="I168" s="166">
        <f>SUM(J168:Q168)</f>
        <v>0</v>
      </c>
      <c r="J168" s="364"/>
      <c r="K168" s="364"/>
      <c r="L168" s="378"/>
      <c r="M168" s="378"/>
      <c r="N168" s="366"/>
    </row>
    <row r="169" spans="1:14" s="384" customFormat="1" ht="18" customHeight="1">
      <c r="A169" s="306">
        <v>162</v>
      </c>
      <c r="B169" s="380"/>
      <c r="C169" s="344"/>
      <c r="D169" s="1952" t="s">
        <v>452</v>
      </c>
      <c r="E169" s="1952"/>
      <c r="F169" s="375"/>
      <c r="G169" s="1264"/>
      <c r="H169" s="381"/>
      <c r="I169" s="382"/>
      <c r="J169" s="378"/>
      <c r="K169" s="378"/>
      <c r="L169" s="378"/>
      <c r="M169" s="378"/>
      <c r="N169" s="383"/>
    </row>
    <row r="170" spans="1:14" s="384" customFormat="1" ht="18" customHeight="1">
      <c r="A170" s="306">
        <v>163</v>
      </c>
      <c r="B170" s="380"/>
      <c r="C170" s="344"/>
      <c r="D170" s="391" t="s">
        <v>198</v>
      </c>
      <c r="E170" s="375"/>
      <c r="F170" s="375"/>
      <c r="G170" s="1264"/>
      <c r="H170" s="381"/>
      <c r="I170" s="377">
        <f>SUM(J170:N170)</f>
        <v>500</v>
      </c>
      <c r="J170" s="378"/>
      <c r="K170" s="378"/>
      <c r="L170" s="378"/>
      <c r="M170" s="378"/>
      <c r="N170" s="383">
        <v>500</v>
      </c>
    </row>
    <row r="171" spans="1:14" s="384" customFormat="1" ht="18" customHeight="1">
      <c r="A171" s="306">
        <v>164</v>
      </c>
      <c r="B171" s="380"/>
      <c r="C171" s="344"/>
      <c r="D171" s="379" t="s">
        <v>765</v>
      </c>
      <c r="E171" s="375"/>
      <c r="F171" s="375"/>
      <c r="G171" s="1264"/>
      <c r="H171" s="381"/>
      <c r="I171" s="375">
        <f>SUM(J171:N171)</f>
        <v>500</v>
      </c>
      <c r="J171" s="364"/>
      <c r="K171" s="364"/>
      <c r="L171" s="364"/>
      <c r="M171" s="364"/>
      <c r="N171" s="366">
        <v>500</v>
      </c>
    </row>
    <row r="172" spans="1:14" s="384" customFormat="1" ht="18" customHeight="1">
      <c r="A172" s="306">
        <v>165</v>
      </c>
      <c r="B172" s="380"/>
      <c r="C172" s="344"/>
      <c r="D172" s="379" t="s">
        <v>1022</v>
      </c>
      <c r="E172" s="375"/>
      <c r="F172" s="375"/>
      <c r="G172" s="1264"/>
      <c r="H172" s="381"/>
      <c r="I172" s="166">
        <f>SUM(J172:Q172)</f>
        <v>500</v>
      </c>
      <c r="J172" s="378"/>
      <c r="K172" s="378"/>
      <c r="L172" s="378"/>
      <c r="M172" s="378"/>
      <c r="N172" s="366">
        <v>500</v>
      </c>
    </row>
    <row r="173" spans="1:14" s="384" customFormat="1" ht="18" customHeight="1">
      <c r="A173" s="306">
        <v>166</v>
      </c>
      <c r="B173" s="380"/>
      <c r="C173" s="344"/>
      <c r="D173" s="390" t="s">
        <v>453</v>
      </c>
      <c r="E173" s="375"/>
      <c r="F173" s="375"/>
      <c r="G173" s="1264"/>
      <c r="H173" s="381"/>
      <c r="I173" s="382"/>
      <c r="J173" s="378"/>
      <c r="K173" s="378"/>
      <c r="L173" s="378"/>
      <c r="M173" s="378"/>
      <c r="N173" s="383"/>
    </row>
    <row r="174" spans="1:14" s="384" customFormat="1" ht="18" customHeight="1">
      <c r="A174" s="306">
        <v>167</v>
      </c>
      <c r="B174" s="380"/>
      <c r="C174" s="344"/>
      <c r="D174" s="391" t="s">
        <v>198</v>
      </c>
      <c r="E174" s="375"/>
      <c r="F174" s="375"/>
      <c r="G174" s="1264"/>
      <c r="H174" s="381"/>
      <c r="I174" s="377">
        <f>SUM(J174:N174)</f>
        <v>4200</v>
      </c>
      <c r="J174" s="378"/>
      <c r="K174" s="378"/>
      <c r="L174" s="378"/>
      <c r="M174" s="378"/>
      <c r="N174" s="383">
        <f>3000+1200</f>
        <v>4200</v>
      </c>
    </row>
    <row r="175" spans="1:14" s="384" customFormat="1" ht="18" customHeight="1">
      <c r="A175" s="306">
        <v>168</v>
      </c>
      <c r="B175" s="380"/>
      <c r="C175" s="344"/>
      <c r="D175" s="379" t="s">
        <v>765</v>
      </c>
      <c r="E175" s="375"/>
      <c r="F175" s="375"/>
      <c r="G175" s="1264"/>
      <c r="H175" s="381"/>
      <c r="I175" s="375">
        <f>SUM(J175:N175)</f>
        <v>4200</v>
      </c>
      <c r="J175" s="364"/>
      <c r="K175" s="364"/>
      <c r="L175" s="364"/>
      <c r="M175" s="364"/>
      <c r="N175" s="366">
        <v>4200</v>
      </c>
    </row>
    <row r="176" spans="1:14" s="384" customFormat="1" ht="18" customHeight="1">
      <c r="A176" s="306">
        <v>169</v>
      </c>
      <c r="B176" s="380"/>
      <c r="C176" s="344"/>
      <c r="D176" s="379" t="s">
        <v>1022</v>
      </c>
      <c r="E176" s="375"/>
      <c r="F176" s="375"/>
      <c r="G176" s="1264"/>
      <c r="H176" s="381"/>
      <c r="I176" s="166">
        <f>SUM(J176:Q176)</f>
        <v>0</v>
      </c>
      <c r="J176" s="378"/>
      <c r="K176" s="378"/>
      <c r="L176" s="378"/>
      <c r="M176" s="378"/>
      <c r="N176" s="383"/>
    </row>
    <row r="177" spans="1:14" s="384" customFormat="1" ht="18" customHeight="1">
      <c r="A177" s="306">
        <v>170</v>
      </c>
      <c r="B177" s="380"/>
      <c r="C177" s="344"/>
      <c r="D177" s="390" t="s">
        <v>454</v>
      </c>
      <c r="E177" s="375"/>
      <c r="F177" s="375"/>
      <c r="G177" s="1264"/>
      <c r="H177" s="381"/>
      <c r="I177" s="377"/>
      <c r="J177" s="378"/>
      <c r="K177" s="378"/>
      <c r="L177" s="378"/>
      <c r="M177" s="378"/>
      <c r="N177" s="383"/>
    </row>
    <row r="178" spans="1:14" s="384" customFormat="1" ht="18" customHeight="1">
      <c r="A178" s="306">
        <v>171</v>
      </c>
      <c r="B178" s="380"/>
      <c r="C178" s="344"/>
      <c r="D178" s="391" t="s">
        <v>198</v>
      </c>
      <c r="E178" s="375"/>
      <c r="F178" s="375"/>
      <c r="G178" s="1264"/>
      <c r="H178" s="381"/>
      <c r="I178" s="377">
        <f>SUM(J178:N178)</f>
        <v>1000</v>
      </c>
      <c r="J178" s="378"/>
      <c r="K178" s="378"/>
      <c r="L178" s="378">
        <v>1000</v>
      </c>
      <c r="M178" s="378"/>
      <c r="N178" s="383"/>
    </row>
    <row r="179" spans="1:14" s="384" customFormat="1" ht="18" customHeight="1">
      <c r="A179" s="306">
        <v>172</v>
      </c>
      <c r="B179" s="380"/>
      <c r="C179" s="344"/>
      <c r="D179" s="379" t="s">
        <v>765</v>
      </c>
      <c r="E179" s="375"/>
      <c r="F179" s="375"/>
      <c r="G179" s="1264"/>
      <c r="H179" s="381"/>
      <c r="I179" s="375">
        <f>SUM(J179:N179)</f>
        <v>1000</v>
      </c>
      <c r="J179" s="364"/>
      <c r="K179" s="364"/>
      <c r="L179" s="364">
        <v>1000</v>
      </c>
      <c r="M179" s="378"/>
      <c r="N179" s="383"/>
    </row>
    <row r="180" spans="1:14" s="384" customFormat="1" ht="18" customHeight="1">
      <c r="A180" s="306">
        <v>173</v>
      </c>
      <c r="B180" s="380"/>
      <c r="C180" s="344"/>
      <c r="D180" s="379" t="s">
        <v>1022</v>
      </c>
      <c r="E180" s="375"/>
      <c r="F180" s="375"/>
      <c r="G180" s="1264"/>
      <c r="H180" s="381"/>
      <c r="I180" s="166">
        <f>SUM(J180:Q180)</f>
        <v>990</v>
      </c>
      <c r="J180" s="378"/>
      <c r="K180" s="378"/>
      <c r="L180" s="364">
        <v>990</v>
      </c>
      <c r="M180" s="378"/>
      <c r="N180" s="383"/>
    </row>
    <row r="181" spans="1:14" s="384" customFormat="1" ht="18" customHeight="1">
      <c r="A181" s="306">
        <v>174</v>
      </c>
      <c r="B181" s="380"/>
      <c r="C181" s="344"/>
      <c r="D181" s="390" t="s">
        <v>455</v>
      </c>
      <c r="E181" s="375"/>
      <c r="F181" s="375"/>
      <c r="G181" s="1264"/>
      <c r="H181" s="381"/>
      <c r="I181" s="382"/>
      <c r="J181" s="378"/>
      <c r="K181" s="378"/>
      <c r="L181" s="378"/>
      <c r="M181" s="378"/>
      <c r="N181" s="383"/>
    </row>
    <row r="182" spans="1:14" s="384" customFormat="1" ht="18" customHeight="1">
      <c r="A182" s="306">
        <v>175</v>
      </c>
      <c r="B182" s="380"/>
      <c r="C182" s="344"/>
      <c r="D182" s="391" t="s">
        <v>198</v>
      </c>
      <c r="E182" s="375"/>
      <c r="F182" s="375"/>
      <c r="G182" s="1264"/>
      <c r="H182" s="381"/>
      <c r="I182" s="377">
        <f>SUM(J182:N182)</f>
        <v>441</v>
      </c>
      <c r="J182" s="378"/>
      <c r="K182" s="378"/>
      <c r="L182" s="378">
        <v>441</v>
      </c>
      <c r="M182" s="378"/>
      <c r="N182" s="383"/>
    </row>
    <row r="183" spans="1:14" s="384" customFormat="1" ht="18" customHeight="1">
      <c r="A183" s="306">
        <v>176</v>
      </c>
      <c r="B183" s="380"/>
      <c r="C183" s="344"/>
      <c r="D183" s="379" t="s">
        <v>765</v>
      </c>
      <c r="E183" s="375"/>
      <c r="F183" s="375"/>
      <c r="G183" s="1264"/>
      <c r="H183" s="381"/>
      <c r="I183" s="375">
        <f>SUM(J183:N183)</f>
        <v>441</v>
      </c>
      <c r="J183" s="364"/>
      <c r="K183" s="364"/>
      <c r="L183" s="364">
        <v>441</v>
      </c>
      <c r="M183" s="378"/>
      <c r="N183" s="383"/>
    </row>
    <row r="184" spans="1:14" s="384" customFormat="1" ht="18" customHeight="1">
      <c r="A184" s="306">
        <v>177</v>
      </c>
      <c r="B184" s="380"/>
      <c r="C184" s="344"/>
      <c r="D184" s="379" t="s">
        <v>1022</v>
      </c>
      <c r="E184" s="375"/>
      <c r="F184" s="375"/>
      <c r="G184" s="1264"/>
      <c r="H184" s="381"/>
      <c r="I184" s="166">
        <f>SUM(J184:Q184)</f>
        <v>441</v>
      </c>
      <c r="J184" s="378"/>
      <c r="K184" s="378"/>
      <c r="L184" s="364">
        <v>441</v>
      </c>
      <c r="M184" s="378"/>
      <c r="N184" s="383"/>
    </row>
    <row r="185" spans="1:14" s="384" customFormat="1" ht="22.5" customHeight="1">
      <c r="A185" s="306">
        <v>178</v>
      </c>
      <c r="B185" s="380"/>
      <c r="C185" s="344">
        <v>14</v>
      </c>
      <c r="D185" s="358" t="s">
        <v>456</v>
      </c>
      <c r="E185" s="375">
        <v>1250</v>
      </c>
      <c r="F185" s="375">
        <v>1250</v>
      </c>
      <c r="G185" s="1264">
        <v>1250</v>
      </c>
      <c r="H185" s="346" t="s">
        <v>231</v>
      </c>
      <c r="I185" s="382"/>
      <c r="J185" s="378"/>
      <c r="K185" s="378"/>
      <c r="L185" s="378"/>
      <c r="M185" s="378"/>
      <c r="N185" s="383"/>
    </row>
    <row r="186" spans="1:14" s="394" customFormat="1" ht="18" customHeight="1">
      <c r="A186" s="306">
        <v>179</v>
      </c>
      <c r="B186" s="392"/>
      <c r="C186" s="371"/>
      <c r="D186" s="345" t="s">
        <v>198</v>
      </c>
      <c r="E186" s="382"/>
      <c r="F186" s="382"/>
      <c r="G186" s="1267"/>
      <c r="H186" s="372"/>
      <c r="I186" s="347">
        <f>SUM(J186:N186)</f>
        <v>1250</v>
      </c>
      <c r="J186" s="393"/>
      <c r="K186" s="393"/>
      <c r="L186" s="393"/>
      <c r="M186" s="393"/>
      <c r="N186" s="360">
        <v>1250</v>
      </c>
    </row>
    <row r="187" spans="1:14" s="394" customFormat="1" ht="18" customHeight="1">
      <c r="A187" s="306">
        <v>180</v>
      </c>
      <c r="B187" s="392"/>
      <c r="C187" s="371"/>
      <c r="D187" s="163" t="s">
        <v>765</v>
      </c>
      <c r="E187" s="382"/>
      <c r="F187" s="382"/>
      <c r="G187" s="1267"/>
      <c r="H187" s="372"/>
      <c r="I187" s="340">
        <f>SUM(J187:N187)</f>
        <v>1250</v>
      </c>
      <c r="J187" s="365"/>
      <c r="K187" s="365"/>
      <c r="L187" s="365"/>
      <c r="M187" s="365"/>
      <c r="N187" s="363">
        <v>1250</v>
      </c>
    </row>
    <row r="188" spans="1:14" s="394" customFormat="1" ht="18" customHeight="1">
      <c r="A188" s="306">
        <v>181</v>
      </c>
      <c r="B188" s="392"/>
      <c r="C188" s="371"/>
      <c r="D188" s="165" t="s">
        <v>1022</v>
      </c>
      <c r="E188" s="382"/>
      <c r="F188" s="382"/>
      <c r="G188" s="1267"/>
      <c r="H188" s="372"/>
      <c r="I188" s="166">
        <f>SUM(J188:Q188)</f>
        <v>1250</v>
      </c>
      <c r="J188" s="393"/>
      <c r="K188" s="393"/>
      <c r="L188" s="393"/>
      <c r="M188" s="393"/>
      <c r="N188" s="366">
        <v>1250</v>
      </c>
    </row>
    <row r="189" spans="1:14" s="384" customFormat="1" ht="22.5" customHeight="1">
      <c r="A189" s="306">
        <v>182</v>
      </c>
      <c r="B189" s="380"/>
      <c r="C189" s="344">
        <v>15</v>
      </c>
      <c r="D189" s="358" t="s">
        <v>457</v>
      </c>
      <c r="E189" s="375">
        <v>1250</v>
      </c>
      <c r="F189" s="375">
        <v>1250</v>
      </c>
      <c r="G189" s="1264">
        <v>5653</v>
      </c>
      <c r="H189" s="346" t="s">
        <v>231</v>
      </c>
      <c r="I189" s="382"/>
      <c r="J189" s="378"/>
      <c r="K189" s="378"/>
      <c r="L189" s="378"/>
      <c r="M189" s="378"/>
      <c r="N189" s="383"/>
    </row>
    <row r="190" spans="1:14" s="394" customFormat="1" ht="18" customHeight="1">
      <c r="A190" s="306">
        <v>183</v>
      </c>
      <c r="B190" s="392"/>
      <c r="C190" s="371"/>
      <c r="D190" s="345" t="s">
        <v>198</v>
      </c>
      <c r="E190" s="382"/>
      <c r="F190" s="382"/>
      <c r="G190" s="1267"/>
      <c r="H190" s="372"/>
      <c r="I190" s="347">
        <f>SUM(J190:N190)</f>
        <v>5000</v>
      </c>
      <c r="J190" s="393"/>
      <c r="K190" s="393"/>
      <c r="L190" s="393"/>
      <c r="M190" s="393"/>
      <c r="N190" s="360">
        <v>5000</v>
      </c>
    </row>
    <row r="191" spans="1:14" s="394" customFormat="1" ht="18" customHeight="1">
      <c r="A191" s="306">
        <v>184</v>
      </c>
      <c r="B191" s="392"/>
      <c r="C191" s="371"/>
      <c r="D191" s="163" t="s">
        <v>765</v>
      </c>
      <c r="E191" s="382"/>
      <c r="F191" s="382"/>
      <c r="G191" s="1267"/>
      <c r="H191" s="372"/>
      <c r="I191" s="340">
        <f>SUM(J191:N191)</f>
        <v>5000</v>
      </c>
      <c r="J191" s="365"/>
      <c r="K191" s="365"/>
      <c r="L191" s="365"/>
      <c r="M191" s="365"/>
      <c r="N191" s="363">
        <v>5000</v>
      </c>
    </row>
    <row r="192" spans="1:14" s="394" customFormat="1" ht="18" customHeight="1">
      <c r="A192" s="306">
        <v>185</v>
      </c>
      <c r="B192" s="392"/>
      <c r="C192" s="371"/>
      <c r="D192" s="165" t="s">
        <v>1022</v>
      </c>
      <c r="E192" s="382"/>
      <c r="F192" s="382"/>
      <c r="G192" s="1267"/>
      <c r="H192" s="372"/>
      <c r="I192" s="166">
        <f>SUM(J192:Q192)</f>
        <v>5000</v>
      </c>
      <c r="J192" s="393"/>
      <c r="K192" s="393"/>
      <c r="L192" s="393"/>
      <c r="M192" s="393"/>
      <c r="N192" s="366">
        <v>5000</v>
      </c>
    </row>
    <row r="193" spans="1:16" s="384" customFormat="1" ht="22.5" customHeight="1">
      <c r="A193" s="306">
        <v>186</v>
      </c>
      <c r="B193" s="380"/>
      <c r="C193" s="344">
        <v>16</v>
      </c>
      <c r="D193" s="358" t="s">
        <v>458</v>
      </c>
      <c r="E193" s="375"/>
      <c r="F193" s="375"/>
      <c r="G193" s="1264"/>
      <c r="H193" s="346" t="s">
        <v>231</v>
      </c>
      <c r="I193" s="382"/>
      <c r="J193" s="378"/>
      <c r="K193" s="378"/>
      <c r="L193" s="378"/>
      <c r="M193" s="378"/>
      <c r="N193" s="383"/>
    </row>
    <row r="194" spans="1:16" s="394" customFormat="1" ht="18" customHeight="1">
      <c r="A194" s="306">
        <v>187</v>
      </c>
      <c r="B194" s="392"/>
      <c r="C194" s="371"/>
      <c r="D194" s="345" t="s">
        <v>198</v>
      </c>
      <c r="E194" s="382"/>
      <c r="F194" s="382"/>
      <c r="G194" s="1267"/>
      <c r="H194" s="395"/>
      <c r="I194" s="347">
        <f>SUM(J194:N194)</f>
        <v>2100</v>
      </c>
      <c r="J194" s="393"/>
      <c r="K194" s="393"/>
      <c r="L194" s="393"/>
      <c r="M194" s="393"/>
      <c r="N194" s="360">
        <v>2100</v>
      </c>
    </row>
    <row r="195" spans="1:16" s="394" customFormat="1" ht="18" customHeight="1">
      <c r="A195" s="306">
        <v>188</v>
      </c>
      <c r="B195" s="392"/>
      <c r="C195" s="371"/>
      <c r="D195" s="163" t="s">
        <v>765</v>
      </c>
      <c r="E195" s="382"/>
      <c r="F195" s="382"/>
      <c r="G195" s="1267"/>
      <c r="H195" s="395"/>
      <c r="I195" s="340">
        <f>SUM(J195:N195)</f>
        <v>2100</v>
      </c>
      <c r="J195" s="365"/>
      <c r="K195" s="365"/>
      <c r="L195" s="365"/>
      <c r="M195" s="365"/>
      <c r="N195" s="363">
        <v>2100</v>
      </c>
    </row>
    <row r="196" spans="1:16" s="394" customFormat="1" ht="18" customHeight="1">
      <c r="A196" s="306">
        <v>189</v>
      </c>
      <c r="B196" s="392"/>
      <c r="C196" s="371"/>
      <c r="D196" s="165" t="s">
        <v>1022</v>
      </c>
      <c r="E196" s="382"/>
      <c r="F196" s="382"/>
      <c r="G196" s="1267"/>
      <c r="H196" s="395"/>
      <c r="I196" s="166">
        <f>SUM(J196:Q196)</f>
        <v>2100</v>
      </c>
      <c r="J196" s="393"/>
      <c r="K196" s="393"/>
      <c r="L196" s="393"/>
      <c r="M196" s="393"/>
      <c r="N196" s="366">
        <v>2100</v>
      </c>
    </row>
    <row r="197" spans="1:16" s="384" customFormat="1" ht="22.5" customHeight="1">
      <c r="A197" s="306">
        <v>190</v>
      </c>
      <c r="B197" s="380"/>
      <c r="C197" s="344">
        <v>17</v>
      </c>
      <c r="D197" s="358" t="s">
        <v>459</v>
      </c>
      <c r="E197" s="375">
        <v>500</v>
      </c>
      <c r="F197" s="375">
        <v>500</v>
      </c>
      <c r="G197" s="1264">
        <v>500</v>
      </c>
      <c r="H197" s="346" t="s">
        <v>231</v>
      </c>
      <c r="I197" s="382"/>
      <c r="J197" s="378"/>
      <c r="K197" s="378"/>
      <c r="L197" s="378"/>
      <c r="M197" s="378"/>
      <c r="N197" s="383"/>
    </row>
    <row r="198" spans="1:16" s="394" customFormat="1" ht="18" customHeight="1">
      <c r="A198" s="306">
        <v>191</v>
      </c>
      <c r="B198" s="392"/>
      <c r="C198" s="371"/>
      <c r="D198" s="345" t="s">
        <v>198</v>
      </c>
      <c r="F198" s="1268"/>
      <c r="H198" s="395"/>
      <c r="I198" s="347">
        <f>SUM(J198:N198)</f>
        <v>2500</v>
      </c>
      <c r="J198" s="393"/>
      <c r="K198" s="393"/>
      <c r="L198" s="393"/>
      <c r="M198" s="393"/>
      <c r="N198" s="360">
        <v>2500</v>
      </c>
    </row>
    <row r="199" spans="1:16" s="394" customFormat="1" ht="18" customHeight="1">
      <c r="A199" s="306">
        <v>192</v>
      </c>
      <c r="B199" s="392"/>
      <c r="C199" s="371"/>
      <c r="D199" s="163" t="s">
        <v>765</v>
      </c>
      <c r="F199" s="1268"/>
      <c r="H199" s="395"/>
      <c r="I199" s="340">
        <f>SUM(J199:N199)</f>
        <v>4200</v>
      </c>
      <c r="J199" s="365"/>
      <c r="K199" s="365"/>
      <c r="L199" s="365"/>
      <c r="M199" s="365"/>
      <c r="N199" s="363">
        <v>4200</v>
      </c>
    </row>
    <row r="200" spans="1:16" s="394" customFormat="1" ht="18" customHeight="1">
      <c r="A200" s="306">
        <v>193</v>
      </c>
      <c r="B200" s="392"/>
      <c r="C200" s="371"/>
      <c r="D200" s="165" t="s">
        <v>1021</v>
      </c>
      <c r="E200" s="1269"/>
      <c r="F200" s="1269"/>
      <c r="G200" s="1270"/>
      <c r="H200" s="395"/>
      <c r="I200" s="166">
        <f>SUM(J200:Q200)</f>
        <v>4200</v>
      </c>
      <c r="J200" s="393"/>
      <c r="K200" s="393"/>
      <c r="L200" s="393"/>
      <c r="M200" s="393"/>
      <c r="N200" s="366">
        <v>4200</v>
      </c>
    </row>
    <row r="201" spans="1:16" s="307" customFormat="1" ht="22.5" customHeight="1">
      <c r="A201" s="306">
        <v>194</v>
      </c>
      <c r="B201" s="357"/>
      <c r="C201" s="344">
        <v>18</v>
      </c>
      <c r="D201" s="358" t="s">
        <v>460</v>
      </c>
      <c r="E201" s="1258"/>
      <c r="F201" s="1258"/>
      <c r="G201" s="1259"/>
      <c r="H201" s="346" t="s">
        <v>231</v>
      </c>
      <c r="I201" s="367"/>
      <c r="J201" s="368"/>
      <c r="K201" s="368"/>
      <c r="L201" s="368"/>
      <c r="M201" s="368"/>
      <c r="N201" s="369"/>
      <c r="O201" s="351"/>
      <c r="P201" s="351"/>
    </row>
    <row r="202" spans="1:16" s="307" customFormat="1" ht="22.5" customHeight="1">
      <c r="A202" s="306">
        <v>195</v>
      </c>
      <c r="B202" s="357"/>
      <c r="C202" s="344">
        <v>19</v>
      </c>
      <c r="D202" s="358" t="s">
        <v>461</v>
      </c>
      <c r="E202" s="1258">
        <f>SUM(E206,E210,E214,E218,E222)</f>
        <v>93500</v>
      </c>
      <c r="F202" s="1258">
        <f>SUM(F206,F210,F214,F218,F222)</f>
        <v>80000</v>
      </c>
      <c r="G202" s="1259">
        <f>SUM(G206,G210,G214,G218,G222)+G226</f>
        <v>101000</v>
      </c>
      <c r="H202" s="346" t="s">
        <v>231</v>
      </c>
      <c r="I202" s="367"/>
      <c r="J202" s="368"/>
      <c r="K202" s="368"/>
      <c r="L202" s="368"/>
      <c r="M202" s="368"/>
      <c r="N202" s="369"/>
      <c r="O202" s="351"/>
      <c r="P202" s="351"/>
    </row>
    <row r="203" spans="1:16" s="373" customFormat="1" ht="18" customHeight="1">
      <c r="A203" s="306">
        <v>196</v>
      </c>
      <c r="B203" s="370"/>
      <c r="C203" s="371"/>
      <c r="D203" s="345" t="s">
        <v>198</v>
      </c>
      <c r="E203" s="347"/>
      <c r="F203" s="347"/>
      <c r="G203" s="1263"/>
      <c r="H203" s="372"/>
      <c r="I203" s="347">
        <f>SUM(J203:N203)</f>
        <v>141100</v>
      </c>
      <c r="J203" s="396">
        <f t="shared" ref="J203:N204" si="2">SUM(J207,)+J211+J215+J219+J223+J227</f>
        <v>0</v>
      </c>
      <c r="K203" s="396">
        <f t="shared" si="2"/>
        <v>0</v>
      </c>
      <c r="L203" s="396">
        <f t="shared" si="2"/>
        <v>0</v>
      </c>
      <c r="M203" s="396">
        <f t="shared" si="2"/>
        <v>0</v>
      </c>
      <c r="N203" s="397">
        <f t="shared" si="2"/>
        <v>141100</v>
      </c>
    </row>
    <row r="204" spans="1:16" s="373" customFormat="1" ht="18" customHeight="1">
      <c r="A204" s="306">
        <v>197</v>
      </c>
      <c r="B204" s="370"/>
      <c r="C204" s="371"/>
      <c r="D204" s="163" t="s">
        <v>765</v>
      </c>
      <c r="E204" s="347"/>
      <c r="F204" s="347"/>
      <c r="G204" s="1263"/>
      <c r="H204" s="372"/>
      <c r="I204" s="340">
        <f>SUM(J204:N204)</f>
        <v>149100</v>
      </c>
      <c r="J204" s="398">
        <f t="shared" si="2"/>
        <v>0</v>
      </c>
      <c r="K204" s="398">
        <f t="shared" si="2"/>
        <v>0</v>
      </c>
      <c r="L204" s="398">
        <f t="shared" si="2"/>
        <v>0</v>
      </c>
      <c r="M204" s="398">
        <f t="shared" si="2"/>
        <v>0</v>
      </c>
      <c r="N204" s="399">
        <f t="shared" si="2"/>
        <v>149100</v>
      </c>
    </row>
    <row r="205" spans="1:16" s="373" customFormat="1" ht="18" customHeight="1">
      <c r="A205" s="306">
        <v>198</v>
      </c>
      <c r="B205" s="370"/>
      <c r="C205" s="371"/>
      <c r="D205" s="165" t="s">
        <v>1022</v>
      </c>
      <c r="E205" s="347"/>
      <c r="F205" s="347"/>
      <c r="G205" s="1263"/>
      <c r="H205" s="372"/>
      <c r="I205" s="166">
        <f>SUM(J205:Q205)</f>
        <v>149100</v>
      </c>
      <c r="J205" s="388">
        <f>J209+J213+J217+J221+J225+J229</f>
        <v>0</v>
      </c>
      <c r="K205" s="388">
        <f>K209+K213+K217+K221+K225+K229</f>
        <v>0</v>
      </c>
      <c r="L205" s="388">
        <f>L209+L213+L217+L221+L225+L229</f>
        <v>0</v>
      </c>
      <c r="M205" s="388">
        <f>M209+M213+M217+M221+M225+M229</f>
        <v>0</v>
      </c>
      <c r="N205" s="389">
        <f>N209+N213+N217+N221+N225+N229</f>
        <v>149100</v>
      </c>
    </row>
    <row r="206" spans="1:16" s="384" customFormat="1" ht="18" customHeight="1">
      <c r="A206" s="306">
        <v>199</v>
      </c>
      <c r="B206" s="380"/>
      <c r="C206" s="344"/>
      <c r="D206" s="400" t="s">
        <v>462</v>
      </c>
      <c r="E206" s="375">
        <v>85000</v>
      </c>
      <c r="F206" s="375">
        <v>80000</v>
      </c>
      <c r="G206" s="1264">
        <v>80000</v>
      </c>
      <c r="H206" s="381"/>
      <c r="I206" s="382"/>
      <c r="J206" s="378"/>
      <c r="K206" s="378"/>
      <c r="L206" s="378"/>
      <c r="M206" s="378"/>
      <c r="N206" s="383"/>
      <c r="P206" s="351"/>
    </row>
    <row r="207" spans="1:16" s="394" customFormat="1" ht="18" customHeight="1">
      <c r="A207" s="306">
        <v>200</v>
      </c>
      <c r="B207" s="392"/>
      <c r="C207" s="371"/>
      <c r="D207" s="391" t="s">
        <v>198</v>
      </c>
      <c r="E207" s="382"/>
      <c r="F207" s="382"/>
      <c r="G207" s="1267"/>
      <c r="H207" s="395"/>
      <c r="I207" s="377">
        <f>SUM(J207:N207)</f>
        <v>98000</v>
      </c>
      <c r="J207" s="393"/>
      <c r="K207" s="393"/>
      <c r="L207" s="393"/>
      <c r="M207" s="393"/>
      <c r="N207" s="383">
        <v>98000</v>
      </c>
      <c r="P207" s="373"/>
    </row>
    <row r="208" spans="1:16" s="394" customFormat="1" ht="18" customHeight="1">
      <c r="A208" s="306">
        <v>201</v>
      </c>
      <c r="B208" s="392"/>
      <c r="C208" s="371"/>
      <c r="D208" s="379" t="s">
        <v>765</v>
      </c>
      <c r="E208" s="382"/>
      <c r="F208" s="382"/>
      <c r="G208" s="1267"/>
      <c r="H208" s="395"/>
      <c r="I208" s="375">
        <f>SUM(J208:N208)</f>
        <v>98000</v>
      </c>
      <c r="J208" s="365"/>
      <c r="K208" s="365"/>
      <c r="L208" s="365"/>
      <c r="M208" s="365"/>
      <c r="N208" s="366">
        <v>98000</v>
      </c>
      <c r="P208" s="373"/>
    </row>
    <row r="209" spans="1:16" s="394" customFormat="1" ht="18" customHeight="1">
      <c r="A209" s="306">
        <v>202</v>
      </c>
      <c r="B209" s="392"/>
      <c r="C209" s="371"/>
      <c r="D209" s="379" t="s">
        <v>1022</v>
      </c>
      <c r="E209" s="382"/>
      <c r="F209" s="382"/>
      <c r="G209" s="1267"/>
      <c r="H209" s="395"/>
      <c r="I209" s="166">
        <f>SUM(J209:Q209)</f>
        <v>98000</v>
      </c>
      <c r="J209" s="393"/>
      <c r="K209" s="393"/>
      <c r="L209" s="393"/>
      <c r="M209" s="393"/>
      <c r="N209" s="366">
        <v>98000</v>
      </c>
      <c r="P209" s="373"/>
    </row>
    <row r="210" spans="1:16" s="384" customFormat="1" ht="18" customHeight="1">
      <c r="A210" s="306">
        <v>203</v>
      </c>
      <c r="B210" s="380"/>
      <c r="C210" s="344"/>
      <c r="D210" s="401" t="s">
        <v>463</v>
      </c>
      <c r="E210" s="375">
        <v>3500</v>
      </c>
      <c r="F210" s="375"/>
      <c r="G210" s="1264">
        <v>4500</v>
      </c>
      <c r="H210" s="381"/>
      <c r="I210" s="385"/>
      <c r="J210" s="386"/>
      <c r="K210" s="386"/>
      <c r="L210" s="386"/>
      <c r="M210" s="386"/>
      <c r="N210" s="387"/>
      <c r="P210" s="351"/>
    </row>
    <row r="211" spans="1:16" s="384" customFormat="1" ht="18" customHeight="1">
      <c r="A211" s="306">
        <v>204</v>
      </c>
      <c r="B211" s="380"/>
      <c r="C211" s="344"/>
      <c r="D211" s="391" t="s">
        <v>198</v>
      </c>
      <c r="E211" s="375"/>
      <c r="F211" s="375"/>
      <c r="G211" s="1264"/>
      <c r="H211" s="381"/>
      <c r="I211" s="377">
        <f>SUM(J211:N211)</f>
        <v>11600</v>
      </c>
      <c r="J211" s="386"/>
      <c r="K211" s="386"/>
      <c r="L211" s="386"/>
      <c r="M211" s="386"/>
      <c r="N211" s="387">
        <v>11600</v>
      </c>
      <c r="P211" s="351"/>
    </row>
    <row r="212" spans="1:16" s="384" customFormat="1" ht="18" customHeight="1">
      <c r="A212" s="306">
        <v>205</v>
      </c>
      <c r="B212" s="380"/>
      <c r="C212" s="344"/>
      <c r="D212" s="379" t="s">
        <v>765</v>
      </c>
      <c r="E212" s="375"/>
      <c r="F212" s="375"/>
      <c r="G212" s="1264"/>
      <c r="H212" s="381"/>
      <c r="I212" s="375">
        <f>SUM(J212:N212)</f>
        <v>19600</v>
      </c>
      <c r="J212" s="388"/>
      <c r="K212" s="388"/>
      <c r="L212" s="388"/>
      <c r="M212" s="388"/>
      <c r="N212" s="389">
        <v>19600</v>
      </c>
      <c r="P212" s="351"/>
    </row>
    <row r="213" spans="1:16" s="384" customFormat="1" ht="18" customHeight="1">
      <c r="A213" s="306">
        <v>206</v>
      </c>
      <c r="B213" s="380"/>
      <c r="C213" s="344"/>
      <c r="D213" s="379" t="s">
        <v>1021</v>
      </c>
      <c r="E213" s="375"/>
      <c r="F213" s="375"/>
      <c r="G213" s="1264"/>
      <c r="H213" s="381"/>
      <c r="I213" s="166">
        <f>SUM(J213:Q213)</f>
        <v>19600</v>
      </c>
      <c r="J213" s="388"/>
      <c r="K213" s="388"/>
      <c r="L213" s="388"/>
      <c r="M213" s="388"/>
      <c r="N213" s="389">
        <v>19600</v>
      </c>
      <c r="P213" s="351"/>
    </row>
    <row r="214" spans="1:16" s="384" customFormat="1" ht="18" customHeight="1">
      <c r="A214" s="306">
        <v>207</v>
      </c>
      <c r="B214" s="380"/>
      <c r="C214" s="344"/>
      <c r="D214" s="401" t="s">
        <v>464</v>
      </c>
      <c r="E214" s="375">
        <v>3000</v>
      </c>
      <c r="F214" s="375"/>
      <c r="G214" s="1264">
        <v>9500</v>
      </c>
      <c r="H214" s="381"/>
      <c r="I214" s="385"/>
      <c r="J214" s="386"/>
      <c r="K214" s="386"/>
      <c r="L214" s="386"/>
      <c r="M214" s="386"/>
      <c r="N214" s="387"/>
      <c r="P214" s="351"/>
    </row>
    <row r="215" spans="1:16" s="384" customFormat="1" ht="18" customHeight="1">
      <c r="A215" s="306">
        <v>208</v>
      </c>
      <c r="B215" s="380"/>
      <c r="C215" s="344"/>
      <c r="D215" s="391" t="s">
        <v>198</v>
      </c>
      <c r="E215" s="375"/>
      <c r="F215" s="375"/>
      <c r="G215" s="1264"/>
      <c r="H215" s="381"/>
      <c r="I215" s="377">
        <f>SUM(J215:N215)</f>
        <v>9500</v>
      </c>
      <c r="J215" s="386"/>
      <c r="K215" s="386"/>
      <c r="L215" s="386"/>
      <c r="M215" s="386"/>
      <c r="N215" s="387">
        <v>9500</v>
      </c>
      <c r="P215" s="351"/>
    </row>
    <row r="216" spans="1:16" s="384" customFormat="1" ht="18" customHeight="1">
      <c r="A216" s="306">
        <v>209</v>
      </c>
      <c r="B216" s="380"/>
      <c r="C216" s="344"/>
      <c r="D216" s="379" t="s">
        <v>765</v>
      </c>
      <c r="E216" s="375"/>
      <c r="F216" s="375"/>
      <c r="G216" s="1264"/>
      <c r="H216" s="381"/>
      <c r="I216" s="375">
        <f>SUM(J216:N216)</f>
        <v>9500</v>
      </c>
      <c r="J216" s="388"/>
      <c r="K216" s="388"/>
      <c r="L216" s="388"/>
      <c r="M216" s="388"/>
      <c r="N216" s="389">
        <v>9500</v>
      </c>
      <c r="P216" s="351"/>
    </row>
    <row r="217" spans="1:16" s="384" customFormat="1" ht="18" customHeight="1">
      <c r="A217" s="306">
        <v>210</v>
      </c>
      <c r="B217" s="380"/>
      <c r="C217" s="344"/>
      <c r="D217" s="379" t="s">
        <v>1022</v>
      </c>
      <c r="E217" s="375"/>
      <c r="F217" s="375"/>
      <c r="G217" s="1264"/>
      <c r="H217" s="381"/>
      <c r="I217" s="166">
        <f>SUM(J217:Q217)</f>
        <v>9500</v>
      </c>
      <c r="J217" s="386"/>
      <c r="K217" s="386"/>
      <c r="L217" s="386"/>
      <c r="M217" s="386"/>
      <c r="N217" s="389">
        <v>9500</v>
      </c>
      <c r="P217" s="351"/>
    </row>
    <row r="218" spans="1:16" s="384" customFormat="1" ht="18" customHeight="1">
      <c r="A218" s="306">
        <v>211</v>
      </c>
      <c r="B218" s="380"/>
      <c r="C218" s="344"/>
      <c r="D218" s="401" t="s">
        <v>465</v>
      </c>
      <c r="E218" s="375">
        <v>1000</v>
      </c>
      <c r="F218" s="375"/>
      <c r="G218" s="1264">
        <v>3000</v>
      </c>
      <c r="H218" s="381"/>
      <c r="I218" s="385"/>
      <c r="J218" s="386"/>
      <c r="K218" s="386"/>
      <c r="L218" s="386"/>
      <c r="M218" s="386"/>
      <c r="N218" s="387"/>
      <c r="P218" s="351"/>
    </row>
    <row r="219" spans="1:16" s="384" customFormat="1" ht="18" customHeight="1">
      <c r="A219" s="306">
        <v>212</v>
      </c>
      <c r="B219" s="380"/>
      <c r="C219" s="344"/>
      <c r="D219" s="391" t="s">
        <v>198</v>
      </c>
      <c r="E219" s="375"/>
      <c r="F219" s="375"/>
      <c r="G219" s="1264"/>
      <c r="H219" s="381"/>
      <c r="I219" s="377">
        <f>SUM(J219:N219)</f>
        <v>8000</v>
      </c>
      <c r="J219" s="386"/>
      <c r="K219" s="386"/>
      <c r="L219" s="386"/>
      <c r="M219" s="386"/>
      <c r="N219" s="387">
        <v>8000</v>
      </c>
      <c r="P219" s="351"/>
    </row>
    <row r="220" spans="1:16" s="384" customFormat="1" ht="18" customHeight="1">
      <c r="A220" s="306">
        <v>213</v>
      </c>
      <c r="B220" s="380"/>
      <c r="C220" s="344"/>
      <c r="D220" s="379" t="s">
        <v>765</v>
      </c>
      <c r="E220" s="375"/>
      <c r="F220" s="375"/>
      <c r="G220" s="1264"/>
      <c r="H220" s="381"/>
      <c r="I220" s="375">
        <f>SUM(J220:N220)</f>
        <v>8000</v>
      </c>
      <c r="J220" s="388"/>
      <c r="K220" s="388"/>
      <c r="L220" s="388"/>
      <c r="M220" s="388"/>
      <c r="N220" s="389">
        <v>8000</v>
      </c>
      <c r="P220" s="351"/>
    </row>
    <row r="221" spans="1:16" s="384" customFormat="1" ht="18" customHeight="1">
      <c r="A221" s="306">
        <v>214</v>
      </c>
      <c r="B221" s="380"/>
      <c r="C221" s="344"/>
      <c r="D221" s="379" t="s">
        <v>1022</v>
      </c>
      <c r="E221" s="375"/>
      <c r="F221" s="375"/>
      <c r="G221" s="1264"/>
      <c r="H221" s="381"/>
      <c r="I221" s="166">
        <f>SUM(J221:Q221)</f>
        <v>8000</v>
      </c>
      <c r="J221" s="386"/>
      <c r="K221" s="386"/>
      <c r="L221" s="386"/>
      <c r="M221" s="386"/>
      <c r="N221" s="389">
        <v>8000</v>
      </c>
      <c r="P221" s="351"/>
    </row>
    <row r="222" spans="1:16" s="384" customFormat="1" ht="18" customHeight="1">
      <c r="A222" s="306">
        <v>215</v>
      </c>
      <c r="B222" s="380"/>
      <c r="C222" s="344"/>
      <c r="D222" s="401" t="s">
        <v>466</v>
      </c>
      <c r="E222" s="375">
        <v>1000</v>
      </c>
      <c r="F222" s="375"/>
      <c r="G222" s="1264">
        <v>2000</v>
      </c>
      <c r="H222" s="381"/>
      <c r="I222" s="385"/>
      <c r="J222" s="386"/>
      <c r="K222" s="386"/>
      <c r="L222" s="386"/>
      <c r="M222" s="386"/>
      <c r="N222" s="387"/>
      <c r="P222" s="351"/>
    </row>
    <row r="223" spans="1:16" s="384" customFormat="1" ht="18" customHeight="1">
      <c r="A223" s="306">
        <v>216</v>
      </c>
      <c r="B223" s="380"/>
      <c r="C223" s="344"/>
      <c r="D223" s="391" t="s">
        <v>198</v>
      </c>
      <c r="E223" s="375"/>
      <c r="F223" s="375"/>
      <c r="G223" s="1264"/>
      <c r="H223" s="381"/>
      <c r="I223" s="377">
        <f>SUM(J223:N223)</f>
        <v>7000</v>
      </c>
      <c r="J223" s="386"/>
      <c r="K223" s="386"/>
      <c r="L223" s="386"/>
      <c r="M223" s="386"/>
      <c r="N223" s="387">
        <v>7000</v>
      </c>
      <c r="P223" s="351"/>
    </row>
    <row r="224" spans="1:16" s="384" customFormat="1" ht="18" customHeight="1">
      <c r="A224" s="306">
        <v>217</v>
      </c>
      <c r="B224" s="380"/>
      <c r="C224" s="344"/>
      <c r="D224" s="379" t="s">
        <v>765</v>
      </c>
      <c r="E224" s="375"/>
      <c r="F224" s="375"/>
      <c r="G224" s="1264"/>
      <c r="H224" s="381"/>
      <c r="I224" s="375">
        <f>SUM(J224:N224)</f>
        <v>7000</v>
      </c>
      <c r="J224" s="388"/>
      <c r="K224" s="388"/>
      <c r="L224" s="388"/>
      <c r="M224" s="388"/>
      <c r="N224" s="389">
        <v>7000</v>
      </c>
      <c r="P224" s="351"/>
    </row>
    <row r="225" spans="1:16" s="384" customFormat="1" ht="18" customHeight="1">
      <c r="A225" s="306">
        <v>218</v>
      </c>
      <c r="B225" s="380"/>
      <c r="C225" s="344"/>
      <c r="D225" s="379" t="s">
        <v>1022</v>
      </c>
      <c r="E225" s="375"/>
      <c r="F225" s="375"/>
      <c r="G225" s="1264"/>
      <c r="H225" s="381"/>
      <c r="I225" s="166">
        <f>SUM(J225:Q225)</f>
        <v>7000</v>
      </c>
      <c r="J225" s="386"/>
      <c r="K225" s="386"/>
      <c r="L225" s="386"/>
      <c r="M225" s="386"/>
      <c r="N225" s="389">
        <v>7000</v>
      </c>
      <c r="P225" s="351"/>
    </row>
    <row r="226" spans="1:16" s="384" customFormat="1" ht="18" customHeight="1">
      <c r="A226" s="306">
        <v>219</v>
      </c>
      <c r="B226" s="380"/>
      <c r="C226" s="344"/>
      <c r="D226" s="401" t="s">
        <v>467</v>
      </c>
      <c r="E226" s="375"/>
      <c r="F226" s="375"/>
      <c r="G226" s="1264">
        <v>2000</v>
      </c>
      <c r="H226" s="381"/>
      <c r="I226" s="377"/>
      <c r="J226" s="386"/>
      <c r="K226" s="386"/>
      <c r="L226" s="386"/>
      <c r="M226" s="386"/>
      <c r="N226" s="387"/>
      <c r="P226" s="351"/>
    </row>
    <row r="227" spans="1:16" s="384" customFormat="1" ht="18" customHeight="1">
      <c r="A227" s="306">
        <v>220</v>
      </c>
      <c r="B227" s="380"/>
      <c r="C227" s="344"/>
      <c r="D227" s="391" t="s">
        <v>198</v>
      </c>
      <c r="E227" s="375"/>
      <c r="F227" s="375"/>
      <c r="G227" s="1264"/>
      <c r="H227" s="381"/>
      <c r="I227" s="377">
        <f>SUM(J227:N227)</f>
        <v>7000</v>
      </c>
      <c r="J227" s="386"/>
      <c r="K227" s="386"/>
      <c r="L227" s="386"/>
      <c r="M227" s="386"/>
      <c r="N227" s="387">
        <v>7000</v>
      </c>
      <c r="P227" s="351"/>
    </row>
    <row r="228" spans="1:16" s="384" customFormat="1" ht="18" customHeight="1">
      <c r="A228" s="306">
        <v>221</v>
      </c>
      <c r="B228" s="380"/>
      <c r="C228" s="344"/>
      <c r="D228" s="379" t="s">
        <v>765</v>
      </c>
      <c r="E228" s="375"/>
      <c r="F228" s="375"/>
      <c r="G228" s="1264"/>
      <c r="H228" s="381"/>
      <c r="I228" s="375">
        <f>SUM(J228:N228)</f>
        <v>7000</v>
      </c>
      <c r="J228" s="388"/>
      <c r="K228" s="388"/>
      <c r="L228" s="388"/>
      <c r="M228" s="388"/>
      <c r="N228" s="389">
        <v>7000</v>
      </c>
      <c r="P228" s="351"/>
    </row>
    <row r="229" spans="1:16" s="384" customFormat="1" ht="18" customHeight="1">
      <c r="A229" s="306">
        <v>222</v>
      </c>
      <c r="B229" s="380"/>
      <c r="C229" s="344"/>
      <c r="D229" s="379" t="s">
        <v>1022</v>
      </c>
      <c r="E229" s="375"/>
      <c r="F229" s="375"/>
      <c r="G229" s="1264"/>
      <c r="H229" s="381"/>
      <c r="I229" s="166">
        <f>SUM(J229:Q229)</f>
        <v>7000</v>
      </c>
      <c r="J229" s="386"/>
      <c r="K229" s="386"/>
      <c r="L229" s="386"/>
      <c r="M229" s="386"/>
      <c r="N229" s="389">
        <v>7000</v>
      </c>
      <c r="P229" s="351"/>
    </row>
    <row r="230" spans="1:16" s="384" customFormat="1" ht="22.5" customHeight="1">
      <c r="A230" s="306">
        <v>223</v>
      </c>
      <c r="B230" s="380"/>
      <c r="C230" s="344">
        <v>20</v>
      </c>
      <c r="D230" s="358" t="s">
        <v>468</v>
      </c>
      <c r="E230" s="375"/>
      <c r="F230" s="375"/>
      <c r="G230" s="1264"/>
      <c r="H230" s="346" t="s">
        <v>231</v>
      </c>
      <c r="I230" s="347"/>
      <c r="J230" s="378"/>
      <c r="K230" s="378"/>
      <c r="L230" s="378"/>
      <c r="M230" s="378"/>
      <c r="N230" s="383"/>
      <c r="P230" s="351"/>
    </row>
    <row r="231" spans="1:16" s="384" customFormat="1" ht="18" customHeight="1">
      <c r="A231" s="306">
        <v>224</v>
      </c>
      <c r="B231" s="380"/>
      <c r="C231" s="344"/>
      <c r="D231" s="345" t="s">
        <v>198</v>
      </c>
      <c r="E231" s="375"/>
      <c r="F231" s="375"/>
      <c r="G231" s="1264"/>
      <c r="H231" s="346"/>
      <c r="I231" s="347">
        <f>SUM(J231:N231)</f>
        <v>3800</v>
      </c>
      <c r="J231" s="378"/>
      <c r="K231" s="378"/>
      <c r="L231" s="378"/>
      <c r="M231" s="378"/>
      <c r="N231" s="360">
        <v>3800</v>
      </c>
      <c r="P231" s="351"/>
    </row>
    <row r="232" spans="1:16" s="384" customFormat="1" ht="18" customHeight="1">
      <c r="A232" s="306">
        <v>225</v>
      </c>
      <c r="B232" s="380"/>
      <c r="C232" s="344"/>
      <c r="D232" s="163" t="s">
        <v>765</v>
      </c>
      <c r="E232" s="375"/>
      <c r="F232" s="375"/>
      <c r="G232" s="1264"/>
      <c r="H232" s="346"/>
      <c r="I232" s="340">
        <f>SUM(J232:N232)</f>
        <v>0</v>
      </c>
      <c r="J232" s="364"/>
      <c r="K232" s="364"/>
      <c r="L232" s="364"/>
      <c r="M232" s="364"/>
      <c r="N232" s="363">
        <v>0</v>
      </c>
      <c r="P232" s="351"/>
    </row>
    <row r="233" spans="1:16" s="384" customFormat="1" ht="18" customHeight="1">
      <c r="A233" s="306">
        <v>226</v>
      </c>
      <c r="B233" s="380"/>
      <c r="C233" s="344"/>
      <c r="D233" s="165" t="s">
        <v>1021</v>
      </c>
      <c r="E233" s="375"/>
      <c r="F233" s="375"/>
      <c r="G233" s="1264"/>
      <c r="H233" s="346"/>
      <c r="I233" s="166">
        <f>SUM(J233:Q233)</f>
        <v>0</v>
      </c>
      <c r="J233" s="378"/>
      <c r="K233" s="378"/>
      <c r="L233" s="378"/>
      <c r="M233" s="378"/>
      <c r="N233" s="366"/>
      <c r="P233" s="351"/>
    </row>
    <row r="234" spans="1:16" s="384" customFormat="1" ht="22.5" customHeight="1">
      <c r="A234" s="306">
        <v>227</v>
      </c>
      <c r="B234" s="380"/>
      <c r="C234" s="344">
        <v>27</v>
      </c>
      <c r="D234" s="358" t="s">
        <v>469</v>
      </c>
      <c r="E234" s="375"/>
      <c r="F234" s="375"/>
      <c r="G234" s="1264"/>
      <c r="H234" s="346" t="s">
        <v>231</v>
      </c>
      <c r="I234" s="347"/>
      <c r="J234" s="378"/>
      <c r="K234" s="378"/>
      <c r="L234" s="378"/>
      <c r="M234" s="378"/>
      <c r="N234" s="383"/>
      <c r="P234" s="351"/>
    </row>
    <row r="235" spans="1:16" s="384" customFormat="1" ht="18" customHeight="1">
      <c r="A235" s="306">
        <v>228</v>
      </c>
      <c r="B235" s="380"/>
      <c r="C235" s="344"/>
      <c r="D235" s="345" t="s">
        <v>198</v>
      </c>
      <c r="E235" s="375"/>
      <c r="F235" s="375"/>
      <c r="G235" s="1264"/>
      <c r="H235" s="346"/>
      <c r="I235" s="347">
        <f>SUM(J235:N235)</f>
        <v>3000</v>
      </c>
      <c r="J235" s="378"/>
      <c r="K235" s="378"/>
      <c r="L235" s="378"/>
      <c r="M235" s="378"/>
      <c r="N235" s="360">
        <v>3000</v>
      </c>
      <c r="P235" s="351"/>
    </row>
    <row r="236" spans="1:16" s="384" customFormat="1" ht="18" customHeight="1">
      <c r="A236" s="306">
        <v>229</v>
      </c>
      <c r="B236" s="380"/>
      <c r="C236" s="344"/>
      <c r="D236" s="163" t="s">
        <v>765</v>
      </c>
      <c r="E236" s="375"/>
      <c r="F236" s="375"/>
      <c r="G236" s="1264"/>
      <c r="H236" s="346"/>
      <c r="I236" s="340">
        <f>SUM(J236:N236)</f>
        <v>3000</v>
      </c>
      <c r="J236" s="364"/>
      <c r="K236" s="364"/>
      <c r="L236" s="364"/>
      <c r="M236" s="364"/>
      <c r="N236" s="363">
        <v>3000</v>
      </c>
      <c r="P236" s="351"/>
    </row>
    <row r="237" spans="1:16" s="384" customFormat="1" ht="18" customHeight="1">
      <c r="A237" s="306">
        <v>230</v>
      </c>
      <c r="B237" s="380"/>
      <c r="C237" s="344"/>
      <c r="D237" s="165" t="s">
        <v>1022</v>
      </c>
      <c r="E237" s="375"/>
      <c r="F237" s="375"/>
      <c r="G237" s="1264"/>
      <c r="H237" s="346"/>
      <c r="I237" s="166">
        <f>SUM(J237:Q237)</f>
        <v>3000</v>
      </c>
      <c r="J237" s="378"/>
      <c r="K237" s="378"/>
      <c r="L237" s="378"/>
      <c r="M237" s="378"/>
      <c r="N237" s="366">
        <v>3000</v>
      </c>
      <c r="P237" s="351"/>
    </row>
    <row r="238" spans="1:16" s="307" customFormat="1" ht="22.5" customHeight="1">
      <c r="A238" s="306">
        <v>231</v>
      </c>
      <c r="B238" s="357"/>
      <c r="C238" s="344">
        <v>28</v>
      </c>
      <c r="D238" s="358" t="s">
        <v>470</v>
      </c>
      <c r="E238" s="1258"/>
      <c r="F238" s="1258"/>
      <c r="G238" s="1259"/>
      <c r="H238" s="346" t="s">
        <v>231</v>
      </c>
      <c r="I238" s="347"/>
      <c r="J238" s="348"/>
      <c r="K238" s="348"/>
      <c r="L238" s="348"/>
      <c r="M238" s="348"/>
      <c r="N238" s="350"/>
      <c r="P238" s="351"/>
    </row>
    <row r="239" spans="1:16" s="307" customFormat="1" ht="18" customHeight="1">
      <c r="A239" s="306">
        <v>232</v>
      </c>
      <c r="B239" s="357"/>
      <c r="C239" s="344"/>
      <c r="D239" s="345" t="s">
        <v>198</v>
      </c>
      <c r="E239" s="1258"/>
      <c r="F239" s="1258"/>
      <c r="G239" s="1259"/>
      <c r="H239" s="346"/>
      <c r="I239" s="347">
        <f>SUM(J239:N239)</f>
        <v>9600</v>
      </c>
      <c r="J239" s="348"/>
      <c r="K239" s="348"/>
      <c r="L239" s="349">
        <v>9600</v>
      </c>
      <c r="M239" s="348"/>
      <c r="N239" s="350"/>
      <c r="P239" s="351"/>
    </row>
    <row r="240" spans="1:16" s="307" customFormat="1" ht="18" customHeight="1">
      <c r="A240" s="306">
        <v>233</v>
      </c>
      <c r="B240" s="357"/>
      <c r="C240" s="344"/>
      <c r="D240" s="163" t="s">
        <v>765</v>
      </c>
      <c r="E240" s="1258"/>
      <c r="F240" s="1258"/>
      <c r="G240" s="1259"/>
      <c r="H240" s="346"/>
      <c r="I240" s="340">
        <f>SUM(J240:N240)</f>
        <v>3805</v>
      </c>
      <c r="J240" s="361"/>
      <c r="K240" s="361"/>
      <c r="L240" s="362">
        <v>3805</v>
      </c>
      <c r="M240" s="348"/>
      <c r="N240" s="350"/>
      <c r="P240" s="351"/>
    </row>
    <row r="241" spans="1:16" s="307" customFormat="1" ht="18" customHeight="1">
      <c r="A241" s="306">
        <v>234</v>
      </c>
      <c r="B241" s="357"/>
      <c r="C241" s="344"/>
      <c r="D241" s="165" t="s">
        <v>1021</v>
      </c>
      <c r="E241" s="1258"/>
      <c r="F241" s="1258"/>
      <c r="G241" s="1259"/>
      <c r="H241" s="346"/>
      <c r="I241" s="166">
        <f>SUM(J241:Q241)</f>
        <v>3805</v>
      </c>
      <c r="J241" s="348"/>
      <c r="K241" s="348"/>
      <c r="L241" s="364">
        <v>3805</v>
      </c>
      <c r="M241" s="348"/>
      <c r="N241" s="350"/>
      <c r="P241" s="351"/>
    </row>
    <row r="242" spans="1:16" s="351" customFormat="1" ht="22.5" customHeight="1">
      <c r="A242" s="306">
        <v>235</v>
      </c>
      <c r="B242" s="343"/>
      <c r="C242" s="344">
        <v>29</v>
      </c>
      <c r="D242" s="338" t="s">
        <v>471</v>
      </c>
      <c r="E242" s="1258"/>
      <c r="F242" s="1258"/>
      <c r="G242" s="1259"/>
      <c r="H242" s="346" t="s">
        <v>231</v>
      </c>
      <c r="I242" s="347"/>
      <c r="J242" s="348"/>
      <c r="K242" s="348"/>
      <c r="L242" s="348"/>
      <c r="M242" s="348"/>
      <c r="N242" s="350"/>
    </row>
    <row r="243" spans="1:16" s="351" customFormat="1" ht="22.5" customHeight="1">
      <c r="A243" s="306">
        <v>236</v>
      </c>
      <c r="B243" s="402"/>
      <c r="C243" s="344">
        <v>30</v>
      </c>
      <c r="D243" s="358" t="s">
        <v>472</v>
      </c>
      <c r="E243" s="1256"/>
      <c r="F243" s="1256"/>
      <c r="G243" s="1257"/>
      <c r="H243" s="346" t="s">
        <v>231</v>
      </c>
      <c r="I243" s="347"/>
      <c r="J243" s="356"/>
      <c r="K243" s="356"/>
      <c r="L243" s="356"/>
      <c r="M243" s="356"/>
      <c r="N243" s="353"/>
    </row>
    <row r="244" spans="1:16" s="351" customFormat="1" ht="18" customHeight="1">
      <c r="A244" s="306">
        <v>237</v>
      </c>
      <c r="B244" s="402"/>
      <c r="C244" s="344"/>
      <c r="D244" s="345" t="s">
        <v>198</v>
      </c>
      <c r="E244" s="1256"/>
      <c r="F244" s="1256"/>
      <c r="G244" s="1257"/>
      <c r="H244" s="346"/>
      <c r="I244" s="347">
        <f>SUM(J244:N244)</f>
        <v>50000</v>
      </c>
      <c r="J244" s="356"/>
      <c r="K244" s="356"/>
      <c r="L244" s="356"/>
      <c r="M244" s="356"/>
      <c r="N244" s="403">
        <v>50000</v>
      </c>
    </row>
    <row r="245" spans="1:16" s="351" customFormat="1" ht="18" customHeight="1">
      <c r="A245" s="306">
        <v>238</v>
      </c>
      <c r="B245" s="402"/>
      <c r="C245" s="344"/>
      <c r="D245" s="163" t="s">
        <v>765</v>
      </c>
      <c r="E245" s="1256"/>
      <c r="F245" s="1256"/>
      <c r="G245" s="1257"/>
      <c r="H245" s="346"/>
      <c r="I245" s="340">
        <f>SUM(J245:N245)</f>
        <v>0</v>
      </c>
      <c r="J245" s="341"/>
      <c r="K245" s="341"/>
      <c r="L245" s="341"/>
      <c r="M245" s="341"/>
      <c r="N245" s="404">
        <f>50000-50000</f>
        <v>0</v>
      </c>
    </row>
    <row r="246" spans="1:16" s="351" customFormat="1" ht="18" customHeight="1">
      <c r="A246" s="306">
        <v>239</v>
      </c>
      <c r="B246" s="402"/>
      <c r="C246" s="344"/>
      <c r="D246" s="165" t="s">
        <v>1022</v>
      </c>
      <c r="E246" s="1256"/>
      <c r="F246" s="1256"/>
      <c r="G246" s="1257"/>
      <c r="H246" s="346"/>
      <c r="I246" s="166">
        <f>SUM(J246:Q246)</f>
        <v>0</v>
      </c>
      <c r="J246" s="356"/>
      <c r="K246" s="356"/>
      <c r="L246" s="356"/>
      <c r="M246" s="356"/>
      <c r="N246" s="403"/>
    </row>
    <row r="247" spans="1:16" s="407" customFormat="1" ht="22.5" customHeight="1">
      <c r="A247" s="306">
        <v>240</v>
      </c>
      <c r="B247" s="405"/>
      <c r="C247" s="344">
        <v>31</v>
      </c>
      <c r="D247" s="358" t="s">
        <v>473</v>
      </c>
      <c r="E247" s="1256">
        <v>45000</v>
      </c>
      <c r="F247" s="1256">
        <v>20000</v>
      </c>
      <c r="G247" s="1257">
        <v>55000</v>
      </c>
      <c r="H247" s="346" t="s">
        <v>231</v>
      </c>
      <c r="I247" s="347"/>
      <c r="J247" s="356"/>
      <c r="K247" s="356"/>
      <c r="L247" s="356"/>
      <c r="M247" s="356"/>
      <c r="N247" s="353"/>
      <c r="O247" s="406"/>
      <c r="P247" s="351"/>
    </row>
    <row r="248" spans="1:16" s="407" customFormat="1" ht="18" customHeight="1">
      <c r="A248" s="306">
        <v>241</v>
      </c>
      <c r="B248" s="405"/>
      <c r="C248" s="344"/>
      <c r="D248" s="345" t="s">
        <v>198</v>
      </c>
      <c r="E248" s="1256"/>
      <c r="F248" s="1271"/>
      <c r="G248" s="1272"/>
      <c r="H248" s="346"/>
      <c r="I248" s="347">
        <f>SUM(J248:N248)</f>
        <v>45000</v>
      </c>
      <c r="J248" s="356"/>
      <c r="K248" s="356"/>
      <c r="L248" s="356"/>
      <c r="M248" s="356"/>
      <c r="N248" s="403">
        <v>45000</v>
      </c>
      <c r="O248" s="406"/>
      <c r="P248" s="351"/>
    </row>
    <row r="249" spans="1:16" s="407" customFormat="1" ht="18" customHeight="1">
      <c r="A249" s="306">
        <v>242</v>
      </c>
      <c r="B249" s="405"/>
      <c r="C249" s="344"/>
      <c r="D249" s="163" t="s">
        <v>765</v>
      </c>
      <c r="E249" s="1256"/>
      <c r="F249" s="1271"/>
      <c r="G249" s="1272"/>
      <c r="H249" s="346"/>
      <c r="I249" s="340">
        <f>SUM(J249:N249)</f>
        <v>85000</v>
      </c>
      <c r="J249" s="341"/>
      <c r="K249" s="341"/>
      <c r="L249" s="341"/>
      <c r="M249" s="341"/>
      <c r="N249" s="404">
        <v>85000</v>
      </c>
      <c r="O249" s="406"/>
      <c r="P249" s="351"/>
    </row>
    <row r="250" spans="1:16" s="407" customFormat="1" ht="18" customHeight="1">
      <c r="A250" s="306">
        <v>243</v>
      </c>
      <c r="B250" s="405"/>
      <c r="C250" s="344"/>
      <c r="D250" s="165" t="s">
        <v>1021</v>
      </c>
      <c r="E250" s="1256"/>
      <c r="F250" s="1271"/>
      <c r="G250" s="1272"/>
      <c r="H250" s="346"/>
      <c r="I250" s="166">
        <f>SUM(J250:Q250)</f>
        <v>85000</v>
      </c>
      <c r="J250" s="356"/>
      <c r="K250" s="356"/>
      <c r="L250" s="356"/>
      <c r="M250" s="356"/>
      <c r="N250" s="355">
        <v>85000</v>
      </c>
      <c r="O250" s="406"/>
      <c r="P250" s="351"/>
    </row>
    <row r="251" spans="1:16" s="307" customFormat="1" ht="22.5" customHeight="1">
      <c r="A251" s="306">
        <v>244</v>
      </c>
      <c r="B251" s="357"/>
      <c r="C251" s="344">
        <v>32</v>
      </c>
      <c r="D251" s="358" t="s">
        <v>474</v>
      </c>
      <c r="E251" s="1258"/>
      <c r="F251" s="1258"/>
      <c r="G251" s="1259"/>
      <c r="H251" s="346" t="s">
        <v>231</v>
      </c>
      <c r="I251" s="347"/>
      <c r="J251" s="348"/>
      <c r="K251" s="348"/>
      <c r="L251" s="348"/>
      <c r="M251" s="348"/>
      <c r="N251" s="350"/>
      <c r="P251" s="351"/>
    </row>
    <row r="252" spans="1:16" s="307" customFormat="1" ht="22.5" customHeight="1">
      <c r="A252" s="306">
        <v>245</v>
      </c>
      <c r="B252" s="357"/>
      <c r="C252" s="344"/>
      <c r="D252" s="163" t="s">
        <v>765</v>
      </c>
      <c r="E252" s="1258"/>
      <c r="F252" s="1258"/>
      <c r="G252" s="1259"/>
      <c r="H252" s="346"/>
      <c r="I252" s="164">
        <f>SUM(J252:Q252)</f>
        <v>5000</v>
      </c>
      <c r="J252" s="348"/>
      <c r="K252" s="348"/>
      <c r="L252" s="348"/>
      <c r="M252" s="348"/>
      <c r="N252" s="363">
        <v>5000</v>
      </c>
      <c r="P252" s="351"/>
    </row>
    <row r="253" spans="1:16" s="307" customFormat="1" ht="18" customHeight="1">
      <c r="A253" s="306">
        <v>246</v>
      </c>
      <c r="B253" s="357"/>
      <c r="C253" s="344"/>
      <c r="D253" s="165" t="s">
        <v>1022</v>
      </c>
      <c r="E253" s="1258"/>
      <c r="F253" s="1258"/>
      <c r="G253" s="1259"/>
      <c r="H253" s="346"/>
      <c r="I253" s="166">
        <f>SUM(J253:Q253)</f>
        <v>5000</v>
      </c>
      <c r="J253" s="348"/>
      <c r="K253" s="348"/>
      <c r="L253" s="348"/>
      <c r="M253" s="348"/>
      <c r="N253" s="366">
        <v>5000</v>
      </c>
      <c r="P253" s="351"/>
    </row>
    <row r="254" spans="1:16" s="373" customFormat="1" ht="22.5" customHeight="1">
      <c r="A254" s="306">
        <v>247</v>
      </c>
      <c r="B254" s="370"/>
      <c r="C254" s="344">
        <v>33</v>
      </c>
      <c r="D254" s="358" t="s">
        <v>475</v>
      </c>
      <c r="E254" s="1258"/>
      <c r="F254" s="375"/>
      <c r="G254" s="1264"/>
      <c r="H254" s="346" t="s">
        <v>231</v>
      </c>
      <c r="I254" s="347"/>
      <c r="J254" s="349"/>
      <c r="K254" s="349"/>
      <c r="L254" s="349"/>
      <c r="M254" s="349"/>
      <c r="N254" s="360"/>
    </row>
    <row r="255" spans="1:16" s="373" customFormat="1" ht="22.5" customHeight="1">
      <c r="A255" s="306">
        <v>248</v>
      </c>
      <c r="B255" s="370"/>
      <c r="C255" s="344">
        <v>34</v>
      </c>
      <c r="D255" s="358" t="s">
        <v>476</v>
      </c>
      <c r="E255" s="1258"/>
      <c r="F255" s="1258">
        <v>700</v>
      </c>
      <c r="G255" s="1258">
        <v>700</v>
      </c>
      <c r="H255" s="346" t="s">
        <v>231</v>
      </c>
      <c r="I255" s="347"/>
      <c r="J255" s="349"/>
      <c r="K255" s="349"/>
      <c r="L255" s="349"/>
      <c r="M255" s="349"/>
      <c r="N255" s="360"/>
    </row>
    <row r="256" spans="1:16" s="307" customFormat="1" ht="22.5" customHeight="1">
      <c r="A256" s="306">
        <v>249</v>
      </c>
      <c r="B256" s="357"/>
      <c r="C256" s="344">
        <v>35</v>
      </c>
      <c r="D256" s="358" t="s">
        <v>477</v>
      </c>
      <c r="E256" s="1258">
        <v>254500</v>
      </c>
      <c r="F256" s="1258">
        <v>327787</v>
      </c>
      <c r="G256" s="1259">
        <v>349950</v>
      </c>
      <c r="H256" s="346" t="s">
        <v>80</v>
      </c>
      <c r="I256" s="347"/>
      <c r="J256" s="348"/>
      <c r="K256" s="348"/>
      <c r="L256" s="348"/>
      <c r="M256" s="348"/>
      <c r="N256" s="350"/>
      <c r="P256" s="351"/>
    </row>
    <row r="257" spans="1:16" s="373" customFormat="1" ht="18" customHeight="1">
      <c r="A257" s="306">
        <v>250</v>
      </c>
      <c r="B257" s="370"/>
      <c r="C257" s="371"/>
      <c r="D257" s="345" t="s">
        <v>198</v>
      </c>
      <c r="E257" s="347"/>
      <c r="F257" s="347"/>
      <c r="G257" s="1263"/>
      <c r="H257" s="372"/>
      <c r="I257" s="347">
        <f>SUM(J257:N257)</f>
        <v>395787</v>
      </c>
      <c r="J257" s="349"/>
      <c r="K257" s="349"/>
      <c r="L257" s="349"/>
      <c r="M257" s="349"/>
      <c r="N257" s="360">
        <f>403450+337-8000</f>
        <v>395787</v>
      </c>
    </row>
    <row r="258" spans="1:16" s="373" customFormat="1" ht="18" customHeight="1">
      <c r="A258" s="306">
        <v>251</v>
      </c>
      <c r="B258" s="370"/>
      <c r="C258" s="371"/>
      <c r="D258" s="163" t="s">
        <v>765</v>
      </c>
      <c r="E258" s="347"/>
      <c r="F258" s="347"/>
      <c r="G258" s="1263"/>
      <c r="H258" s="372"/>
      <c r="I258" s="340">
        <f>SUM(J258:N258)</f>
        <v>447787</v>
      </c>
      <c r="J258" s="362"/>
      <c r="K258" s="362"/>
      <c r="L258" s="362"/>
      <c r="M258" s="362"/>
      <c r="N258" s="363">
        <f>435787+12000</f>
        <v>447787</v>
      </c>
    </row>
    <row r="259" spans="1:16" s="373" customFormat="1" ht="18" customHeight="1">
      <c r="A259" s="306">
        <v>252</v>
      </c>
      <c r="B259" s="370"/>
      <c r="C259" s="371"/>
      <c r="D259" s="165" t="s">
        <v>1021</v>
      </c>
      <c r="E259" s="347"/>
      <c r="F259" s="347"/>
      <c r="G259" s="1263"/>
      <c r="H259" s="372"/>
      <c r="I259" s="166">
        <f>SUM(J259:Q259)</f>
        <v>447400</v>
      </c>
      <c r="J259" s="349"/>
      <c r="K259" s="349"/>
      <c r="L259" s="349"/>
      <c r="M259" s="349"/>
      <c r="N259" s="366">
        <v>447400</v>
      </c>
    </row>
    <row r="260" spans="1:16" s="307" customFormat="1" ht="22.5" customHeight="1">
      <c r="A260" s="306">
        <v>253</v>
      </c>
      <c r="B260" s="357"/>
      <c r="C260" s="344">
        <v>36</v>
      </c>
      <c r="D260" s="358" t="s">
        <v>478</v>
      </c>
      <c r="E260" s="1258">
        <v>1250</v>
      </c>
      <c r="F260" s="1258">
        <v>2500</v>
      </c>
      <c r="G260" s="1259">
        <v>1250</v>
      </c>
      <c r="H260" s="346" t="s">
        <v>80</v>
      </c>
      <c r="I260" s="347"/>
      <c r="J260" s="348"/>
      <c r="K260" s="348"/>
      <c r="L260" s="348"/>
      <c r="M260" s="348"/>
      <c r="N260" s="350"/>
      <c r="P260" s="351"/>
    </row>
    <row r="261" spans="1:16" s="373" customFormat="1" ht="18" customHeight="1">
      <c r="A261" s="306">
        <v>254</v>
      </c>
      <c r="B261" s="370"/>
      <c r="C261" s="371"/>
      <c r="D261" s="345" t="s">
        <v>198</v>
      </c>
      <c r="E261" s="347"/>
      <c r="F261" s="347"/>
      <c r="G261" s="1263"/>
      <c r="H261" s="372"/>
      <c r="I261" s="347">
        <f>SUM(J261:N261)</f>
        <v>2500</v>
      </c>
      <c r="J261" s="349"/>
      <c r="K261" s="349"/>
      <c r="L261" s="349">
        <f>1250+1250</f>
        <v>2500</v>
      </c>
      <c r="M261" s="349"/>
      <c r="N261" s="360"/>
    </row>
    <row r="262" spans="1:16" s="373" customFormat="1" ht="18" customHeight="1">
      <c r="A262" s="306">
        <v>255</v>
      </c>
      <c r="B262" s="370"/>
      <c r="C262" s="371"/>
      <c r="D262" s="163" t="s">
        <v>765</v>
      </c>
      <c r="E262" s="347"/>
      <c r="F262" s="347"/>
      <c r="G262" s="1263"/>
      <c r="H262" s="372"/>
      <c r="I262" s="340">
        <f>SUM(J262:N262)</f>
        <v>2500</v>
      </c>
      <c r="J262" s="362"/>
      <c r="K262" s="362"/>
      <c r="L262" s="362">
        <v>2500</v>
      </c>
      <c r="M262" s="349"/>
      <c r="N262" s="360"/>
    </row>
    <row r="263" spans="1:16" s="373" customFormat="1" ht="18" customHeight="1">
      <c r="A263" s="306">
        <v>256</v>
      </c>
      <c r="B263" s="370"/>
      <c r="C263" s="371"/>
      <c r="D263" s="165" t="s">
        <v>1022</v>
      </c>
      <c r="E263" s="347"/>
      <c r="F263" s="347"/>
      <c r="G263" s="1263"/>
      <c r="H263" s="372"/>
      <c r="I263" s="166">
        <f>SUM(J263:Q263)</f>
        <v>1250</v>
      </c>
      <c r="J263" s="349"/>
      <c r="K263" s="349"/>
      <c r="L263" s="364">
        <v>1250</v>
      </c>
      <c r="M263" s="349"/>
      <c r="N263" s="360"/>
    </row>
    <row r="264" spans="1:16" s="307" customFormat="1" ht="22.5" customHeight="1">
      <c r="A264" s="306">
        <v>257</v>
      </c>
      <c r="B264" s="357"/>
      <c r="C264" s="344">
        <v>37</v>
      </c>
      <c r="D264" s="358" t="s">
        <v>479</v>
      </c>
      <c r="E264" s="1258"/>
      <c r="F264" s="1258"/>
      <c r="G264" s="1259"/>
      <c r="H264" s="346" t="s">
        <v>80</v>
      </c>
      <c r="I264" s="347"/>
      <c r="J264" s="348"/>
      <c r="K264" s="348"/>
      <c r="L264" s="348"/>
      <c r="M264" s="348"/>
      <c r="N264" s="350"/>
      <c r="P264" s="351"/>
    </row>
    <row r="265" spans="1:16" s="351" customFormat="1" ht="22.5" customHeight="1">
      <c r="A265" s="306">
        <v>258</v>
      </c>
      <c r="B265" s="343"/>
      <c r="C265" s="344">
        <v>38</v>
      </c>
      <c r="D265" s="338" t="s">
        <v>480</v>
      </c>
      <c r="E265" s="1258">
        <v>56773</v>
      </c>
      <c r="F265" s="1258">
        <v>136429</v>
      </c>
      <c r="G265" s="1259">
        <v>88532</v>
      </c>
      <c r="H265" s="346" t="s">
        <v>80</v>
      </c>
      <c r="I265" s="347"/>
      <c r="J265" s="348"/>
      <c r="K265" s="348"/>
      <c r="L265" s="348"/>
      <c r="M265" s="348"/>
      <c r="N265" s="350"/>
    </row>
    <row r="266" spans="1:16" s="373" customFormat="1" ht="18" customHeight="1">
      <c r="A266" s="306">
        <v>259</v>
      </c>
      <c r="B266" s="370"/>
      <c r="C266" s="371"/>
      <c r="D266" s="345" t="s">
        <v>198</v>
      </c>
      <c r="E266" s="347"/>
      <c r="F266" s="347"/>
      <c r="G266" s="1263"/>
      <c r="H266" s="372"/>
      <c r="I266" s="347">
        <f>SUM(J266:N266)</f>
        <v>139464</v>
      </c>
      <c r="J266" s="349"/>
      <c r="K266" s="349"/>
      <c r="L266" s="349">
        <v>139464</v>
      </c>
      <c r="M266" s="349"/>
      <c r="N266" s="360"/>
    </row>
    <row r="267" spans="1:16" s="373" customFormat="1" ht="18" customHeight="1">
      <c r="A267" s="306">
        <v>260</v>
      </c>
      <c r="B267" s="370"/>
      <c r="C267" s="371"/>
      <c r="D267" s="163" t="s">
        <v>765</v>
      </c>
      <c r="E267" s="347"/>
      <c r="F267" s="347"/>
      <c r="G267" s="1263"/>
      <c r="H267" s="372"/>
      <c r="I267" s="340">
        <f>SUM(J267:N267)</f>
        <v>176818</v>
      </c>
      <c r="J267" s="362"/>
      <c r="K267" s="362"/>
      <c r="L267" s="362">
        <v>176818</v>
      </c>
      <c r="M267" s="349"/>
      <c r="N267" s="360"/>
    </row>
    <row r="268" spans="1:16" s="373" customFormat="1" ht="18" customHeight="1">
      <c r="A268" s="306">
        <v>261</v>
      </c>
      <c r="B268" s="370"/>
      <c r="C268" s="371"/>
      <c r="D268" s="165" t="s">
        <v>1021</v>
      </c>
      <c r="E268" s="347"/>
      <c r="F268" s="347"/>
      <c r="G268" s="1263"/>
      <c r="H268" s="372"/>
      <c r="I268" s="166">
        <f>SUM(J268:Q268)</f>
        <v>86983</v>
      </c>
      <c r="J268" s="349"/>
      <c r="K268" s="349"/>
      <c r="L268" s="364">
        <v>86983</v>
      </c>
      <c r="M268" s="349"/>
      <c r="N268" s="360"/>
    </row>
    <row r="269" spans="1:16" s="307" customFormat="1" ht="22.5" customHeight="1">
      <c r="A269" s="306">
        <v>262</v>
      </c>
      <c r="B269" s="357"/>
      <c r="C269" s="344">
        <v>39</v>
      </c>
      <c r="D269" s="358" t="s">
        <v>481</v>
      </c>
      <c r="E269" s="1258">
        <v>3743</v>
      </c>
      <c r="F269" s="1258">
        <v>1533</v>
      </c>
      <c r="G269" s="1259">
        <v>1124</v>
      </c>
      <c r="H269" s="346" t="s">
        <v>80</v>
      </c>
      <c r="I269" s="385"/>
      <c r="J269" s="386"/>
      <c r="K269" s="386"/>
      <c r="L269" s="386"/>
      <c r="M269" s="386"/>
      <c r="N269" s="387"/>
      <c r="O269" s="351"/>
      <c r="P269" s="351"/>
    </row>
    <row r="270" spans="1:16" s="373" customFormat="1" ht="18" customHeight="1">
      <c r="A270" s="306">
        <v>263</v>
      </c>
      <c r="B270" s="370"/>
      <c r="C270" s="371"/>
      <c r="D270" s="345" t="s">
        <v>198</v>
      </c>
      <c r="E270" s="347"/>
      <c r="F270" s="347"/>
      <c r="G270" s="1263"/>
      <c r="H270" s="372"/>
      <c r="I270" s="347">
        <f>SUM(J270:N270)</f>
        <v>12459</v>
      </c>
      <c r="J270" s="349"/>
      <c r="K270" s="349"/>
      <c r="L270" s="349">
        <f>11500+959</f>
        <v>12459</v>
      </c>
      <c r="M270" s="349"/>
      <c r="N270" s="360"/>
    </row>
    <row r="271" spans="1:16" s="373" customFormat="1" ht="18" customHeight="1">
      <c r="A271" s="306">
        <v>264</v>
      </c>
      <c r="B271" s="370"/>
      <c r="C271" s="371"/>
      <c r="D271" s="163" t="s">
        <v>765</v>
      </c>
      <c r="E271" s="347"/>
      <c r="F271" s="347"/>
      <c r="G271" s="1263"/>
      <c r="H271" s="372"/>
      <c r="I271" s="340">
        <f>SUM(J271:N271)</f>
        <v>11639</v>
      </c>
      <c r="J271" s="362">
        <v>51</v>
      </c>
      <c r="K271" s="362">
        <v>22</v>
      </c>
      <c r="L271" s="362">
        <v>11566</v>
      </c>
      <c r="M271" s="349"/>
      <c r="N271" s="360"/>
    </row>
    <row r="272" spans="1:16" s="373" customFormat="1" ht="18" customHeight="1">
      <c r="A272" s="306">
        <v>265</v>
      </c>
      <c r="B272" s="370"/>
      <c r="C272" s="371"/>
      <c r="D272" s="165" t="s">
        <v>1021</v>
      </c>
      <c r="E272" s="347"/>
      <c r="F272" s="347"/>
      <c r="G272" s="1263"/>
      <c r="H272" s="372"/>
      <c r="I272" s="166">
        <f>SUM(J272:Q272)</f>
        <v>4637</v>
      </c>
      <c r="J272" s="364">
        <v>51</v>
      </c>
      <c r="K272" s="364">
        <v>22</v>
      </c>
      <c r="L272" s="364">
        <v>4564</v>
      </c>
      <c r="M272" s="349"/>
      <c r="N272" s="360"/>
    </row>
    <row r="273" spans="1:16" s="313" customFormat="1" ht="22.5" customHeight="1">
      <c r="A273" s="306">
        <v>266</v>
      </c>
      <c r="B273" s="408"/>
      <c r="C273" s="344">
        <v>42</v>
      </c>
      <c r="D273" s="358" t="s">
        <v>482</v>
      </c>
      <c r="E273" s="1258">
        <v>22750</v>
      </c>
      <c r="F273" s="1258">
        <v>43050</v>
      </c>
      <c r="G273" s="1259">
        <v>26700</v>
      </c>
      <c r="H273" s="346" t="s">
        <v>231</v>
      </c>
      <c r="I273" s="385"/>
      <c r="J273" s="386"/>
      <c r="K273" s="386"/>
      <c r="L273" s="386"/>
      <c r="M273" s="386"/>
      <c r="N273" s="387"/>
      <c r="O273" s="314"/>
      <c r="P273" s="314"/>
    </row>
    <row r="274" spans="1:16" s="373" customFormat="1" ht="18" customHeight="1">
      <c r="A274" s="306">
        <v>267</v>
      </c>
      <c r="B274" s="370"/>
      <c r="C274" s="371"/>
      <c r="D274" s="345" t="s">
        <v>198</v>
      </c>
      <c r="E274" s="347"/>
      <c r="F274" s="347"/>
      <c r="G274" s="1263"/>
      <c r="H274" s="372"/>
      <c r="I274" s="347">
        <f>SUM(J274:N274)</f>
        <v>61350</v>
      </c>
      <c r="J274" s="349"/>
      <c r="K274" s="349"/>
      <c r="L274" s="349">
        <f>45000+16350</f>
        <v>61350</v>
      </c>
      <c r="M274" s="349"/>
      <c r="N274" s="360"/>
    </row>
    <row r="275" spans="1:16" s="373" customFormat="1" ht="18" customHeight="1">
      <c r="A275" s="306">
        <v>268</v>
      </c>
      <c r="B275" s="370"/>
      <c r="C275" s="371"/>
      <c r="D275" s="163" t="s">
        <v>765</v>
      </c>
      <c r="E275" s="347"/>
      <c r="F275" s="347"/>
      <c r="G275" s="1263"/>
      <c r="H275" s="372"/>
      <c r="I275" s="340">
        <f>SUM(J275:N275)</f>
        <v>46398</v>
      </c>
      <c r="J275" s="362"/>
      <c r="K275" s="362"/>
      <c r="L275" s="362">
        <v>46398</v>
      </c>
      <c r="M275" s="349"/>
      <c r="N275" s="360"/>
    </row>
    <row r="276" spans="1:16" s="373" customFormat="1" ht="18" customHeight="1">
      <c r="A276" s="306">
        <v>269</v>
      </c>
      <c r="B276" s="370"/>
      <c r="C276" s="371"/>
      <c r="D276" s="165" t="s">
        <v>1021</v>
      </c>
      <c r="E276" s="347"/>
      <c r="F276" s="347"/>
      <c r="G276" s="1263"/>
      <c r="H276" s="372"/>
      <c r="I276" s="166">
        <f>SUM(J276:Q276)</f>
        <v>23961</v>
      </c>
      <c r="J276" s="349"/>
      <c r="K276" s="349"/>
      <c r="L276" s="364">
        <v>23961</v>
      </c>
      <c r="M276" s="349"/>
      <c r="N276" s="360"/>
    </row>
    <row r="277" spans="1:16" s="313" customFormat="1" ht="22.5" customHeight="1">
      <c r="A277" s="306">
        <v>270</v>
      </c>
      <c r="B277" s="408"/>
      <c r="C277" s="344">
        <v>43</v>
      </c>
      <c r="D277" s="358" t="s">
        <v>16</v>
      </c>
      <c r="E277" s="1258">
        <v>4885</v>
      </c>
      <c r="F277" s="1258">
        <v>6766</v>
      </c>
      <c r="G277" s="1259">
        <v>6952</v>
      </c>
      <c r="H277" s="346" t="s">
        <v>231</v>
      </c>
      <c r="I277" s="385"/>
      <c r="J277" s="386"/>
      <c r="K277" s="386"/>
      <c r="L277" s="386"/>
      <c r="M277" s="386"/>
      <c r="N277" s="387"/>
      <c r="O277" s="314"/>
      <c r="P277" s="314"/>
    </row>
    <row r="278" spans="1:16" s="373" customFormat="1" ht="18" customHeight="1">
      <c r="A278" s="306">
        <v>271</v>
      </c>
      <c r="B278" s="370"/>
      <c r="C278" s="371"/>
      <c r="D278" s="345" t="s">
        <v>198</v>
      </c>
      <c r="E278" s="347"/>
      <c r="F278" s="347"/>
      <c r="G278" s="1263"/>
      <c r="H278" s="372"/>
      <c r="I278" s="347">
        <f>SUM(J278:N278)</f>
        <v>7023</v>
      </c>
      <c r="J278" s="349"/>
      <c r="K278" s="349"/>
      <c r="L278" s="349">
        <f>5000+2023</f>
        <v>7023</v>
      </c>
      <c r="M278" s="349"/>
      <c r="N278" s="360"/>
    </row>
    <row r="279" spans="1:16" s="373" customFormat="1" ht="18" customHeight="1">
      <c r="A279" s="306">
        <v>272</v>
      </c>
      <c r="B279" s="370"/>
      <c r="C279" s="371"/>
      <c r="D279" s="163" t="s">
        <v>765</v>
      </c>
      <c r="E279" s="347"/>
      <c r="F279" s="347"/>
      <c r="G279" s="1263"/>
      <c r="H279" s="372"/>
      <c r="I279" s="340">
        <f>SUM(J279:N279)</f>
        <v>7523</v>
      </c>
      <c r="J279" s="362">
        <v>79</v>
      </c>
      <c r="K279" s="362">
        <v>173</v>
      </c>
      <c r="L279" s="362">
        <v>6021</v>
      </c>
      <c r="M279" s="362"/>
      <c r="N279" s="363">
        <v>1250</v>
      </c>
    </row>
    <row r="280" spans="1:16" s="373" customFormat="1" ht="18" customHeight="1">
      <c r="A280" s="306">
        <v>273</v>
      </c>
      <c r="B280" s="370"/>
      <c r="C280" s="371"/>
      <c r="D280" s="165" t="s">
        <v>1021</v>
      </c>
      <c r="E280" s="347"/>
      <c r="F280" s="347"/>
      <c r="G280" s="1263"/>
      <c r="H280" s="372"/>
      <c r="I280" s="166">
        <f>SUM(J280:Q280)</f>
        <v>5212</v>
      </c>
      <c r="J280" s="364"/>
      <c r="K280" s="364">
        <v>140</v>
      </c>
      <c r="L280" s="364">
        <v>4322</v>
      </c>
      <c r="M280" s="364"/>
      <c r="N280" s="366">
        <v>750</v>
      </c>
    </row>
    <row r="281" spans="1:16" s="313" customFormat="1" ht="22.5" customHeight="1">
      <c r="A281" s="306">
        <v>274</v>
      </c>
      <c r="B281" s="408"/>
      <c r="C281" s="344">
        <v>44</v>
      </c>
      <c r="D281" s="358" t="s">
        <v>483</v>
      </c>
      <c r="E281" s="1258">
        <f>SUM(E285,E289,E297,E301)</f>
        <v>431</v>
      </c>
      <c r="F281" s="1258">
        <f>SUM(F285,F289,F297,F301)</f>
        <v>3269</v>
      </c>
      <c r="G281" s="1259">
        <f>SUM(G285,G289,G297,G301)+G293</f>
        <v>4600</v>
      </c>
      <c r="H281" s="346" t="s">
        <v>231</v>
      </c>
      <c r="I281" s="385"/>
      <c r="J281" s="386"/>
      <c r="K281" s="386"/>
      <c r="L281" s="386"/>
      <c r="M281" s="386"/>
      <c r="N281" s="387"/>
      <c r="O281" s="314"/>
      <c r="P281" s="314"/>
    </row>
    <row r="282" spans="1:16" s="373" customFormat="1" ht="18" customHeight="1">
      <c r="A282" s="306">
        <v>275</v>
      </c>
      <c r="B282" s="370"/>
      <c r="C282" s="371"/>
      <c r="D282" s="345" t="s">
        <v>198</v>
      </c>
      <c r="E282" s="347"/>
      <c r="F282" s="347"/>
      <c r="G282" s="1263"/>
      <c r="H282" s="372"/>
      <c r="I282" s="347">
        <f>SUM(J282:N282)</f>
        <v>24100</v>
      </c>
      <c r="J282" s="396">
        <f t="shared" ref="J282:N283" si="3">SUM(J286,J302)+J290+J294+J298</f>
        <v>0</v>
      </c>
      <c r="K282" s="396">
        <f t="shared" si="3"/>
        <v>0</v>
      </c>
      <c r="L282" s="396">
        <f t="shared" si="3"/>
        <v>0</v>
      </c>
      <c r="M282" s="396">
        <f t="shared" si="3"/>
        <v>0</v>
      </c>
      <c r="N282" s="397">
        <f t="shared" si="3"/>
        <v>24100</v>
      </c>
    </row>
    <row r="283" spans="1:16" s="373" customFormat="1" ht="18" customHeight="1">
      <c r="A283" s="306">
        <v>276</v>
      </c>
      <c r="B283" s="370"/>
      <c r="C283" s="371"/>
      <c r="D283" s="163" t="s">
        <v>765</v>
      </c>
      <c r="E283" s="347"/>
      <c r="F283" s="347"/>
      <c r="G283" s="1263"/>
      <c r="H283" s="372"/>
      <c r="I283" s="340">
        <f>SUM(J283:N283)</f>
        <v>26200</v>
      </c>
      <c r="J283" s="398">
        <f t="shared" si="3"/>
        <v>0</v>
      </c>
      <c r="K283" s="398">
        <f t="shared" si="3"/>
        <v>0</v>
      </c>
      <c r="L283" s="398">
        <f t="shared" si="3"/>
        <v>0</v>
      </c>
      <c r="M283" s="398">
        <f t="shared" si="3"/>
        <v>0</v>
      </c>
      <c r="N283" s="399">
        <f t="shared" si="3"/>
        <v>26200</v>
      </c>
    </row>
    <row r="284" spans="1:16" s="373" customFormat="1" ht="18" customHeight="1">
      <c r="A284" s="306">
        <v>277</v>
      </c>
      <c r="B284" s="370"/>
      <c r="C284" s="371"/>
      <c r="D284" s="165" t="s">
        <v>1022</v>
      </c>
      <c r="E284" s="347"/>
      <c r="F284" s="347"/>
      <c r="G284" s="1263"/>
      <c r="H284" s="372"/>
      <c r="I284" s="166">
        <f>SUM(J284:Q284)</f>
        <v>16200</v>
      </c>
      <c r="J284" s="388">
        <f>J288+J292+J296+J300+J304</f>
        <v>0</v>
      </c>
      <c r="K284" s="388">
        <f>K288+K292+K296+K300+K304</f>
        <v>0</v>
      </c>
      <c r="L284" s="388">
        <f>L288+L292+L296+L300+L304</f>
        <v>0</v>
      </c>
      <c r="M284" s="388">
        <f>M288+M292+M296+M300+M304</f>
        <v>0</v>
      </c>
      <c r="N284" s="389">
        <f>N288+N292+N296+N300+N304</f>
        <v>16200</v>
      </c>
    </row>
    <row r="285" spans="1:16" s="409" customFormat="1" ht="18" customHeight="1">
      <c r="A285" s="306">
        <v>278</v>
      </c>
      <c r="B285" s="380"/>
      <c r="C285" s="344"/>
      <c r="D285" s="374" t="s">
        <v>484</v>
      </c>
      <c r="E285" s="1258"/>
      <c r="F285" s="375">
        <v>2500</v>
      </c>
      <c r="G285" s="375"/>
      <c r="H285" s="381"/>
      <c r="I285" s="382"/>
      <c r="J285" s="386"/>
      <c r="K285" s="386"/>
      <c r="L285" s="386"/>
      <c r="M285" s="386"/>
      <c r="N285" s="383"/>
      <c r="P285" s="410"/>
    </row>
    <row r="286" spans="1:16" s="411" customFormat="1" ht="18" customHeight="1">
      <c r="A286" s="306">
        <v>279</v>
      </c>
      <c r="B286" s="392"/>
      <c r="C286" s="371"/>
      <c r="D286" s="391" t="s">
        <v>198</v>
      </c>
      <c r="E286" s="347"/>
      <c r="F286" s="382"/>
      <c r="G286" s="1267"/>
      <c r="H286" s="395"/>
      <c r="I286" s="377">
        <f>SUM(J286:N286)</f>
        <v>3500</v>
      </c>
      <c r="J286" s="393"/>
      <c r="K286" s="393"/>
      <c r="L286" s="393"/>
      <c r="M286" s="393"/>
      <c r="N286" s="383">
        <v>3500</v>
      </c>
      <c r="P286" s="412"/>
    </row>
    <row r="287" spans="1:16" s="411" customFormat="1" ht="18" customHeight="1">
      <c r="A287" s="306">
        <v>280</v>
      </c>
      <c r="B287" s="392"/>
      <c r="C287" s="371"/>
      <c r="D287" s="379" t="s">
        <v>765</v>
      </c>
      <c r="E287" s="347"/>
      <c r="F287" s="382"/>
      <c r="G287" s="1267"/>
      <c r="H287" s="395"/>
      <c r="I287" s="375">
        <f>SUM(J287:N287)</f>
        <v>0</v>
      </c>
      <c r="J287" s="365"/>
      <c r="K287" s="365"/>
      <c r="L287" s="365"/>
      <c r="M287" s="365"/>
      <c r="N287" s="366">
        <v>0</v>
      </c>
      <c r="P287" s="412"/>
    </row>
    <row r="288" spans="1:16" s="411" customFormat="1" ht="18" customHeight="1">
      <c r="A288" s="306">
        <v>281</v>
      </c>
      <c r="B288" s="392"/>
      <c r="C288" s="371"/>
      <c r="D288" s="379" t="s">
        <v>1021</v>
      </c>
      <c r="E288" s="347"/>
      <c r="F288" s="382"/>
      <c r="G288" s="1267"/>
      <c r="H288" s="395"/>
      <c r="I288" s="166">
        <f>SUM(J288:Q288)</f>
        <v>0</v>
      </c>
      <c r="J288" s="393"/>
      <c r="K288" s="393"/>
      <c r="L288" s="393"/>
      <c r="M288" s="393"/>
      <c r="N288" s="366"/>
      <c r="P288" s="412"/>
    </row>
    <row r="289" spans="1:16" s="409" customFormat="1" ht="18" customHeight="1">
      <c r="A289" s="306">
        <v>282</v>
      </c>
      <c r="B289" s="380"/>
      <c r="C289" s="344"/>
      <c r="D289" s="374" t="s">
        <v>485</v>
      </c>
      <c r="E289" s="375"/>
      <c r="F289" s="375"/>
      <c r="G289" s="1264"/>
      <c r="H289" s="381"/>
      <c r="I289" s="413"/>
      <c r="J289" s="386"/>
      <c r="K289" s="386"/>
      <c r="L289" s="386"/>
      <c r="M289" s="386"/>
      <c r="N289" s="387"/>
      <c r="P289" s="410"/>
    </row>
    <row r="290" spans="1:16" s="409" customFormat="1" ht="18" customHeight="1">
      <c r="A290" s="306">
        <v>283</v>
      </c>
      <c r="B290" s="380"/>
      <c r="C290" s="344"/>
      <c r="D290" s="391" t="s">
        <v>198</v>
      </c>
      <c r="E290" s="375"/>
      <c r="F290" s="375"/>
      <c r="G290" s="1264"/>
      <c r="H290" s="381"/>
      <c r="I290" s="377">
        <f>SUM(J290:N290)</f>
        <v>15000</v>
      </c>
      <c r="J290" s="386"/>
      <c r="K290" s="386"/>
      <c r="L290" s="386"/>
      <c r="M290" s="386"/>
      <c r="N290" s="387">
        <v>15000</v>
      </c>
      <c r="P290" s="410"/>
    </row>
    <row r="291" spans="1:16" s="409" customFormat="1" ht="18" customHeight="1">
      <c r="A291" s="306">
        <v>284</v>
      </c>
      <c r="B291" s="380"/>
      <c r="C291" s="344"/>
      <c r="D291" s="379" t="s">
        <v>765</v>
      </c>
      <c r="E291" s="375"/>
      <c r="F291" s="375"/>
      <c r="G291" s="1264"/>
      <c r="H291" s="381"/>
      <c r="I291" s="375">
        <f>SUM(J291:N291)</f>
        <v>20000</v>
      </c>
      <c r="J291" s="388"/>
      <c r="K291" s="388"/>
      <c r="L291" s="388"/>
      <c r="M291" s="388"/>
      <c r="N291" s="389">
        <v>20000</v>
      </c>
      <c r="P291" s="410"/>
    </row>
    <row r="292" spans="1:16" s="409" customFormat="1" ht="18" customHeight="1">
      <c r="A292" s="306">
        <v>285</v>
      </c>
      <c r="B292" s="380"/>
      <c r="C292" s="344"/>
      <c r="D292" s="379" t="s">
        <v>1021</v>
      </c>
      <c r="E292" s="375"/>
      <c r="F292" s="375"/>
      <c r="G292" s="1264"/>
      <c r="H292" s="381"/>
      <c r="I292" s="166">
        <f>SUM(J292:Q292)</f>
        <v>10000</v>
      </c>
      <c r="J292" s="386"/>
      <c r="K292" s="386"/>
      <c r="L292" s="386"/>
      <c r="M292" s="386"/>
      <c r="N292" s="389">
        <v>10000</v>
      </c>
      <c r="P292" s="410"/>
    </row>
    <row r="293" spans="1:16" s="409" customFormat="1" ht="18" customHeight="1">
      <c r="A293" s="306">
        <v>286</v>
      </c>
      <c r="B293" s="380"/>
      <c r="C293" s="344"/>
      <c r="D293" s="374" t="s">
        <v>486</v>
      </c>
      <c r="E293" s="375"/>
      <c r="F293" s="375"/>
      <c r="G293" s="1264">
        <v>4000</v>
      </c>
      <c r="H293" s="381"/>
      <c r="I293" s="377"/>
      <c r="J293" s="386"/>
      <c r="K293" s="386"/>
      <c r="L293" s="386"/>
      <c r="M293" s="386"/>
      <c r="N293" s="387"/>
      <c r="P293" s="410"/>
    </row>
    <row r="294" spans="1:16" s="409" customFormat="1" ht="18" customHeight="1">
      <c r="A294" s="306">
        <v>287</v>
      </c>
      <c r="B294" s="380"/>
      <c r="C294" s="344"/>
      <c r="D294" s="391" t="s">
        <v>198</v>
      </c>
      <c r="E294" s="375"/>
      <c r="F294" s="375"/>
      <c r="G294" s="1264"/>
      <c r="H294" s="381"/>
      <c r="I294" s="377">
        <f>SUM(J294:N294)</f>
        <v>4000</v>
      </c>
      <c r="J294" s="386"/>
      <c r="K294" s="386"/>
      <c r="L294" s="386"/>
      <c r="M294" s="386"/>
      <c r="N294" s="387">
        <v>4000</v>
      </c>
      <c r="P294" s="410"/>
    </row>
    <row r="295" spans="1:16" s="409" customFormat="1" ht="18" customHeight="1">
      <c r="A295" s="306">
        <v>288</v>
      </c>
      <c r="B295" s="380"/>
      <c r="C295" s="344"/>
      <c r="D295" s="379" t="s">
        <v>765</v>
      </c>
      <c r="E295" s="375"/>
      <c r="F295" s="375"/>
      <c r="G295" s="1264"/>
      <c r="H295" s="381"/>
      <c r="I295" s="375">
        <f>SUM(J295:N295)</f>
        <v>4000</v>
      </c>
      <c r="J295" s="388"/>
      <c r="K295" s="388"/>
      <c r="L295" s="388"/>
      <c r="M295" s="388"/>
      <c r="N295" s="389">
        <v>4000</v>
      </c>
      <c r="P295" s="410"/>
    </row>
    <row r="296" spans="1:16" s="409" customFormat="1" ht="18" customHeight="1">
      <c r="A296" s="306">
        <v>289</v>
      </c>
      <c r="B296" s="380"/>
      <c r="C296" s="344"/>
      <c r="D296" s="379" t="s">
        <v>1022</v>
      </c>
      <c r="E296" s="375"/>
      <c r="F296" s="375"/>
      <c r="G296" s="1264"/>
      <c r="H296" s="381"/>
      <c r="I296" s="166">
        <f>SUM(J296:Q296)</f>
        <v>4000</v>
      </c>
      <c r="J296" s="386"/>
      <c r="K296" s="386"/>
      <c r="L296" s="386"/>
      <c r="M296" s="386"/>
      <c r="N296" s="389">
        <v>4000</v>
      </c>
      <c r="P296" s="410"/>
    </row>
    <row r="297" spans="1:16" s="409" customFormat="1" ht="18" customHeight="1">
      <c r="A297" s="306">
        <v>290</v>
      </c>
      <c r="B297" s="380"/>
      <c r="C297" s="344"/>
      <c r="D297" s="374" t="s">
        <v>487</v>
      </c>
      <c r="E297" s="375"/>
      <c r="F297" s="375"/>
      <c r="G297" s="1264"/>
      <c r="H297" s="381"/>
      <c r="I297" s="413"/>
      <c r="J297" s="386"/>
      <c r="K297" s="386"/>
      <c r="L297" s="386"/>
      <c r="M297" s="386"/>
      <c r="N297" s="387"/>
      <c r="P297" s="410"/>
    </row>
    <row r="298" spans="1:16" s="409" customFormat="1" ht="18" customHeight="1">
      <c r="A298" s="306">
        <v>291</v>
      </c>
      <c r="B298" s="380"/>
      <c r="C298" s="344"/>
      <c r="D298" s="391" t="s">
        <v>198</v>
      </c>
      <c r="E298" s="375"/>
      <c r="F298" s="375"/>
      <c r="G298" s="1264"/>
      <c r="H298" s="381"/>
      <c r="I298" s="377">
        <f>SUM(J298:N298)</f>
        <v>1000</v>
      </c>
      <c r="J298" s="386"/>
      <c r="K298" s="386"/>
      <c r="L298" s="386"/>
      <c r="M298" s="386"/>
      <c r="N298" s="387">
        <v>1000</v>
      </c>
      <c r="P298" s="410"/>
    </row>
    <row r="299" spans="1:16" s="409" customFormat="1" ht="18" customHeight="1">
      <c r="A299" s="306">
        <v>292</v>
      </c>
      <c r="B299" s="380"/>
      <c r="C299" s="344"/>
      <c r="D299" s="379" t="s">
        <v>765</v>
      </c>
      <c r="E299" s="375"/>
      <c r="F299" s="375"/>
      <c r="G299" s="1264"/>
      <c r="H299" s="381"/>
      <c r="I299" s="375">
        <f>SUM(J299:N299)</f>
        <v>1000</v>
      </c>
      <c r="J299" s="388"/>
      <c r="K299" s="388"/>
      <c r="L299" s="388"/>
      <c r="M299" s="388"/>
      <c r="N299" s="389">
        <v>1000</v>
      </c>
      <c r="P299" s="410"/>
    </row>
    <row r="300" spans="1:16" s="409" customFormat="1" ht="18" customHeight="1">
      <c r="A300" s="306">
        <v>293</v>
      </c>
      <c r="B300" s="380"/>
      <c r="C300" s="344"/>
      <c r="D300" s="379" t="s">
        <v>1022</v>
      </c>
      <c r="E300" s="375"/>
      <c r="F300" s="375"/>
      <c r="G300" s="1264"/>
      <c r="H300" s="381"/>
      <c r="I300" s="166">
        <f>SUM(J300:Q300)</f>
        <v>1000</v>
      </c>
      <c r="J300" s="386"/>
      <c r="K300" s="386"/>
      <c r="L300" s="386"/>
      <c r="M300" s="386"/>
      <c r="N300" s="389">
        <v>1000</v>
      </c>
      <c r="P300" s="410"/>
    </row>
    <row r="301" spans="1:16" s="409" customFormat="1" ht="18" customHeight="1">
      <c r="A301" s="306">
        <v>294</v>
      </c>
      <c r="B301" s="380"/>
      <c r="C301" s="344"/>
      <c r="D301" s="374" t="s">
        <v>488</v>
      </c>
      <c r="E301" s="375">
        <v>431</v>
      </c>
      <c r="F301" s="375">
        <v>769</v>
      </c>
      <c r="G301" s="1264">
        <v>600</v>
      </c>
      <c r="H301" s="381"/>
      <c r="I301" s="413"/>
      <c r="J301" s="386"/>
      <c r="K301" s="386"/>
      <c r="L301" s="386"/>
      <c r="M301" s="386"/>
      <c r="N301" s="387"/>
      <c r="P301" s="410"/>
    </row>
    <row r="302" spans="1:16" s="411" customFormat="1" ht="18" customHeight="1">
      <c r="A302" s="306">
        <v>295</v>
      </c>
      <c r="B302" s="392"/>
      <c r="C302" s="371"/>
      <c r="D302" s="391" t="s">
        <v>198</v>
      </c>
      <c r="E302" s="347"/>
      <c r="F302" s="382"/>
      <c r="G302" s="1267"/>
      <c r="H302" s="395"/>
      <c r="I302" s="377">
        <f>SUM(J302:N302)</f>
        <v>600</v>
      </c>
      <c r="J302" s="393"/>
      <c r="K302" s="393"/>
      <c r="L302" s="393"/>
      <c r="M302" s="393"/>
      <c r="N302" s="383">
        <v>600</v>
      </c>
      <c r="P302" s="412"/>
    </row>
    <row r="303" spans="1:16" s="411" customFormat="1" ht="18" customHeight="1">
      <c r="A303" s="306">
        <v>296</v>
      </c>
      <c r="B303" s="392"/>
      <c r="C303" s="371"/>
      <c r="D303" s="379" t="s">
        <v>765</v>
      </c>
      <c r="E303" s="347"/>
      <c r="F303" s="382"/>
      <c r="G303" s="1267"/>
      <c r="H303" s="395"/>
      <c r="I303" s="375">
        <f>SUM(J303:N303)</f>
        <v>1200</v>
      </c>
      <c r="J303" s="365"/>
      <c r="K303" s="365"/>
      <c r="L303" s="365"/>
      <c r="M303" s="365"/>
      <c r="N303" s="366">
        <v>1200</v>
      </c>
      <c r="P303" s="412"/>
    </row>
    <row r="304" spans="1:16" s="411" customFormat="1" ht="18" customHeight="1">
      <c r="A304" s="306">
        <v>297</v>
      </c>
      <c r="B304" s="392"/>
      <c r="C304" s="371"/>
      <c r="D304" s="379" t="s">
        <v>1021</v>
      </c>
      <c r="E304" s="347"/>
      <c r="F304" s="382"/>
      <c r="G304" s="1267"/>
      <c r="H304" s="395"/>
      <c r="I304" s="166">
        <f>SUM(J304:Q304)</f>
        <v>1200</v>
      </c>
      <c r="J304" s="393"/>
      <c r="K304" s="393"/>
      <c r="L304" s="393"/>
      <c r="M304" s="393"/>
      <c r="N304" s="366">
        <v>1200</v>
      </c>
      <c r="P304" s="412"/>
    </row>
    <row r="305" spans="1:16" s="313" customFormat="1" ht="22.5" customHeight="1">
      <c r="A305" s="306">
        <v>298</v>
      </c>
      <c r="B305" s="408"/>
      <c r="C305" s="344">
        <v>45</v>
      </c>
      <c r="D305" s="358" t="s">
        <v>489</v>
      </c>
      <c r="E305" s="1258">
        <f>SUM(E309,E310,E314)</f>
        <v>6600</v>
      </c>
      <c r="F305" s="1258">
        <f>SUM(F309,F310,F314)</f>
        <v>4700</v>
      </c>
      <c r="G305" s="1259">
        <f>SUM(G309,G310,G314)</f>
        <v>6000</v>
      </c>
      <c r="H305" s="346" t="s">
        <v>231</v>
      </c>
      <c r="I305" s="385"/>
      <c r="J305" s="386"/>
      <c r="K305" s="386"/>
      <c r="L305" s="386"/>
      <c r="M305" s="386"/>
      <c r="N305" s="387"/>
      <c r="O305" s="314"/>
      <c r="P305" s="314"/>
    </row>
    <row r="306" spans="1:16" s="373" customFormat="1" ht="18" customHeight="1">
      <c r="A306" s="306">
        <v>299</v>
      </c>
      <c r="B306" s="370"/>
      <c r="C306" s="371"/>
      <c r="D306" s="345" t="s">
        <v>198</v>
      </c>
      <c r="E306" s="347"/>
      <c r="F306" s="347"/>
      <c r="G306" s="1263"/>
      <c r="H306" s="372"/>
      <c r="I306" s="347">
        <f>SUM(J306:N306)</f>
        <v>18700</v>
      </c>
      <c r="J306" s="396">
        <f>J311+J315+J319+J323</f>
        <v>0</v>
      </c>
      <c r="K306" s="396">
        <f>K311+K315+K319+K323</f>
        <v>0</v>
      </c>
      <c r="L306" s="396">
        <f>L311+L315+L319+L323</f>
        <v>100</v>
      </c>
      <c r="M306" s="396">
        <f>M311+M315+M319+M323</f>
        <v>0</v>
      </c>
      <c r="N306" s="397">
        <f>N311+N315+N319+N323</f>
        <v>18600</v>
      </c>
    </row>
    <row r="307" spans="1:16" s="373" customFormat="1" ht="18" customHeight="1">
      <c r="A307" s="306">
        <v>300</v>
      </c>
      <c r="B307" s="370"/>
      <c r="C307" s="371"/>
      <c r="D307" s="163" t="s">
        <v>765</v>
      </c>
      <c r="E307" s="347"/>
      <c r="F307" s="347"/>
      <c r="G307" s="1263"/>
      <c r="H307" s="372"/>
      <c r="I307" s="340">
        <f>SUM(J307:N307)</f>
        <v>68700</v>
      </c>
      <c r="J307" s="398">
        <f t="shared" ref="J307:N308" si="4">J312+J316+J320+J324+J327+J330</f>
        <v>1500</v>
      </c>
      <c r="K307" s="398">
        <f t="shared" si="4"/>
        <v>495</v>
      </c>
      <c r="L307" s="398">
        <f t="shared" si="4"/>
        <v>10105</v>
      </c>
      <c r="M307" s="398">
        <f t="shared" si="4"/>
        <v>0</v>
      </c>
      <c r="N307" s="399">
        <f t="shared" si="4"/>
        <v>56600</v>
      </c>
    </row>
    <row r="308" spans="1:16" s="373" customFormat="1" ht="18" customHeight="1">
      <c r="A308" s="306">
        <v>301</v>
      </c>
      <c r="B308" s="370"/>
      <c r="C308" s="371"/>
      <c r="D308" s="165" t="s">
        <v>1022</v>
      </c>
      <c r="E308" s="347"/>
      <c r="F308" s="347"/>
      <c r="G308" s="1263"/>
      <c r="H308" s="372"/>
      <c r="I308" s="166">
        <f>SUM(J308:Q308)</f>
        <v>57605</v>
      </c>
      <c r="J308" s="388">
        <f t="shared" si="4"/>
        <v>9</v>
      </c>
      <c r="K308" s="388">
        <f t="shared" si="4"/>
        <v>0</v>
      </c>
      <c r="L308" s="388">
        <f t="shared" si="4"/>
        <v>1796</v>
      </c>
      <c r="M308" s="388">
        <f t="shared" si="4"/>
        <v>0</v>
      </c>
      <c r="N308" s="389">
        <f t="shared" si="4"/>
        <v>55800</v>
      </c>
    </row>
    <row r="309" spans="1:16" s="409" customFormat="1" ht="18" customHeight="1">
      <c r="A309" s="306">
        <v>302</v>
      </c>
      <c r="B309" s="380"/>
      <c r="C309" s="344"/>
      <c r="D309" s="374" t="s">
        <v>490</v>
      </c>
      <c r="E309" s="375">
        <v>5000</v>
      </c>
      <c r="F309" s="375">
        <v>3000</v>
      </c>
      <c r="G309" s="1264"/>
      <c r="H309" s="381"/>
      <c r="I309" s="382"/>
      <c r="J309" s="378"/>
      <c r="K309" s="378"/>
      <c r="L309" s="378"/>
      <c r="M309" s="378"/>
      <c r="N309" s="383"/>
      <c r="P309" s="410"/>
    </row>
    <row r="310" spans="1:16" s="409" customFormat="1" ht="18" customHeight="1">
      <c r="A310" s="306">
        <v>303</v>
      </c>
      <c r="B310" s="380"/>
      <c r="C310" s="344"/>
      <c r="D310" s="374" t="s">
        <v>491</v>
      </c>
      <c r="E310" s="375"/>
      <c r="F310" s="375"/>
      <c r="G310" s="1264">
        <v>5000</v>
      </c>
      <c r="H310" s="381"/>
      <c r="I310" s="377"/>
      <c r="J310" s="386"/>
      <c r="K310" s="386"/>
      <c r="L310" s="386"/>
      <c r="M310" s="386"/>
      <c r="N310" s="387"/>
      <c r="P310" s="410"/>
    </row>
    <row r="311" spans="1:16" s="409" customFormat="1" ht="18" customHeight="1">
      <c r="A311" s="306">
        <v>304</v>
      </c>
      <c r="B311" s="380"/>
      <c r="C311" s="344"/>
      <c r="D311" s="391" t="s">
        <v>198</v>
      </c>
      <c r="E311" s="375"/>
      <c r="F311" s="375"/>
      <c r="G311" s="1264"/>
      <c r="H311" s="381"/>
      <c r="I311" s="377">
        <f>SUM(J311:N311)</f>
        <v>5000</v>
      </c>
      <c r="J311" s="386"/>
      <c r="K311" s="386"/>
      <c r="L311" s="386"/>
      <c r="M311" s="386"/>
      <c r="N311" s="387">
        <v>5000</v>
      </c>
      <c r="P311" s="410"/>
    </row>
    <row r="312" spans="1:16" s="409" customFormat="1" ht="18" customHeight="1">
      <c r="A312" s="306">
        <v>305</v>
      </c>
      <c r="B312" s="380"/>
      <c r="C312" s="344"/>
      <c r="D312" s="379" t="s">
        <v>765</v>
      </c>
      <c r="E312" s="375"/>
      <c r="F312" s="375"/>
      <c r="G312" s="1264"/>
      <c r="H312" s="381"/>
      <c r="I312" s="375">
        <f>SUM(J312:N312)</f>
        <v>5000</v>
      </c>
      <c r="J312" s="388"/>
      <c r="K312" s="388"/>
      <c r="L312" s="388"/>
      <c r="M312" s="388"/>
      <c r="N312" s="389">
        <v>5000</v>
      </c>
      <c r="P312" s="410"/>
    </row>
    <row r="313" spans="1:16" s="409" customFormat="1" ht="18" customHeight="1">
      <c r="A313" s="306">
        <v>306</v>
      </c>
      <c r="B313" s="380"/>
      <c r="C313" s="344"/>
      <c r="D313" s="379" t="s">
        <v>1022</v>
      </c>
      <c r="E313" s="375"/>
      <c r="F313" s="375"/>
      <c r="G313" s="1264"/>
      <c r="H313" s="381"/>
      <c r="I313" s="166">
        <f>SUM(J313:Q313)</f>
        <v>5000</v>
      </c>
      <c r="J313" s="386"/>
      <c r="K313" s="386"/>
      <c r="L313" s="386"/>
      <c r="M313" s="386"/>
      <c r="N313" s="389">
        <v>5000</v>
      </c>
      <c r="P313" s="410"/>
    </row>
    <row r="314" spans="1:16" s="409" customFormat="1" ht="18" customHeight="1">
      <c r="A314" s="306">
        <v>307</v>
      </c>
      <c r="B314" s="380"/>
      <c r="C314" s="344"/>
      <c r="D314" s="374" t="s">
        <v>492</v>
      </c>
      <c r="E314" s="375">
        <v>1600</v>
      </c>
      <c r="F314" s="375">
        <v>1700</v>
      </c>
      <c r="G314" s="1264">
        <v>1000</v>
      </c>
      <c r="H314" s="381"/>
      <c r="I314" s="377"/>
      <c r="J314" s="386"/>
      <c r="K314" s="386"/>
      <c r="L314" s="386"/>
      <c r="M314" s="386"/>
      <c r="N314" s="387"/>
      <c r="P314" s="410"/>
    </row>
    <row r="315" spans="1:16" s="411" customFormat="1" ht="18" customHeight="1">
      <c r="A315" s="306">
        <v>308</v>
      </c>
      <c r="B315" s="392"/>
      <c r="C315" s="371"/>
      <c r="D315" s="391" t="s">
        <v>198</v>
      </c>
      <c r="E315" s="347"/>
      <c r="F315" s="382"/>
      <c r="G315" s="1267"/>
      <c r="H315" s="395"/>
      <c r="I315" s="377">
        <f>SUM(J315:N315)</f>
        <v>1700</v>
      </c>
      <c r="J315" s="393"/>
      <c r="K315" s="393"/>
      <c r="L315" s="378">
        <v>100</v>
      </c>
      <c r="M315" s="393"/>
      <c r="N315" s="383">
        <v>1600</v>
      </c>
      <c r="P315" s="412"/>
    </row>
    <row r="316" spans="1:16" s="411" customFormat="1" ht="18" customHeight="1">
      <c r="A316" s="306">
        <v>309</v>
      </c>
      <c r="B316" s="392"/>
      <c r="C316" s="371"/>
      <c r="D316" s="379" t="s">
        <v>765</v>
      </c>
      <c r="E316" s="347"/>
      <c r="F316" s="382"/>
      <c r="G316" s="1267"/>
      <c r="H316" s="395"/>
      <c r="I316" s="375">
        <f>SUM(J316:N316)</f>
        <v>1700</v>
      </c>
      <c r="J316" s="365"/>
      <c r="K316" s="365"/>
      <c r="L316" s="364">
        <v>100</v>
      </c>
      <c r="M316" s="365"/>
      <c r="N316" s="366">
        <v>1600</v>
      </c>
      <c r="P316" s="412"/>
    </row>
    <row r="317" spans="1:16" s="411" customFormat="1" ht="18" customHeight="1">
      <c r="A317" s="306">
        <v>310</v>
      </c>
      <c r="B317" s="392"/>
      <c r="C317" s="371"/>
      <c r="D317" s="379" t="s">
        <v>1022</v>
      </c>
      <c r="E317" s="347"/>
      <c r="F317" s="382"/>
      <c r="G317" s="1267"/>
      <c r="H317" s="395"/>
      <c r="I317" s="166">
        <f>SUM(J317:Q317)</f>
        <v>800</v>
      </c>
      <c r="J317" s="393"/>
      <c r="K317" s="393"/>
      <c r="L317" s="378"/>
      <c r="M317" s="393"/>
      <c r="N317" s="366">
        <v>800</v>
      </c>
      <c r="P317" s="412"/>
    </row>
    <row r="318" spans="1:16" s="411" customFormat="1" ht="18" customHeight="1">
      <c r="A318" s="306">
        <v>311</v>
      </c>
      <c r="B318" s="392"/>
      <c r="C318" s="371"/>
      <c r="D318" s="374" t="s">
        <v>493</v>
      </c>
      <c r="E318" s="347"/>
      <c r="F318" s="382"/>
      <c r="G318" s="1267"/>
      <c r="H318" s="395"/>
      <c r="I318" s="377"/>
      <c r="J318" s="393"/>
      <c r="K318" s="393"/>
      <c r="L318" s="393"/>
      <c r="M318" s="393"/>
      <c r="N318" s="383"/>
      <c r="P318" s="412"/>
    </row>
    <row r="319" spans="1:16" s="411" customFormat="1" ht="18" customHeight="1">
      <c r="A319" s="306">
        <v>312</v>
      </c>
      <c r="B319" s="392"/>
      <c r="C319" s="371"/>
      <c r="D319" s="391" t="s">
        <v>198</v>
      </c>
      <c r="E319" s="347"/>
      <c r="F319" s="382"/>
      <c r="G319" s="1267"/>
      <c r="H319" s="395"/>
      <c r="I319" s="377">
        <f>SUM(J319:N319)</f>
        <v>7000</v>
      </c>
      <c r="J319" s="393"/>
      <c r="K319" s="393"/>
      <c r="L319" s="393"/>
      <c r="M319" s="393"/>
      <c r="N319" s="383">
        <v>7000</v>
      </c>
      <c r="P319" s="412"/>
    </row>
    <row r="320" spans="1:16" s="411" customFormat="1" ht="18" customHeight="1">
      <c r="A320" s="306">
        <v>313</v>
      </c>
      <c r="B320" s="392"/>
      <c r="C320" s="371"/>
      <c r="D320" s="379" t="s">
        <v>765</v>
      </c>
      <c r="E320" s="347"/>
      <c r="F320" s="382"/>
      <c r="G320" s="1267"/>
      <c r="H320" s="395"/>
      <c r="I320" s="375">
        <f>SUM(J320:N320)</f>
        <v>7000</v>
      </c>
      <c r="J320" s="364">
        <v>1000</v>
      </c>
      <c r="K320" s="364">
        <v>330</v>
      </c>
      <c r="L320" s="364">
        <v>5670</v>
      </c>
      <c r="M320" s="365"/>
      <c r="N320" s="366">
        <v>0</v>
      </c>
      <c r="P320" s="412"/>
    </row>
    <row r="321" spans="1:16" s="411" customFormat="1" ht="18" customHeight="1">
      <c r="A321" s="306">
        <v>314</v>
      </c>
      <c r="B321" s="392"/>
      <c r="C321" s="371"/>
      <c r="D321" s="379" t="s">
        <v>1021</v>
      </c>
      <c r="E321" s="347"/>
      <c r="F321" s="382"/>
      <c r="G321" s="1267"/>
      <c r="H321" s="395"/>
      <c r="I321" s="166">
        <f>SUM(J321:Q321)</f>
        <v>715</v>
      </c>
      <c r="J321" s="364"/>
      <c r="K321" s="364"/>
      <c r="L321" s="364">
        <v>715</v>
      </c>
      <c r="M321" s="364"/>
      <c r="N321" s="366"/>
      <c r="P321" s="412"/>
    </row>
    <row r="322" spans="1:16" s="411" customFormat="1" ht="18" customHeight="1">
      <c r="A322" s="306">
        <v>315</v>
      </c>
      <c r="B322" s="392"/>
      <c r="C322" s="371"/>
      <c r="D322" s="374" t="s">
        <v>494</v>
      </c>
      <c r="E322" s="347"/>
      <c r="F322" s="382"/>
      <c r="G322" s="1267"/>
      <c r="H322" s="395"/>
      <c r="I322" s="377"/>
      <c r="J322" s="393"/>
      <c r="K322" s="393"/>
      <c r="L322" s="393"/>
      <c r="M322" s="393"/>
      <c r="N322" s="383"/>
      <c r="P322" s="412"/>
    </row>
    <row r="323" spans="1:16" s="411" customFormat="1" ht="18" customHeight="1">
      <c r="A323" s="306">
        <v>316</v>
      </c>
      <c r="B323" s="392"/>
      <c r="C323" s="371"/>
      <c r="D323" s="391" t="s">
        <v>198</v>
      </c>
      <c r="E323" s="347"/>
      <c r="F323" s="382"/>
      <c r="G323" s="1267"/>
      <c r="H323" s="395"/>
      <c r="I323" s="377">
        <f>SUM(J323:N323)</f>
        <v>5000</v>
      </c>
      <c r="J323" s="393"/>
      <c r="K323" s="393"/>
      <c r="L323" s="393"/>
      <c r="M323" s="393"/>
      <c r="N323" s="383">
        <v>5000</v>
      </c>
      <c r="P323" s="412"/>
    </row>
    <row r="324" spans="1:16" s="411" customFormat="1" ht="18" customHeight="1">
      <c r="A324" s="306">
        <v>317</v>
      </c>
      <c r="B324" s="392"/>
      <c r="C324" s="371"/>
      <c r="D324" s="379" t="s">
        <v>765</v>
      </c>
      <c r="E324" s="347"/>
      <c r="F324" s="382"/>
      <c r="G324" s="1267"/>
      <c r="H324" s="395"/>
      <c r="I324" s="375">
        <f>SUM(J324:N324)</f>
        <v>5000</v>
      </c>
      <c r="J324" s="364">
        <v>500</v>
      </c>
      <c r="K324" s="364">
        <v>165</v>
      </c>
      <c r="L324" s="364">
        <v>4335</v>
      </c>
      <c r="M324" s="365"/>
      <c r="N324" s="366">
        <v>0</v>
      </c>
      <c r="P324" s="412"/>
    </row>
    <row r="325" spans="1:16" s="411" customFormat="1" ht="18" customHeight="1">
      <c r="A325" s="306">
        <v>318</v>
      </c>
      <c r="B325" s="392"/>
      <c r="C325" s="371"/>
      <c r="D325" s="379" t="s">
        <v>1021</v>
      </c>
      <c r="E325" s="347"/>
      <c r="F325" s="382"/>
      <c r="G325" s="1267"/>
      <c r="H325" s="395"/>
      <c r="I325" s="166">
        <f>SUM(J325:Q325)</f>
        <v>1090</v>
      </c>
      <c r="J325" s="364">
        <v>9</v>
      </c>
      <c r="K325" s="364"/>
      <c r="L325" s="364">
        <v>1081</v>
      </c>
      <c r="M325" s="364"/>
      <c r="N325" s="366"/>
      <c r="P325" s="412"/>
    </row>
    <row r="326" spans="1:16" s="411" customFormat="1" ht="38.25" customHeight="1">
      <c r="A326" s="306">
        <v>319</v>
      </c>
      <c r="B326" s="392"/>
      <c r="C326" s="371"/>
      <c r="D326" s="379" t="s">
        <v>495</v>
      </c>
      <c r="E326" s="347"/>
      <c r="F326" s="382"/>
      <c r="G326" s="1267"/>
      <c r="H326" s="395"/>
      <c r="I326" s="166"/>
      <c r="J326" s="393"/>
      <c r="K326" s="393"/>
      <c r="L326" s="393"/>
      <c r="M326" s="393"/>
      <c r="N326" s="366"/>
      <c r="P326" s="412"/>
    </row>
    <row r="327" spans="1:16" s="411" customFormat="1" ht="18" customHeight="1">
      <c r="A327" s="306">
        <v>320</v>
      </c>
      <c r="B327" s="392"/>
      <c r="C327" s="371"/>
      <c r="D327" s="379" t="s">
        <v>765</v>
      </c>
      <c r="E327" s="347"/>
      <c r="F327" s="382"/>
      <c r="G327" s="1267"/>
      <c r="H327" s="395"/>
      <c r="I327" s="375">
        <f>SUM(J327:N327)</f>
        <v>30000</v>
      </c>
      <c r="J327" s="393"/>
      <c r="K327" s="393"/>
      <c r="L327" s="393"/>
      <c r="M327" s="393"/>
      <c r="N327" s="366">
        <v>30000</v>
      </c>
      <c r="P327" s="412"/>
    </row>
    <row r="328" spans="1:16" s="411" customFormat="1" ht="18" customHeight="1">
      <c r="A328" s="306">
        <v>321</v>
      </c>
      <c r="B328" s="392"/>
      <c r="C328" s="371"/>
      <c r="D328" s="379" t="s">
        <v>1021</v>
      </c>
      <c r="E328" s="347"/>
      <c r="F328" s="382"/>
      <c r="G328" s="1267"/>
      <c r="H328" s="395"/>
      <c r="I328" s="166">
        <f>SUM(J328:Q328)</f>
        <v>30000</v>
      </c>
      <c r="J328" s="393"/>
      <c r="K328" s="393"/>
      <c r="L328" s="393"/>
      <c r="M328" s="393"/>
      <c r="N328" s="366">
        <v>30000</v>
      </c>
      <c r="P328" s="412"/>
    </row>
    <row r="329" spans="1:16" s="411" customFormat="1" ht="18" customHeight="1">
      <c r="A329" s="306">
        <v>322</v>
      </c>
      <c r="B329" s="392"/>
      <c r="C329" s="371"/>
      <c r="D329" s="374" t="s">
        <v>496</v>
      </c>
      <c r="E329" s="347"/>
      <c r="F329" s="382"/>
      <c r="G329" s="1267"/>
      <c r="H329" s="395"/>
      <c r="I329" s="166"/>
      <c r="J329" s="393"/>
      <c r="K329" s="393"/>
      <c r="L329" s="393"/>
      <c r="M329" s="393"/>
      <c r="N329" s="366"/>
      <c r="P329" s="412"/>
    </row>
    <row r="330" spans="1:16" s="411" customFormat="1" ht="18" customHeight="1">
      <c r="A330" s="306">
        <v>323</v>
      </c>
      <c r="B330" s="392"/>
      <c r="C330" s="371"/>
      <c r="D330" s="379" t="s">
        <v>765</v>
      </c>
      <c r="E330" s="347"/>
      <c r="F330" s="382"/>
      <c r="G330" s="1267"/>
      <c r="H330" s="395"/>
      <c r="I330" s="375">
        <f>SUM(J330:N330)</f>
        <v>20000</v>
      </c>
      <c r="J330" s="393"/>
      <c r="K330" s="393"/>
      <c r="L330" s="393"/>
      <c r="M330" s="393"/>
      <c r="N330" s="366">
        <v>20000</v>
      </c>
      <c r="P330" s="412"/>
    </row>
    <row r="331" spans="1:16" s="411" customFormat="1" ht="18" customHeight="1">
      <c r="A331" s="306">
        <v>324</v>
      </c>
      <c r="B331" s="392"/>
      <c r="C331" s="371"/>
      <c r="D331" s="379" t="s">
        <v>1021</v>
      </c>
      <c r="E331" s="347"/>
      <c r="F331" s="382"/>
      <c r="G331" s="1267"/>
      <c r="H331" s="395"/>
      <c r="I331" s="166">
        <f>SUM(J331:Q331)</f>
        <v>20000</v>
      </c>
      <c r="J331" s="393"/>
      <c r="K331" s="393"/>
      <c r="L331" s="393"/>
      <c r="M331" s="393"/>
      <c r="N331" s="366">
        <v>20000</v>
      </c>
      <c r="P331" s="412"/>
    </row>
    <row r="332" spans="1:16" s="406" customFormat="1" ht="22.5" customHeight="1">
      <c r="A332" s="306">
        <v>325</v>
      </c>
      <c r="B332" s="414"/>
      <c r="C332" s="344">
        <v>46</v>
      </c>
      <c r="D332" s="358" t="s">
        <v>497</v>
      </c>
      <c r="E332" s="1258">
        <v>3000</v>
      </c>
      <c r="F332" s="375">
        <v>3000</v>
      </c>
      <c r="G332" s="1264">
        <v>33000</v>
      </c>
      <c r="H332" s="346" t="s">
        <v>231</v>
      </c>
      <c r="I332" s="382"/>
      <c r="J332" s="378"/>
      <c r="K332" s="378"/>
      <c r="L332" s="378"/>
      <c r="M332" s="378"/>
      <c r="N332" s="383"/>
      <c r="P332" s="314"/>
    </row>
    <row r="333" spans="1:16" s="394" customFormat="1" ht="18" customHeight="1">
      <c r="A333" s="306">
        <v>326</v>
      </c>
      <c r="B333" s="392"/>
      <c r="C333" s="371"/>
      <c r="D333" s="345" t="s">
        <v>198</v>
      </c>
      <c r="E333" s="347"/>
      <c r="F333" s="382"/>
      <c r="G333" s="1267"/>
      <c r="H333" s="395"/>
      <c r="I333" s="347">
        <f>SUM(J333:N333)</f>
        <v>25000</v>
      </c>
      <c r="J333" s="393"/>
      <c r="K333" s="393"/>
      <c r="L333" s="393"/>
      <c r="M333" s="393"/>
      <c r="N333" s="360">
        <f>35000-10000</f>
        <v>25000</v>
      </c>
      <c r="P333" s="373"/>
    </row>
    <row r="334" spans="1:16" s="394" customFormat="1" ht="18" customHeight="1">
      <c r="A334" s="306">
        <v>327</v>
      </c>
      <c r="B334" s="392"/>
      <c r="C334" s="371"/>
      <c r="D334" s="163" t="s">
        <v>765</v>
      </c>
      <c r="E334" s="347"/>
      <c r="F334" s="382"/>
      <c r="G334" s="1267"/>
      <c r="H334" s="395"/>
      <c r="I334" s="340">
        <f>SUM(J334:N334)</f>
        <v>33000</v>
      </c>
      <c r="J334" s="365"/>
      <c r="K334" s="365"/>
      <c r="L334" s="365"/>
      <c r="M334" s="365"/>
      <c r="N334" s="363">
        <v>33000</v>
      </c>
      <c r="P334" s="373"/>
    </row>
    <row r="335" spans="1:16" s="394" customFormat="1" ht="18" customHeight="1">
      <c r="A335" s="306">
        <v>328</v>
      </c>
      <c r="B335" s="392"/>
      <c r="C335" s="371"/>
      <c r="D335" s="165" t="s">
        <v>1021</v>
      </c>
      <c r="E335" s="347"/>
      <c r="F335" s="382"/>
      <c r="G335" s="1267"/>
      <c r="H335" s="395"/>
      <c r="I335" s="166">
        <f>SUM(J335:Q335)</f>
        <v>33000</v>
      </c>
      <c r="J335" s="393"/>
      <c r="K335" s="393"/>
      <c r="L335" s="393"/>
      <c r="M335" s="393"/>
      <c r="N335" s="366">
        <v>33000</v>
      </c>
      <c r="P335" s="373"/>
    </row>
    <row r="336" spans="1:16" s="313" customFormat="1" ht="22.5" customHeight="1">
      <c r="A336" s="306">
        <v>329</v>
      </c>
      <c r="B336" s="408"/>
      <c r="C336" s="344">
        <v>47</v>
      </c>
      <c r="D336" s="358" t="s">
        <v>498</v>
      </c>
      <c r="E336" s="1258"/>
      <c r="F336" s="1258"/>
      <c r="G336" s="1259"/>
      <c r="H336" s="346" t="s">
        <v>80</v>
      </c>
      <c r="I336" s="382"/>
      <c r="J336" s="386"/>
      <c r="K336" s="386"/>
      <c r="L336" s="386"/>
      <c r="M336" s="386"/>
      <c r="N336" s="387"/>
      <c r="O336" s="314"/>
      <c r="P336" s="314"/>
    </row>
    <row r="337" spans="1:16" s="313" customFormat="1" ht="22.5" customHeight="1">
      <c r="A337" s="306">
        <v>330</v>
      </c>
      <c r="B337" s="408"/>
      <c r="C337" s="344">
        <v>48</v>
      </c>
      <c r="D337" s="358" t="s">
        <v>499</v>
      </c>
      <c r="E337" s="1258"/>
      <c r="F337" s="1258">
        <v>100</v>
      </c>
      <c r="G337" s="1259"/>
      <c r="H337" s="346" t="s">
        <v>80</v>
      </c>
      <c r="I337" s="347"/>
      <c r="J337" s="348"/>
      <c r="K337" s="348"/>
      <c r="L337" s="348"/>
      <c r="M337" s="348"/>
      <c r="N337" s="350"/>
      <c r="P337" s="314"/>
    </row>
    <row r="338" spans="1:16" s="373" customFormat="1" ht="18" customHeight="1">
      <c r="A338" s="306">
        <v>331</v>
      </c>
      <c r="B338" s="370"/>
      <c r="C338" s="371"/>
      <c r="D338" s="345" t="s">
        <v>198</v>
      </c>
      <c r="E338" s="347"/>
      <c r="F338" s="347"/>
      <c r="G338" s="1263"/>
      <c r="H338" s="372"/>
      <c r="I338" s="347">
        <f>SUM(J338:N338)</f>
        <v>100</v>
      </c>
      <c r="J338" s="349"/>
      <c r="K338" s="349"/>
      <c r="L338" s="349"/>
      <c r="M338" s="349">
        <v>100</v>
      </c>
      <c r="N338" s="360"/>
    </row>
    <row r="339" spans="1:16" s="373" customFormat="1" ht="18" customHeight="1">
      <c r="A339" s="306">
        <v>332</v>
      </c>
      <c r="B339" s="370"/>
      <c r="C339" s="371"/>
      <c r="D339" s="163" t="s">
        <v>765</v>
      </c>
      <c r="E339" s="347"/>
      <c r="F339" s="347"/>
      <c r="G339" s="1263"/>
      <c r="H339" s="415"/>
      <c r="I339" s="340">
        <f>SUM(J339:N339)</f>
        <v>300</v>
      </c>
      <c r="J339" s="362"/>
      <c r="K339" s="362"/>
      <c r="L339" s="362"/>
      <c r="M339" s="362">
        <v>300</v>
      </c>
      <c r="N339" s="360"/>
    </row>
    <row r="340" spans="1:16" s="373" customFormat="1" ht="18" customHeight="1">
      <c r="A340" s="306">
        <v>333</v>
      </c>
      <c r="B340" s="370"/>
      <c r="C340" s="371"/>
      <c r="D340" s="165" t="s">
        <v>1021</v>
      </c>
      <c r="E340" s="347"/>
      <c r="F340" s="347"/>
      <c r="G340" s="1263"/>
      <c r="H340" s="415"/>
      <c r="I340" s="166">
        <f>SUM(J340:Q340)</f>
        <v>0</v>
      </c>
      <c r="J340" s="349"/>
      <c r="K340" s="349"/>
      <c r="L340" s="349"/>
      <c r="M340" s="364"/>
      <c r="N340" s="360"/>
    </row>
    <row r="341" spans="1:16" s="314" customFormat="1" ht="22.5" customHeight="1">
      <c r="A341" s="306">
        <v>334</v>
      </c>
      <c r="B341" s="416"/>
      <c r="C341" s="344">
        <v>49</v>
      </c>
      <c r="D341" s="338" t="s">
        <v>500</v>
      </c>
      <c r="E341" s="1258"/>
      <c r="F341" s="1258">
        <v>85</v>
      </c>
      <c r="G341" s="1259"/>
      <c r="H341" s="339" t="s">
        <v>80</v>
      </c>
      <c r="I341" s="347"/>
      <c r="J341" s="348"/>
      <c r="K341" s="348"/>
      <c r="L341" s="348"/>
      <c r="M341" s="348"/>
      <c r="N341" s="350"/>
    </row>
    <row r="342" spans="1:16" s="373" customFormat="1" ht="18" customHeight="1">
      <c r="A342" s="306">
        <v>335</v>
      </c>
      <c r="B342" s="370"/>
      <c r="C342" s="371"/>
      <c r="D342" s="345" t="s">
        <v>198</v>
      </c>
      <c r="E342" s="347"/>
      <c r="F342" s="347"/>
      <c r="G342" s="1263"/>
      <c r="H342" s="415"/>
      <c r="I342" s="347">
        <f>SUM(J342:N342)</f>
        <v>85</v>
      </c>
      <c r="J342" s="349"/>
      <c r="K342" s="349"/>
      <c r="L342" s="349"/>
      <c r="M342" s="349">
        <v>85</v>
      </c>
      <c r="N342" s="360"/>
    </row>
    <row r="343" spans="1:16" s="373" customFormat="1" ht="18" customHeight="1">
      <c r="A343" s="306">
        <v>336</v>
      </c>
      <c r="B343" s="370"/>
      <c r="C343" s="371"/>
      <c r="D343" s="163" t="s">
        <v>765</v>
      </c>
      <c r="E343" s="347"/>
      <c r="F343" s="347"/>
      <c r="G343" s="1263"/>
      <c r="H343" s="415"/>
      <c r="I343" s="340">
        <f>SUM(J343:N343)</f>
        <v>249</v>
      </c>
      <c r="J343" s="362"/>
      <c r="K343" s="362"/>
      <c r="L343" s="362"/>
      <c r="M343" s="362">
        <v>249</v>
      </c>
      <c r="N343" s="360"/>
    </row>
    <row r="344" spans="1:16" s="373" customFormat="1" ht="18" customHeight="1">
      <c r="A344" s="306">
        <v>337</v>
      </c>
      <c r="B344" s="370"/>
      <c r="C344" s="371"/>
      <c r="D344" s="165" t="s">
        <v>1021</v>
      </c>
      <c r="E344" s="347"/>
      <c r="F344" s="347"/>
      <c r="G344" s="1263"/>
      <c r="H344" s="415"/>
      <c r="I344" s="166">
        <f>SUM(J344:Q344)</f>
        <v>13</v>
      </c>
      <c r="J344" s="349"/>
      <c r="K344" s="349"/>
      <c r="L344" s="349"/>
      <c r="M344" s="364">
        <v>13</v>
      </c>
      <c r="N344" s="360"/>
    </row>
    <row r="345" spans="1:16" s="313" customFormat="1" ht="22.5" customHeight="1">
      <c r="A345" s="306">
        <v>338</v>
      </c>
      <c r="B345" s="408"/>
      <c r="C345" s="344">
        <v>50</v>
      </c>
      <c r="D345" s="358" t="s">
        <v>501</v>
      </c>
      <c r="E345" s="1258">
        <f>SUM(E349,E358,E362,E366,E370,E374,E378,E382)+E354+E353</f>
        <v>10915</v>
      </c>
      <c r="F345" s="1258">
        <f>SUM(F349,F358,F362,F366,F370,F374,F378,F382)+F354+F353</f>
        <v>30710</v>
      </c>
      <c r="G345" s="1258">
        <f>SUM(G349,G358,G362,G366,G370,G374,G378,G382)+G354+G353</f>
        <v>10213</v>
      </c>
      <c r="H345" s="346"/>
      <c r="I345" s="367"/>
      <c r="J345" s="368"/>
      <c r="K345" s="368"/>
      <c r="L345" s="368"/>
      <c r="M345" s="368"/>
      <c r="N345" s="369"/>
      <c r="O345" s="314"/>
      <c r="P345" s="314"/>
    </row>
    <row r="346" spans="1:16" s="373" customFormat="1" ht="18" customHeight="1">
      <c r="A346" s="306">
        <v>339</v>
      </c>
      <c r="B346" s="370"/>
      <c r="C346" s="371"/>
      <c r="D346" s="345" t="s">
        <v>198</v>
      </c>
      <c r="E346" s="347"/>
      <c r="F346" s="347"/>
      <c r="G346" s="1263"/>
      <c r="H346" s="372"/>
      <c r="I346" s="347">
        <f>SUM(J346:N346)</f>
        <v>49510</v>
      </c>
      <c r="J346" s="349">
        <f t="shared" ref="J346:N347" si="5">SUM(J350,J359,J363,J367,J371,J375,J379,J383)+J355+J387</f>
        <v>0</v>
      </c>
      <c r="K346" s="349">
        <f t="shared" si="5"/>
        <v>0</v>
      </c>
      <c r="L346" s="349">
        <f t="shared" si="5"/>
        <v>0</v>
      </c>
      <c r="M346" s="349">
        <f t="shared" si="5"/>
        <v>49510</v>
      </c>
      <c r="N346" s="360">
        <f t="shared" si="5"/>
        <v>0</v>
      </c>
    </row>
    <row r="347" spans="1:16" s="373" customFormat="1" ht="18" customHeight="1">
      <c r="A347" s="306">
        <v>340</v>
      </c>
      <c r="B347" s="370"/>
      <c r="C347" s="371"/>
      <c r="D347" s="163" t="s">
        <v>765</v>
      </c>
      <c r="E347" s="347"/>
      <c r="F347" s="347"/>
      <c r="G347" s="1263"/>
      <c r="H347" s="372"/>
      <c r="I347" s="340">
        <f>SUM(J347:N347)</f>
        <v>41385</v>
      </c>
      <c r="J347" s="362">
        <f t="shared" si="5"/>
        <v>0</v>
      </c>
      <c r="K347" s="362">
        <f t="shared" si="5"/>
        <v>0</v>
      </c>
      <c r="L347" s="362">
        <f t="shared" si="5"/>
        <v>0</v>
      </c>
      <c r="M347" s="362">
        <f t="shared" si="5"/>
        <v>41385</v>
      </c>
      <c r="N347" s="363">
        <f t="shared" si="5"/>
        <v>0</v>
      </c>
    </row>
    <row r="348" spans="1:16" s="373" customFormat="1" ht="18" customHeight="1">
      <c r="A348" s="306">
        <v>341</v>
      </c>
      <c r="B348" s="370"/>
      <c r="C348" s="371"/>
      <c r="D348" s="165" t="s">
        <v>1022</v>
      </c>
      <c r="E348" s="347"/>
      <c r="F348" s="347"/>
      <c r="G348" s="1263"/>
      <c r="H348" s="372"/>
      <c r="I348" s="166">
        <f>SUM(J348:Q348)</f>
        <v>15255</v>
      </c>
      <c r="J348" s="364">
        <f>J352+J357+J361+J365+J369+J373+J377+J381+J385+J389</f>
        <v>0</v>
      </c>
      <c r="K348" s="364">
        <f>K352+K357+K361+K365+K369+K373+K377+K381+K385+K389</f>
        <v>0</v>
      </c>
      <c r="L348" s="364">
        <f>L352+L357+L361+L365+L369+L373+L377+L381+L385+L389</f>
        <v>0</v>
      </c>
      <c r="M348" s="364">
        <f>M352+M357+M361+M365+M369+M373+M377+M381+M385+M389</f>
        <v>15255</v>
      </c>
      <c r="N348" s="366">
        <f>N352+N357+N361+N365+N369+N373+N377+N381+N385+N389</f>
        <v>0</v>
      </c>
    </row>
    <row r="349" spans="1:16" s="409" customFormat="1" ht="18" customHeight="1">
      <c r="A349" s="306">
        <v>342</v>
      </c>
      <c r="B349" s="380"/>
      <c r="C349" s="344"/>
      <c r="D349" s="374" t="s">
        <v>502</v>
      </c>
      <c r="E349" s="375">
        <v>2193</v>
      </c>
      <c r="F349" s="375">
        <v>2500</v>
      </c>
      <c r="G349" s="1264">
        <v>2811</v>
      </c>
      <c r="H349" s="381" t="s">
        <v>80</v>
      </c>
      <c r="I349" s="382"/>
      <c r="J349" s="378"/>
      <c r="K349" s="378"/>
      <c r="L349" s="378"/>
      <c r="M349" s="378"/>
      <c r="N349" s="383"/>
      <c r="P349" s="410"/>
    </row>
    <row r="350" spans="1:16" s="411" customFormat="1" ht="18" customHeight="1">
      <c r="A350" s="306">
        <v>343</v>
      </c>
      <c r="B350" s="392"/>
      <c r="C350" s="371"/>
      <c r="D350" s="391" t="s">
        <v>198</v>
      </c>
      <c r="E350" s="382"/>
      <c r="F350" s="382"/>
      <c r="G350" s="1267"/>
      <c r="H350" s="395"/>
      <c r="I350" s="377">
        <f>SUM(J350:N350)</f>
        <v>3000</v>
      </c>
      <c r="J350" s="393"/>
      <c r="K350" s="393"/>
      <c r="L350" s="393"/>
      <c r="M350" s="378">
        <v>3000</v>
      </c>
      <c r="N350" s="417"/>
      <c r="P350" s="412"/>
    </row>
    <row r="351" spans="1:16" s="411" customFormat="1" ht="18" customHeight="1">
      <c r="A351" s="306">
        <v>344</v>
      </c>
      <c r="B351" s="392"/>
      <c r="C351" s="371"/>
      <c r="D351" s="379" t="s">
        <v>765</v>
      </c>
      <c r="E351" s="382"/>
      <c r="F351" s="382"/>
      <c r="G351" s="1267"/>
      <c r="H351" s="395"/>
      <c r="I351" s="375">
        <f>SUM(J351:N351)</f>
        <v>10658</v>
      </c>
      <c r="J351" s="365"/>
      <c r="K351" s="365"/>
      <c r="L351" s="365"/>
      <c r="M351" s="364">
        <v>10658</v>
      </c>
      <c r="N351" s="417"/>
      <c r="P351" s="412"/>
    </row>
    <row r="352" spans="1:16" s="411" customFormat="1" ht="18" customHeight="1">
      <c r="A352" s="306">
        <v>345</v>
      </c>
      <c r="B352" s="392"/>
      <c r="C352" s="371"/>
      <c r="D352" s="379" t="s">
        <v>1021</v>
      </c>
      <c r="E352" s="382"/>
      <c r="F352" s="382"/>
      <c r="G352" s="1267"/>
      <c r="H352" s="395"/>
      <c r="I352" s="166">
        <f>SUM(J352:Q352)</f>
        <v>5397</v>
      </c>
      <c r="J352" s="393"/>
      <c r="K352" s="393"/>
      <c r="L352" s="393"/>
      <c r="M352" s="364">
        <v>5397</v>
      </c>
      <c r="N352" s="417"/>
      <c r="P352" s="412"/>
    </row>
    <row r="353" spans="1:16" s="411" customFormat="1" ht="18" customHeight="1">
      <c r="A353" s="306">
        <v>346</v>
      </c>
      <c r="B353" s="392"/>
      <c r="C353" s="371"/>
      <c r="D353" s="400" t="s">
        <v>503</v>
      </c>
      <c r="E353" s="375">
        <v>990</v>
      </c>
      <c r="F353" s="375">
        <v>13500</v>
      </c>
      <c r="G353" s="1264"/>
      <c r="H353" s="381" t="s">
        <v>231</v>
      </c>
      <c r="I353" s="377"/>
      <c r="J353" s="393"/>
      <c r="K353" s="393"/>
      <c r="L353" s="393"/>
      <c r="M353" s="378"/>
      <c r="N353" s="417"/>
      <c r="P353" s="412"/>
    </row>
    <row r="354" spans="1:16" s="409" customFormat="1" ht="18" customHeight="1">
      <c r="A354" s="306">
        <v>347</v>
      </c>
      <c r="B354" s="380"/>
      <c r="C354" s="344"/>
      <c r="D354" s="400" t="s">
        <v>504</v>
      </c>
      <c r="E354" s="375">
        <v>1066</v>
      </c>
      <c r="F354" s="375">
        <v>1500</v>
      </c>
      <c r="G354" s="1264">
        <v>730</v>
      </c>
      <c r="H354" s="381" t="s">
        <v>231</v>
      </c>
      <c r="I354" s="377"/>
      <c r="J354" s="378"/>
      <c r="K354" s="378"/>
      <c r="L354" s="378"/>
      <c r="M354" s="378"/>
      <c r="N354" s="383"/>
      <c r="P354" s="410"/>
    </row>
    <row r="355" spans="1:16" s="411" customFormat="1" ht="18" customHeight="1">
      <c r="A355" s="306">
        <v>348</v>
      </c>
      <c r="B355" s="392"/>
      <c r="C355" s="371"/>
      <c r="D355" s="391" t="s">
        <v>198</v>
      </c>
      <c r="E355" s="382"/>
      <c r="F355" s="382"/>
      <c r="G355" s="1267"/>
      <c r="H355" s="395"/>
      <c r="I355" s="377">
        <f>SUM(J355:N355)</f>
        <v>3000</v>
      </c>
      <c r="J355" s="393"/>
      <c r="K355" s="393"/>
      <c r="L355" s="393"/>
      <c r="M355" s="378">
        <v>3000</v>
      </c>
      <c r="N355" s="417"/>
      <c r="P355" s="412"/>
    </row>
    <row r="356" spans="1:16" s="411" customFormat="1" ht="18" customHeight="1">
      <c r="A356" s="306">
        <v>349</v>
      </c>
      <c r="B356" s="392"/>
      <c r="C356" s="371"/>
      <c r="D356" s="379" t="s">
        <v>765</v>
      </c>
      <c r="E356" s="382"/>
      <c r="F356" s="382"/>
      <c r="G356" s="1267"/>
      <c r="H356" s="395"/>
      <c r="I356" s="375">
        <f>SUM(J356:N356)</f>
        <v>3833</v>
      </c>
      <c r="J356" s="365"/>
      <c r="K356" s="365"/>
      <c r="L356" s="365"/>
      <c r="M356" s="364">
        <v>3833</v>
      </c>
      <c r="N356" s="417"/>
      <c r="P356" s="412"/>
    </row>
    <row r="357" spans="1:16" s="411" customFormat="1" ht="18" customHeight="1">
      <c r="A357" s="306">
        <v>350</v>
      </c>
      <c r="B357" s="392"/>
      <c r="C357" s="371"/>
      <c r="D357" s="379" t="s">
        <v>1021</v>
      </c>
      <c r="E357" s="382"/>
      <c r="F357" s="382"/>
      <c r="G357" s="1267"/>
      <c r="H357" s="395"/>
      <c r="I357" s="166">
        <f>SUM(J357:Q357)</f>
        <v>1110</v>
      </c>
      <c r="J357" s="393"/>
      <c r="K357" s="393"/>
      <c r="L357" s="393"/>
      <c r="M357" s="364">
        <v>1110</v>
      </c>
      <c r="N357" s="417"/>
      <c r="P357" s="412"/>
    </row>
    <row r="358" spans="1:16" s="409" customFormat="1" ht="18" customHeight="1">
      <c r="A358" s="306">
        <v>351</v>
      </c>
      <c r="B358" s="380"/>
      <c r="C358" s="344"/>
      <c r="D358" s="400" t="s">
        <v>505</v>
      </c>
      <c r="E358" s="375">
        <v>4650</v>
      </c>
      <c r="F358" s="375">
        <v>8000</v>
      </c>
      <c r="G358" s="1264">
        <v>5045</v>
      </c>
      <c r="H358" s="381" t="s">
        <v>231</v>
      </c>
      <c r="I358" s="413"/>
      <c r="J358" s="386"/>
      <c r="K358" s="386"/>
      <c r="L358" s="386"/>
      <c r="M358" s="386"/>
      <c r="N358" s="387"/>
      <c r="P358" s="410"/>
    </row>
    <row r="359" spans="1:16" s="411" customFormat="1" ht="18" customHeight="1">
      <c r="A359" s="306">
        <v>352</v>
      </c>
      <c r="B359" s="392"/>
      <c r="C359" s="371"/>
      <c r="D359" s="391" t="s">
        <v>198</v>
      </c>
      <c r="E359" s="382"/>
      <c r="F359" s="382"/>
      <c r="G359" s="1267"/>
      <c r="H359" s="395"/>
      <c r="I359" s="377">
        <f>SUM(J359:N359)</f>
        <v>8000</v>
      </c>
      <c r="J359" s="393"/>
      <c r="K359" s="393"/>
      <c r="L359" s="393"/>
      <c r="M359" s="378">
        <v>8000</v>
      </c>
      <c r="N359" s="417"/>
      <c r="P359" s="412"/>
    </row>
    <row r="360" spans="1:16" s="411" customFormat="1" ht="18" customHeight="1">
      <c r="A360" s="306">
        <v>353</v>
      </c>
      <c r="B360" s="392"/>
      <c r="C360" s="371"/>
      <c r="D360" s="379" t="s">
        <v>765</v>
      </c>
      <c r="E360" s="382"/>
      <c r="F360" s="382"/>
      <c r="G360" s="1267"/>
      <c r="H360" s="395"/>
      <c r="I360" s="375">
        <f>SUM(J360:N360)</f>
        <v>12504</v>
      </c>
      <c r="J360" s="365"/>
      <c r="K360" s="365"/>
      <c r="L360" s="365"/>
      <c r="M360" s="364">
        <v>12504</v>
      </c>
      <c r="N360" s="417"/>
      <c r="P360" s="412"/>
    </row>
    <row r="361" spans="1:16" s="411" customFormat="1" ht="18" customHeight="1">
      <c r="A361" s="306">
        <v>354</v>
      </c>
      <c r="B361" s="392"/>
      <c r="C361" s="371"/>
      <c r="D361" s="379" t="s">
        <v>1021</v>
      </c>
      <c r="E361" s="382"/>
      <c r="F361" s="382"/>
      <c r="G361" s="1267"/>
      <c r="H361" s="395"/>
      <c r="I361" s="166">
        <f>SUM(J361:Q361)</f>
        <v>5075</v>
      </c>
      <c r="J361" s="393"/>
      <c r="K361" s="393"/>
      <c r="L361" s="393"/>
      <c r="M361" s="364">
        <v>5075</v>
      </c>
      <c r="N361" s="417"/>
      <c r="P361" s="412"/>
    </row>
    <row r="362" spans="1:16" s="409" customFormat="1" ht="18" customHeight="1">
      <c r="A362" s="306">
        <v>355</v>
      </c>
      <c r="B362" s="380"/>
      <c r="C362" s="344"/>
      <c r="D362" s="400" t="s">
        <v>506</v>
      </c>
      <c r="E362" s="375"/>
      <c r="F362" s="375">
        <v>100</v>
      </c>
      <c r="G362" s="1264"/>
      <c r="H362" s="381" t="s">
        <v>231</v>
      </c>
      <c r="I362" s="413"/>
      <c r="J362" s="386"/>
      <c r="K362" s="386"/>
      <c r="L362" s="386"/>
      <c r="M362" s="386"/>
      <c r="N362" s="387"/>
      <c r="P362" s="410"/>
    </row>
    <row r="363" spans="1:16" s="411" customFormat="1" ht="18" customHeight="1">
      <c r="A363" s="306">
        <v>356</v>
      </c>
      <c r="B363" s="392"/>
      <c r="C363" s="371"/>
      <c r="D363" s="391" t="s">
        <v>198</v>
      </c>
      <c r="E363" s="382"/>
      <c r="F363" s="382"/>
      <c r="G363" s="1267"/>
      <c r="H363" s="395"/>
      <c r="I363" s="377">
        <f>SUM(J363:N363)</f>
        <v>100</v>
      </c>
      <c r="J363" s="393"/>
      <c r="K363" s="393"/>
      <c r="L363" s="393"/>
      <c r="M363" s="378">
        <v>100</v>
      </c>
      <c r="N363" s="417"/>
      <c r="P363" s="412"/>
    </row>
    <row r="364" spans="1:16" s="411" customFormat="1" ht="18" customHeight="1">
      <c r="A364" s="306">
        <v>357</v>
      </c>
      <c r="B364" s="392"/>
      <c r="C364" s="371"/>
      <c r="D364" s="379" t="s">
        <v>765</v>
      </c>
      <c r="E364" s="382"/>
      <c r="F364" s="382"/>
      <c r="G364" s="1267"/>
      <c r="H364" s="395"/>
      <c r="I364" s="375">
        <f>SUM(J364:N364)</f>
        <v>300</v>
      </c>
      <c r="J364" s="365"/>
      <c r="K364" s="365"/>
      <c r="L364" s="365"/>
      <c r="M364" s="364">
        <v>300</v>
      </c>
      <c r="N364" s="417"/>
      <c r="P364" s="412"/>
    </row>
    <row r="365" spans="1:16" s="411" customFormat="1" ht="18" customHeight="1">
      <c r="A365" s="306">
        <v>358</v>
      </c>
      <c r="B365" s="392"/>
      <c r="C365" s="371"/>
      <c r="D365" s="379" t="s">
        <v>1021</v>
      </c>
      <c r="E365" s="382"/>
      <c r="F365" s="382"/>
      <c r="G365" s="1267"/>
      <c r="H365" s="395"/>
      <c r="I365" s="166">
        <f>SUM(J365:Q365)</f>
        <v>0</v>
      </c>
      <c r="J365" s="393"/>
      <c r="K365" s="393"/>
      <c r="L365" s="393"/>
      <c r="M365" s="364"/>
      <c r="N365" s="417"/>
      <c r="P365" s="412"/>
    </row>
    <row r="366" spans="1:16" s="409" customFormat="1" ht="18" customHeight="1">
      <c r="A366" s="306">
        <v>359</v>
      </c>
      <c r="B366" s="380"/>
      <c r="C366" s="344"/>
      <c r="D366" s="400" t="s">
        <v>507</v>
      </c>
      <c r="E366" s="375">
        <v>900</v>
      </c>
      <c r="F366" s="375">
        <v>2000</v>
      </c>
      <c r="G366" s="1264">
        <v>345</v>
      </c>
      <c r="H366" s="381" t="s">
        <v>231</v>
      </c>
      <c r="I366" s="413"/>
      <c r="J366" s="386"/>
      <c r="K366" s="386"/>
      <c r="L366" s="386"/>
      <c r="M366" s="386"/>
      <c r="N366" s="387"/>
      <c r="P366" s="410"/>
    </row>
    <row r="367" spans="1:16" s="411" customFormat="1" ht="18" customHeight="1">
      <c r="A367" s="306">
        <v>360</v>
      </c>
      <c r="B367" s="392"/>
      <c r="C367" s="371"/>
      <c r="D367" s="391" t="s">
        <v>198</v>
      </c>
      <c r="E367" s="382"/>
      <c r="F367" s="382"/>
      <c r="G367" s="1267"/>
      <c r="H367" s="395"/>
      <c r="I367" s="377">
        <f>SUM(J367:N367)</f>
        <v>2000</v>
      </c>
      <c r="J367" s="393"/>
      <c r="K367" s="393"/>
      <c r="L367" s="393"/>
      <c r="M367" s="378">
        <v>2000</v>
      </c>
      <c r="N367" s="417"/>
      <c r="P367" s="412"/>
    </row>
    <row r="368" spans="1:16" s="411" customFormat="1" ht="18" customHeight="1">
      <c r="A368" s="306">
        <v>361</v>
      </c>
      <c r="B368" s="392"/>
      <c r="C368" s="371"/>
      <c r="D368" s="379" t="s">
        <v>765</v>
      </c>
      <c r="E368" s="382"/>
      <c r="F368" s="382"/>
      <c r="G368" s="1267"/>
      <c r="H368" s="395"/>
      <c r="I368" s="375">
        <f>SUM(J368:N368)</f>
        <v>6215</v>
      </c>
      <c r="J368" s="365"/>
      <c r="K368" s="365"/>
      <c r="L368" s="365"/>
      <c r="M368" s="364">
        <v>6215</v>
      </c>
      <c r="N368" s="417"/>
      <c r="P368" s="412"/>
    </row>
    <row r="369" spans="1:16" s="411" customFormat="1" ht="18" customHeight="1">
      <c r="A369" s="306">
        <v>362</v>
      </c>
      <c r="B369" s="392"/>
      <c r="C369" s="371"/>
      <c r="D369" s="379" t="s">
        <v>1021</v>
      </c>
      <c r="E369" s="382"/>
      <c r="F369" s="382"/>
      <c r="G369" s="1267"/>
      <c r="H369" s="395"/>
      <c r="I369" s="166">
        <f>SUM(J369:Q369)</f>
        <v>2035</v>
      </c>
      <c r="J369" s="393"/>
      <c r="K369" s="393"/>
      <c r="L369" s="393"/>
      <c r="M369" s="364">
        <v>2035</v>
      </c>
      <c r="N369" s="417"/>
      <c r="P369" s="412"/>
    </row>
    <row r="370" spans="1:16" s="409" customFormat="1" ht="18" customHeight="1">
      <c r="A370" s="306">
        <v>363</v>
      </c>
      <c r="B370" s="380"/>
      <c r="C370" s="344"/>
      <c r="D370" s="400" t="s">
        <v>508</v>
      </c>
      <c r="E370" s="375">
        <v>51</v>
      </c>
      <c r="F370" s="375">
        <v>500</v>
      </c>
      <c r="G370" s="1264">
        <v>109</v>
      </c>
      <c r="H370" s="381" t="s">
        <v>231</v>
      </c>
      <c r="I370" s="413"/>
      <c r="J370" s="386"/>
      <c r="K370" s="386"/>
      <c r="L370" s="386"/>
      <c r="M370" s="386"/>
      <c r="N370" s="387"/>
      <c r="P370" s="410"/>
    </row>
    <row r="371" spans="1:16" s="411" customFormat="1" ht="18" customHeight="1">
      <c r="A371" s="306">
        <v>364</v>
      </c>
      <c r="B371" s="392"/>
      <c r="C371" s="371"/>
      <c r="D371" s="391" t="s">
        <v>198</v>
      </c>
      <c r="E371" s="382"/>
      <c r="F371" s="382"/>
      <c r="G371" s="1267"/>
      <c r="H371" s="395"/>
      <c r="I371" s="377">
        <f>SUM(J371:N371)</f>
        <v>500</v>
      </c>
      <c r="J371" s="393"/>
      <c r="K371" s="393"/>
      <c r="L371" s="393"/>
      <c r="M371" s="378">
        <v>500</v>
      </c>
      <c r="N371" s="417"/>
      <c r="P371" s="412"/>
    </row>
    <row r="372" spans="1:16" s="411" customFormat="1" ht="18" customHeight="1">
      <c r="A372" s="306">
        <v>365</v>
      </c>
      <c r="B372" s="392"/>
      <c r="C372" s="371"/>
      <c r="D372" s="379" t="s">
        <v>765</v>
      </c>
      <c r="E372" s="382"/>
      <c r="F372" s="382"/>
      <c r="G372" s="1267"/>
      <c r="H372" s="395"/>
      <c r="I372" s="375">
        <f>SUM(J372:N372)</f>
        <v>628</v>
      </c>
      <c r="J372" s="365"/>
      <c r="K372" s="365"/>
      <c r="L372" s="365"/>
      <c r="M372" s="364">
        <v>628</v>
      </c>
      <c r="N372" s="417"/>
      <c r="P372" s="412"/>
    </row>
    <row r="373" spans="1:16" s="411" customFormat="1" ht="18" customHeight="1">
      <c r="A373" s="306">
        <v>366</v>
      </c>
      <c r="B373" s="392"/>
      <c r="C373" s="371"/>
      <c r="D373" s="379" t="s">
        <v>1021</v>
      </c>
      <c r="E373" s="382"/>
      <c r="F373" s="382"/>
      <c r="G373" s="1267"/>
      <c r="H373" s="395"/>
      <c r="I373" s="166">
        <f>SUM(J373:Q373)</f>
        <v>57</v>
      </c>
      <c r="J373" s="393"/>
      <c r="K373" s="393"/>
      <c r="L373" s="393"/>
      <c r="M373" s="364">
        <v>57</v>
      </c>
      <c r="N373" s="417"/>
      <c r="P373" s="412"/>
    </row>
    <row r="374" spans="1:16" s="409" customFormat="1" ht="18" customHeight="1">
      <c r="A374" s="306">
        <v>367</v>
      </c>
      <c r="B374" s="380"/>
      <c r="C374" s="344"/>
      <c r="D374" s="400" t="s">
        <v>509</v>
      </c>
      <c r="E374" s="375">
        <v>1065</v>
      </c>
      <c r="F374" s="375">
        <v>1700</v>
      </c>
      <c r="G374" s="1264">
        <v>945</v>
      </c>
      <c r="H374" s="381" t="s">
        <v>231</v>
      </c>
      <c r="I374" s="413"/>
      <c r="J374" s="386"/>
      <c r="K374" s="386"/>
      <c r="L374" s="386"/>
      <c r="M374" s="386"/>
      <c r="N374" s="387"/>
      <c r="P374" s="410"/>
    </row>
    <row r="375" spans="1:16" s="411" customFormat="1" ht="18" customHeight="1">
      <c r="A375" s="306">
        <v>368</v>
      </c>
      <c r="B375" s="392"/>
      <c r="C375" s="371"/>
      <c r="D375" s="391" t="s">
        <v>198</v>
      </c>
      <c r="E375" s="382"/>
      <c r="F375" s="382"/>
      <c r="G375" s="1267"/>
      <c r="H375" s="395"/>
      <c r="I375" s="377">
        <f>SUM(J375:N375)</f>
        <v>2000</v>
      </c>
      <c r="J375" s="393"/>
      <c r="K375" s="393"/>
      <c r="L375" s="393"/>
      <c r="M375" s="378">
        <v>2000</v>
      </c>
      <c r="N375" s="417"/>
      <c r="P375" s="412"/>
    </row>
    <row r="376" spans="1:16" s="411" customFormat="1" ht="18" customHeight="1">
      <c r="A376" s="306">
        <v>369</v>
      </c>
      <c r="B376" s="392"/>
      <c r="C376" s="371"/>
      <c r="D376" s="379" t="s">
        <v>765</v>
      </c>
      <c r="E376" s="382"/>
      <c r="F376" s="382"/>
      <c r="G376" s="1267"/>
      <c r="H376" s="395"/>
      <c r="I376" s="375">
        <f>SUM(J376:N376)</f>
        <v>4010</v>
      </c>
      <c r="J376" s="365"/>
      <c r="K376" s="365"/>
      <c r="L376" s="365"/>
      <c r="M376" s="364">
        <v>4010</v>
      </c>
      <c r="N376" s="417"/>
      <c r="P376" s="412"/>
    </row>
    <row r="377" spans="1:16" s="411" customFormat="1" ht="18" customHeight="1">
      <c r="A377" s="306">
        <v>370</v>
      </c>
      <c r="B377" s="392"/>
      <c r="C377" s="371"/>
      <c r="D377" s="379" t="s">
        <v>1021</v>
      </c>
      <c r="E377" s="382"/>
      <c r="F377" s="382"/>
      <c r="G377" s="1267"/>
      <c r="H377" s="395"/>
      <c r="I377" s="166">
        <f>SUM(J377:Q377)</f>
        <v>1290</v>
      </c>
      <c r="J377" s="393"/>
      <c r="K377" s="393"/>
      <c r="L377" s="393"/>
      <c r="M377" s="364">
        <v>1290</v>
      </c>
      <c r="N377" s="417"/>
      <c r="P377" s="412"/>
    </row>
    <row r="378" spans="1:16" s="409" customFormat="1" ht="18" customHeight="1">
      <c r="A378" s="306">
        <v>371</v>
      </c>
      <c r="B378" s="380"/>
      <c r="C378" s="344"/>
      <c r="D378" s="400" t="s">
        <v>510</v>
      </c>
      <c r="E378" s="375"/>
      <c r="F378" s="375">
        <v>400</v>
      </c>
      <c r="G378" s="1264"/>
      <c r="H378" s="381" t="s">
        <v>231</v>
      </c>
      <c r="I378" s="413"/>
      <c r="J378" s="386"/>
      <c r="K378" s="386"/>
      <c r="L378" s="386"/>
      <c r="M378" s="386"/>
      <c r="N378" s="387"/>
      <c r="P378" s="410"/>
    </row>
    <row r="379" spans="1:16" s="411" customFormat="1" ht="18" customHeight="1">
      <c r="A379" s="306">
        <v>372</v>
      </c>
      <c r="B379" s="392"/>
      <c r="C379" s="371"/>
      <c r="D379" s="391" t="s">
        <v>198</v>
      </c>
      <c r="E379" s="347"/>
      <c r="F379" s="382"/>
      <c r="G379" s="1267"/>
      <c r="H379" s="395"/>
      <c r="I379" s="377">
        <f>SUM(J379:N379)</f>
        <v>400</v>
      </c>
      <c r="J379" s="393"/>
      <c r="K379" s="393"/>
      <c r="L379" s="393"/>
      <c r="M379" s="378">
        <v>400</v>
      </c>
      <c r="N379" s="417"/>
      <c r="P379" s="412"/>
    </row>
    <row r="380" spans="1:16" s="411" customFormat="1" ht="18" customHeight="1">
      <c r="A380" s="306">
        <v>373</v>
      </c>
      <c r="B380" s="392"/>
      <c r="C380" s="371"/>
      <c r="D380" s="379" t="s">
        <v>765</v>
      </c>
      <c r="E380" s="347"/>
      <c r="F380" s="382"/>
      <c r="G380" s="1267"/>
      <c r="H380" s="395"/>
      <c r="I380" s="375">
        <f>SUM(J380:N380)</f>
        <v>2500</v>
      </c>
      <c r="J380" s="365"/>
      <c r="K380" s="365"/>
      <c r="L380" s="365"/>
      <c r="M380" s="364">
        <v>2500</v>
      </c>
      <c r="N380" s="417"/>
      <c r="P380" s="412"/>
    </row>
    <row r="381" spans="1:16" s="411" customFormat="1" ht="18" customHeight="1">
      <c r="A381" s="306">
        <v>374</v>
      </c>
      <c r="B381" s="392"/>
      <c r="C381" s="371"/>
      <c r="D381" s="379" t="s">
        <v>1021</v>
      </c>
      <c r="E381" s="347"/>
      <c r="F381" s="382"/>
      <c r="G381" s="1267"/>
      <c r="H381" s="395"/>
      <c r="I381" s="166">
        <f>SUM(J381:Q381)</f>
        <v>0</v>
      </c>
      <c r="J381" s="393"/>
      <c r="K381" s="393"/>
      <c r="L381" s="393"/>
      <c r="M381" s="364"/>
      <c r="N381" s="417"/>
      <c r="P381" s="412"/>
    </row>
    <row r="382" spans="1:16" s="409" customFormat="1" ht="18" customHeight="1">
      <c r="A382" s="306">
        <v>375</v>
      </c>
      <c r="B382" s="380"/>
      <c r="C382" s="344"/>
      <c r="D382" s="400" t="s">
        <v>511</v>
      </c>
      <c r="E382" s="1258"/>
      <c r="F382" s="375">
        <v>510</v>
      </c>
      <c r="G382" s="1264">
        <v>228</v>
      </c>
      <c r="H382" s="381" t="s">
        <v>231</v>
      </c>
      <c r="I382" s="377"/>
      <c r="J382" s="378"/>
      <c r="K382" s="378"/>
      <c r="L382" s="378"/>
      <c r="M382" s="378"/>
      <c r="N382" s="383"/>
      <c r="P382" s="410"/>
    </row>
    <row r="383" spans="1:16" s="411" customFormat="1" ht="18" customHeight="1">
      <c r="A383" s="306">
        <v>376</v>
      </c>
      <c r="B383" s="392"/>
      <c r="C383" s="371"/>
      <c r="D383" s="391" t="s">
        <v>198</v>
      </c>
      <c r="E383" s="347"/>
      <c r="F383" s="382"/>
      <c r="G383" s="1267"/>
      <c r="H383" s="395"/>
      <c r="I383" s="377">
        <f>SUM(J383:N383)</f>
        <v>510</v>
      </c>
      <c r="J383" s="393"/>
      <c r="K383" s="393"/>
      <c r="L383" s="393"/>
      <c r="M383" s="378">
        <v>510</v>
      </c>
      <c r="N383" s="417"/>
      <c r="P383" s="412"/>
    </row>
    <row r="384" spans="1:16" s="411" customFormat="1" ht="18" customHeight="1">
      <c r="A384" s="306">
        <v>377</v>
      </c>
      <c r="B384" s="392"/>
      <c r="C384" s="371"/>
      <c r="D384" s="379" t="s">
        <v>765</v>
      </c>
      <c r="E384" s="347"/>
      <c r="F384" s="382"/>
      <c r="G384" s="1267"/>
      <c r="H384" s="395"/>
      <c r="I384" s="375">
        <f>SUM(J384:N384)</f>
        <v>737</v>
      </c>
      <c r="J384" s="365"/>
      <c r="K384" s="365"/>
      <c r="L384" s="365"/>
      <c r="M384" s="364">
        <v>737</v>
      </c>
      <c r="N384" s="417"/>
      <c r="P384" s="412"/>
    </row>
    <row r="385" spans="1:16" s="411" customFormat="1" ht="18" customHeight="1">
      <c r="A385" s="306">
        <v>378</v>
      </c>
      <c r="B385" s="392"/>
      <c r="C385" s="371"/>
      <c r="D385" s="379" t="s">
        <v>1021</v>
      </c>
      <c r="E385" s="347"/>
      <c r="F385" s="382"/>
      <c r="G385" s="1267"/>
      <c r="H385" s="395"/>
      <c r="I385" s="166">
        <f>SUM(J385:Q385)</f>
        <v>291</v>
      </c>
      <c r="J385" s="393"/>
      <c r="K385" s="393"/>
      <c r="L385" s="393"/>
      <c r="M385" s="364">
        <v>291</v>
      </c>
      <c r="N385" s="417"/>
      <c r="P385" s="412"/>
    </row>
    <row r="386" spans="1:16" s="411" customFormat="1" ht="18" customHeight="1">
      <c r="A386" s="306">
        <v>379</v>
      </c>
      <c r="B386" s="392"/>
      <c r="C386" s="371"/>
      <c r="D386" s="400" t="s">
        <v>512</v>
      </c>
      <c r="E386" s="347"/>
      <c r="F386" s="382"/>
      <c r="G386" s="1267"/>
      <c r="H386" s="381" t="s">
        <v>231</v>
      </c>
      <c r="I386" s="377"/>
      <c r="J386" s="393"/>
      <c r="K386" s="393"/>
      <c r="L386" s="393"/>
      <c r="M386" s="378"/>
      <c r="N386" s="417"/>
      <c r="P386" s="412"/>
    </row>
    <row r="387" spans="1:16" s="411" customFormat="1" ht="18" customHeight="1">
      <c r="A387" s="306">
        <v>380</v>
      </c>
      <c r="B387" s="392"/>
      <c r="C387" s="371"/>
      <c r="D387" s="391" t="s">
        <v>198</v>
      </c>
      <c r="E387" s="347"/>
      <c r="F387" s="382"/>
      <c r="G387" s="1267"/>
      <c r="H387" s="395"/>
      <c r="I387" s="377">
        <f>SUM(J387:N387)</f>
        <v>30000</v>
      </c>
      <c r="J387" s="393"/>
      <c r="K387" s="393"/>
      <c r="L387" s="393"/>
      <c r="M387" s="378">
        <v>30000</v>
      </c>
      <c r="N387" s="417"/>
      <c r="P387" s="412"/>
    </row>
    <row r="388" spans="1:16" s="411" customFormat="1" ht="18" customHeight="1">
      <c r="A388" s="306">
        <v>381</v>
      </c>
      <c r="B388" s="392"/>
      <c r="C388" s="371"/>
      <c r="D388" s="379" t="s">
        <v>765</v>
      </c>
      <c r="E388" s="347"/>
      <c r="F388" s="382"/>
      <c r="G388" s="1267"/>
      <c r="H388" s="395"/>
      <c r="I388" s="375">
        <f>SUM(J388:N388)</f>
        <v>0</v>
      </c>
      <c r="J388" s="365"/>
      <c r="K388" s="365"/>
      <c r="L388" s="365"/>
      <c r="M388" s="364">
        <v>0</v>
      </c>
      <c r="N388" s="417"/>
      <c r="P388" s="412"/>
    </row>
    <row r="389" spans="1:16" s="411" customFormat="1" ht="18" customHeight="1">
      <c r="A389" s="306">
        <v>382</v>
      </c>
      <c r="B389" s="392"/>
      <c r="C389" s="371"/>
      <c r="D389" s="379" t="s">
        <v>1021</v>
      </c>
      <c r="E389" s="347"/>
      <c r="F389" s="382"/>
      <c r="G389" s="1267"/>
      <c r="H389" s="395"/>
      <c r="I389" s="166">
        <f>SUM(J389:Q389)</f>
        <v>0</v>
      </c>
      <c r="J389" s="393"/>
      <c r="K389" s="393"/>
      <c r="L389" s="393"/>
      <c r="M389" s="364"/>
      <c r="N389" s="417"/>
      <c r="P389" s="412"/>
    </row>
    <row r="390" spans="1:16" s="307" customFormat="1" ht="22.5" customHeight="1">
      <c r="A390" s="306">
        <v>383</v>
      </c>
      <c r="B390" s="357"/>
      <c r="C390" s="344">
        <v>51</v>
      </c>
      <c r="D390" s="358" t="s">
        <v>513</v>
      </c>
      <c r="E390" s="1258">
        <v>3852</v>
      </c>
      <c r="F390" s="1258">
        <v>7000</v>
      </c>
      <c r="G390" s="1259">
        <v>3840</v>
      </c>
      <c r="H390" s="346" t="s">
        <v>80</v>
      </c>
      <c r="I390" s="347"/>
      <c r="J390" s="348"/>
      <c r="K390" s="348"/>
      <c r="L390" s="348"/>
      <c r="M390" s="348"/>
      <c r="N390" s="350"/>
      <c r="P390" s="351"/>
    </row>
    <row r="391" spans="1:16" s="373" customFormat="1" ht="18" customHeight="1">
      <c r="A391" s="306">
        <v>384</v>
      </c>
      <c r="B391" s="370"/>
      <c r="C391" s="371"/>
      <c r="D391" s="345" t="s">
        <v>198</v>
      </c>
      <c r="E391" s="347"/>
      <c r="F391" s="347"/>
      <c r="G391" s="1263"/>
      <c r="H391" s="372"/>
      <c r="I391" s="347">
        <f>SUM(J391:N391)</f>
        <v>7000</v>
      </c>
      <c r="J391" s="349"/>
      <c r="K391" s="349"/>
      <c r="L391" s="349"/>
      <c r="M391" s="349">
        <v>7000</v>
      </c>
      <c r="N391" s="360"/>
    </row>
    <row r="392" spans="1:16" s="373" customFormat="1" ht="18" customHeight="1">
      <c r="A392" s="306">
        <v>385</v>
      </c>
      <c r="B392" s="370"/>
      <c r="C392" s="371"/>
      <c r="D392" s="163" t="s">
        <v>765</v>
      </c>
      <c r="E392" s="347"/>
      <c r="F392" s="347"/>
      <c r="G392" s="1263"/>
      <c r="H392" s="372"/>
      <c r="I392" s="340">
        <f>SUM(J392:N392)</f>
        <v>13692</v>
      </c>
      <c r="J392" s="362"/>
      <c r="K392" s="362"/>
      <c r="L392" s="362"/>
      <c r="M392" s="362">
        <v>13692</v>
      </c>
      <c r="N392" s="360"/>
    </row>
    <row r="393" spans="1:16" s="373" customFormat="1" ht="18" customHeight="1">
      <c r="A393" s="306">
        <v>386</v>
      </c>
      <c r="B393" s="370"/>
      <c r="C393" s="371"/>
      <c r="D393" s="165" t="s">
        <v>1021</v>
      </c>
      <c r="E393" s="347"/>
      <c r="F393" s="347"/>
      <c r="G393" s="1263"/>
      <c r="H393" s="372"/>
      <c r="I393" s="166">
        <f>SUM(J393:Q393)</f>
        <v>4706</v>
      </c>
      <c r="J393" s="349"/>
      <c r="K393" s="349"/>
      <c r="L393" s="349"/>
      <c r="M393" s="364">
        <v>4706</v>
      </c>
      <c r="N393" s="360"/>
    </row>
    <row r="394" spans="1:16" s="313" customFormat="1" ht="22.5" customHeight="1">
      <c r="A394" s="306">
        <v>387</v>
      </c>
      <c r="B394" s="408"/>
      <c r="C394" s="344">
        <v>52</v>
      </c>
      <c r="D394" s="358" t="s">
        <v>514</v>
      </c>
      <c r="E394" s="1258">
        <v>979</v>
      </c>
      <c r="F394" s="1258">
        <v>1278</v>
      </c>
      <c r="G394" s="1259">
        <v>1474</v>
      </c>
      <c r="H394" s="346" t="s">
        <v>80</v>
      </c>
      <c r="I394" s="347"/>
      <c r="J394" s="348"/>
      <c r="K394" s="348"/>
      <c r="L394" s="348"/>
      <c r="M394" s="348"/>
      <c r="N394" s="350"/>
      <c r="P394" s="314"/>
    </row>
    <row r="395" spans="1:16" s="373" customFormat="1" ht="18" customHeight="1">
      <c r="A395" s="306">
        <v>388</v>
      </c>
      <c r="B395" s="370"/>
      <c r="C395" s="371"/>
      <c r="D395" s="345" t="s">
        <v>198</v>
      </c>
      <c r="E395" s="347"/>
      <c r="F395" s="347"/>
      <c r="G395" s="1263"/>
      <c r="H395" s="372"/>
      <c r="I395" s="347">
        <f>SUM(J395:N395)</f>
        <v>4910</v>
      </c>
      <c r="J395" s="349">
        <v>4600</v>
      </c>
      <c r="K395" s="349">
        <v>310</v>
      </c>
      <c r="L395" s="349"/>
      <c r="M395" s="349"/>
      <c r="N395" s="360"/>
    </row>
    <row r="396" spans="1:16" s="373" customFormat="1" ht="18" customHeight="1">
      <c r="A396" s="306">
        <v>389</v>
      </c>
      <c r="B396" s="370"/>
      <c r="C396" s="371"/>
      <c r="D396" s="163" t="s">
        <v>765</v>
      </c>
      <c r="E396" s="347"/>
      <c r="F396" s="347"/>
      <c r="G396" s="1263"/>
      <c r="H396" s="372"/>
      <c r="I396" s="340">
        <f>SUM(J396:N396)</f>
        <v>4910</v>
      </c>
      <c r="J396" s="362">
        <v>4600</v>
      </c>
      <c r="K396" s="362">
        <v>310</v>
      </c>
      <c r="L396" s="349"/>
      <c r="M396" s="349"/>
      <c r="N396" s="360"/>
    </row>
    <row r="397" spans="1:16" s="373" customFormat="1" ht="18" customHeight="1">
      <c r="A397" s="306">
        <v>390</v>
      </c>
      <c r="B397" s="370"/>
      <c r="C397" s="371"/>
      <c r="D397" s="165" t="s">
        <v>1022</v>
      </c>
      <c r="E397" s="347"/>
      <c r="F397" s="347"/>
      <c r="G397" s="1263"/>
      <c r="H397" s="372"/>
      <c r="I397" s="166">
        <f>SUM(J397:Q397)</f>
        <v>1693</v>
      </c>
      <c r="J397" s="364">
        <v>1584</v>
      </c>
      <c r="K397" s="364">
        <v>109</v>
      </c>
      <c r="L397" s="349"/>
      <c r="M397" s="349"/>
      <c r="N397" s="360"/>
    </row>
    <row r="398" spans="1:16" s="313" customFormat="1" ht="22.5" customHeight="1">
      <c r="A398" s="306">
        <v>391</v>
      </c>
      <c r="B398" s="408"/>
      <c r="C398" s="344">
        <v>53</v>
      </c>
      <c r="D398" s="358" t="s">
        <v>515</v>
      </c>
      <c r="E398" s="1258">
        <v>765</v>
      </c>
      <c r="F398" s="1258">
        <v>2430</v>
      </c>
      <c r="G398" s="1259">
        <v>577</v>
      </c>
      <c r="H398" s="346" t="s">
        <v>231</v>
      </c>
      <c r="I398" s="347"/>
      <c r="J398" s="348"/>
      <c r="K398" s="348"/>
      <c r="L398" s="348"/>
      <c r="M398" s="348"/>
      <c r="N398" s="350"/>
      <c r="P398" s="314"/>
    </row>
    <row r="399" spans="1:16" s="373" customFormat="1" ht="18" customHeight="1">
      <c r="A399" s="306">
        <v>392</v>
      </c>
      <c r="B399" s="370"/>
      <c r="C399" s="371"/>
      <c r="D399" s="345" t="s">
        <v>198</v>
      </c>
      <c r="E399" s="347"/>
      <c r="F399" s="347"/>
      <c r="G399" s="1263"/>
      <c r="H399" s="372"/>
      <c r="I399" s="347">
        <f>SUM(J399:N399)</f>
        <v>3334</v>
      </c>
      <c r="J399" s="349">
        <v>2950</v>
      </c>
      <c r="K399" s="349">
        <v>384</v>
      </c>
      <c r="L399" s="349"/>
      <c r="M399" s="349"/>
      <c r="N399" s="360"/>
    </row>
    <row r="400" spans="1:16" s="373" customFormat="1" ht="18" customHeight="1">
      <c r="A400" s="306">
        <v>393</v>
      </c>
      <c r="B400" s="370"/>
      <c r="C400" s="371"/>
      <c r="D400" s="163" t="s">
        <v>765</v>
      </c>
      <c r="E400" s="347"/>
      <c r="F400" s="347"/>
      <c r="G400" s="1263"/>
      <c r="H400" s="372"/>
      <c r="I400" s="340">
        <f>SUM(J400:N400)</f>
        <v>3334</v>
      </c>
      <c r="J400" s="362">
        <v>2950</v>
      </c>
      <c r="K400" s="362">
        <v>384</v>
      </c>
      <c r="L400" s="349"/>
      <c r="M400" s="349"/>
      <c r="N400" s="360"/>
    </row>
    <row r="401" spans="1:16" s="373" customFormat="1" ht="18" customHeight="1">
      <c r="A401" s="306">
        <v>394</v>
      </c>
      <c r="B401" s="370"/>
      <c r="C401" s="371"/>
      <c r="D401" s="165" t="s">
        <v>1022</v>
      </c>
      <c r="E401" s="347"/>
      <c r="F401" s="347"/>
      <c r="G401" s="1263"/>
      <c r="H401" s="372"/>
      <c r="I401" s="166">
        <f>SUM(J401:Q401)</f>
        <v>216</v>
      </c>
      <c r="J401" s="364">
        <v>201</v>
      </c>
      <c r="K401" s="364">
        <v>15</v>
      </c>
      <c r="L401" s="349"/>
      <c r="M401" s="349"/>
      <c r="N401" s="360"/>
    </row>
    <row r="402" spans="1:16" s="313" customFormat="1" ht="22.5" customHeight="1">
      <c r="A402" s="306">
        <v>395</v>
      </c>
      <c r="B402" s="408"/>
      <c r="C402" s="344">
        <v>54</v>
      </c>
      <c r="D402" s="358" t="s">
        <v>516</v>
      </c>
      <c r="E402" s="1258"/>
      <c r="F402" s="1258">
        <v>100</v>
      </c>
      <c r="G402" s="1259"/>
      <c r="H402" s="346" t="s">
        <v>231</v>
      </c>
      <c r="I402" s="347"/>
      <c r="J402" s="348"/>
      <c r="K402" s="348"/>
      <c r="L402" s="348"/>
      <c r="M402" s="348"/>
      <c r="N402" s="350"/>
      <c r="P402" s="314"/>
    </row>
    <row r="403" spans="1:16" s="373" customFormat="1" ht="18" customHeight="1">
      <c r="A403" s="306">
        <v>396</v>
      </c>
      <c r="B403" s="370"/>
      <c r="C403" s="371"/>
      <c r="D403" s="345" t="s">
        <v>198</v>
      </c>
      <c r="E403" s="347"/>
      <c r="F403" s="347"/>
      <c r="G403" s="1263"/>
      <c r="H403" s="372"/>
      <c r="I403" s="347">
        <f>SUM(J403:N403)</f>
        <v>100</v>
      </c>
      <c r="J403" s="349"/>
      <c r="K403" s="349"/>
      <c r="L403" s="349"/>
      <c r="M403" s="349">
        <v>100</v>
      </c>
      <c r="N403" s="360"/>
    </row>
    <row r="404" spans="1:16" s="373" customFormat="1" ht="18" customHeight="1">
      <c r="A404" s="306">
        <v>397</v>
      </c>
      <c r="B404" s="370"/>
      <c r="C404" s="371"/>
      <c r="D404" s="163" t="s">
        <v>765</v>
      </c>
      <c r="E404" s="347"/>
      <c r="F404" s="347"/>
      <c r="G404" s="1263"/>
      <c r="H404" s="372"/>
      <c r="I404" s="340">
        <f>SUM(J404:N404)</f>
        <v>1500</v>
      </c>
      <c r="J404" s="362"/>
      <c r="K404" s="362"/>
      <c r="L404" s="362"/>
      <c r="M404" s="362">
        <v>1500</v>
      </c>
      <c r="N404" s="360"/>
    </row>
    <row r="405" spans="1:16" s="373" customFormat="1" ht="18" customHeight="1">
      <c r="A405" s="306">
        <v>398</v>
      </c>
      <c r="B405" s="370"/>
      <c r="C405" s="371"/>
      <c r="D405" s="165" t="s">
        <v>1021</v>
      </c>
      <c r="E405" s="347"/>
      <c r="F405" s="347"/>
      <c r="G405" s="1263"/>
      <c r="H405" s="372"/>
      <c r="I405" s="166">
        <f>SUM(J405:Q405)</f>
        <v>0</v>
      </c>
      <c r="J405" s="349"/>
      <c r="K405" s="349"/>
      <c r="L405" s="349"/>
      <c r="M405" s="364"/>
      <c r="N405" s="360"/>
    </row>
    <row r="406" spans="1:16" s="313" customFormat="1" ht="22.5" customHeight="1">
      <c r="A406" s="306">
        <v>399</v>
      </c>
      <c r="B406" s="408"/>
      <c r="C406" s="344">
        <v>55</v>
      </c>
      <c r="D406" s="358" t="s">
        <v>517</v>
      </c>
      <c r="E406" s="1258">
        <v>6000</v>
      </c>
      <c r="F406" s="1258">
        <v>6000</v>
      </c>
      <c r="G406" s="1259"/>
      <c r="H406" s="346" t="s">
        <v>80</v>
      </c>
      <c r="I406" s="347"/>
      <c r="J406" s="348"/>
      <c r="K406" s="348"/>
      <c r="L406" s="348"/>
      <c r="M406" s="348"/>
      <c r="N406" s="350"/>
      <c r="P406" s="314"/>
    </row>
    <row r="407" spans="1:16" s="313" customFormat="1" ht="22.5" customHeight="1">
      <c r="A407" s="306">
        <v>400</v>
      </c>
      <c r="B407" s="408"/>
      <c r="C407" s="344">
        <v>56</v>
      </c>
      <c r="D407" s="358" t="s">
        <v>518</v>
      </c>
      <c r="E407" s="1258">
        <v>12000</v>
      </c>
      <c r="F407" s="1258">
        <v>12000</v>
      </c>
      <c r="G407" s="1259">
        <v>12000</v>
      </c>
      <c r="H407" s="346" t="s">
        <v>80</v>
      </c>
      <c r="I407" s="347"/>
      <c r="J407" s="348"/>
      <c r="K407" s="348"/>
      <c r="L407" s="348"/>
      <c r="M407" s="348"/>
      <c r="N407" s="350"/>
      <c r="P407" s="314"/>
    </row>
    <row r="408" spans="1:16" s="373" customFormat="1" ht="18" customHeight="1">
      <c r="A408" s="306">
        <v>401</v>
      </c>
      <c r="B408" s="370"/>
      <c r="C408" s="371"/>
      <c r="D408" s="345" t="s">
        <v>198</v>
      </c>
      <c r="E408" s="347"/>
      <c r="F408" s="347"/>
      <c r="G408" s="1263"/>
      <c r="H408" s="372"/>
      <c r="I408" s="347">
        <f>SUM(J408:N408)</f>
        <v>12000</v>
      </c>
      <c r="J408" s="349"/>
      <c r="K408" s="349"/>
      <c r="L408" s="349"/>
      <c r="M408" s="349"/>
      <c r="N408" s="360">
        <v>12000</v>
      </c>
    </row>
    <row r="409" spans="1:16" s="373" customFormat="1" ht="18" customHeight="1">
      <c r="A409" s="306">
        <v>402</v>
      </c>
      <c r="B409" s="370"/>
      <c r="C409" s="371"/>
      <c r="D409" s="163" t="s">
        <v>765</v>
      </c>
      <c r="E409" s="347"/>
      <c r="F409" s="347"/>
      <c r="G409" s="1263"/>
      <c r="H409" s="372"/>
      <c r="I409" s="340">
        <f>SUM(J409:N409)</f>
        <v>12000</v>
      </c>
      <c r="J409" s="362"/>
      <c r="K409" s="362"/>
      <c r="L409" s="362"/>
      <c r="M409" s="362"/>
      <c r="N409" s="363">
        <v>12000</v>
      </c>
    </row>
    <row r="410" spans="1:16" s="373" customFormat="1" ht="18" customHeight="1">
      <c r="A410" s="306">
        <v>403</v>
      </c>
      <c r="B410" s="370"/>
      <c r="C410" s="371"/>
      <c r="D410" s="165" t="s">
        <v>1022</v>
      </c>
      <c r="E410" s="347"/>
      <c r="F410" s="347"/>
      <c r="G410" s="1263"/>
      <c r="H410" s="372"/>
      <c r="I410" s="166">
        <f>SUM(J410:Q410)</f>
        <v>12000</v>
      </c>
      <c r="J410" s="349"/>
      <c r="K410" s="349"/>
      <c r="L410" s="349"/>
      <c r="M410" s="349"/>
      <c r="N410" s="366">
        <v>12000</v>
      </c>
    </row>
    <row r="411" spans="1:16" s="313" customFormat="1" ht="22.5" customHeight="1">
      <c r="A411" s="306">
        <v>404</v>
      </c>
      <c r="B411" s="408"/>
      <c r="C411" s="344">
        <v>57</v>
      </c>
      <c r="D411" s="358" t="s">
        <v>519</v>
      </c>
      <c r="E411" s="1258">
        <v>60000</v>
      </c>
      <c r="F411" s="1258">
        <v>60000</v>
      </c>
      <c r="G411" s="1259">
        <v>80000</v>
      </c>
      <c r="H411" s="346" t="s">
        <v>80</v>
      </c>
      <c r="I411" s="347"/>
      <c r="J411" s="348"/>
      <c r="K411" s="348"/>
      <c r="L411" s="348"/>
      <c r="M411" s="348"/>
      <c r="N411" s="350"/>
      <c r="P411" s="314"/>
    </row>
    <row r="412" spans="1:16" s="373" customFormat="1" ht="18" customHeight="1">
      <c r="A412" s="306">
        <v>405</v>
      </c>
      <c r="B412" s="370"/>
      <c r="C412" s="371"/>
      <c r="D412" s="345" t="s">
        <v>198</v>
      </c>
      <c r="E412" s="347"/>
      <c r="F412" s="347"/>
      <c r="G412" s="1263"/>
      <c r="H412" s="372"/>
      <c r="I412" s="347">
        <f>SUM(J412:N412)</f>
        <v>85000</v>
      </c>
      <c r="J412" s="349"/>
      <c r="K412" s="349"/>
      <c r="L412" s="349"/>
      <c r="M412" s="349"/>
      <c r="N412" s="360">
        <v>85000</v>
      </c>
    </row>
    <row r="413" spans="1:16" s="373" customFormat="1" ht="18" customHeight="1">
      <c r="A413" s="306">
        <v>406</v>
      </c>
      <c r="B413" s="370"/>
      <c r="C413" s="371"/>
      <c r="D413" s="163" t="s">
        <v>765</v>
      </c>
      <c r="E413" s="347"/>
      <c r="F413" s="347"/>
      <c r="G413" s="1263"/>
      <c r="H413" s="372"/>
      <c r="I413" s="340">
        <f>SUM(J413:N413)</f>
        <v>85000</v>
      </c>
      <c r="J413" s="362"/>
      <c r="K413" s="362"/>
      <c r="L413" s="362"/>
      <c r="M413" s="362"/>
      <c r="N413" s="363">
        <v>85000</v>
      </c>
    </row>
    <row r="414" spans="1:16" s="373" customFormat="1" ht="18" customHeight="1">
      <c r="A414" s="306">
        <v>407</v>
      </c>
      <c r="B414" s="370"/>
      <c r="C414" s="371"/>
      <c r="D414" s="165" t="s">
        <v>1022</v>
      </c>
      <c r="E414" s="347"/>
      <c r="F414" s="347"/>
      <c r="G414" s="1263"/>
      <c r="H414" s="372"/>
      <c r="I414" s="166">
        <f>SUM(J414:Q414)</f>
        <v>85000</v>
      </c>
      <c r="J414" s="349"/>
      <c r="K414" s="349"/>
      <c r="L414" s="349"/>
      <c r="M414" s="349"/>
      <c r="N414" s="366">
        <v>85000</v>
      </c>
    </row>
    <row r="415" spans="1:16" s="313" customFormat="1" ht="22.5" customHeight="1">
      <c r="A415" s="306">
        <v>408</v>
      </c>
      <c r="B415" s="408"/>
      <c r="C415" s="344">
        <v>58</v>
      </c>
      <c r="D415" s="358" t="s">
        <v>1232</v>
      </c>
      <c r="E415" s="1258">
        <v>724979</v>
      </c>
      <c r="F415" s="1258">
        <v>744824</v>
      </c>
      <c r="G415" s="1259">
        <v>889032</v>
      </c>
      <c r="H415" s="346" t="s">
        <v>80</v>
      </c>
      <c r="I415" s="347"/>
      <c r="J415" s="348"/>
      <c r="K415" s="348"/>
      <c r="L415" s="348"/>
      <c r="M415" s="348"/>
      <c r="N415" s="350"/>
      <c r="P415" s="314"/>
    </row>
    <row r="416" spans="1:16" s="373" customFormat="1" ht="18" customHeight="1">
      <c r="A416" s="306">
        <v>409</v>
      </c>
      <c r="B416" s="370"/>
      <c r="C416" s="371"/>
      <c r="D416" s="345" t="s">
        <v>198</v>
      </c>
      <c r="E416" s="347"/>
      <c r="F416" s="347"/>
      <c r="G416" s="1263"/>
      <c r="H416" s="372"/>
      <c r="I416" s="347">
        <f>SUM(J416:N416)</f>
        <v>886415</v>
      </c>
      <c r="J416" s="349"/>
      <c r="K416" s="349"/>
      <c r="L416" s="349"/>
      <c r="M416" s="349"/>
      <c r="N416" s="360">
        <v>886415</v>
      </c>
    </row>
    <row r="417" spans="1:16" s="373" customFormat="1" ht="18" customHeight="1">
      <c r="A417" s="306">
        <v>410</v>
      </c>
      <c r="B417" s="370"/>
      <c r="C417" s="371"/>
      <c r="D417" s="163" t="s">
        <v>765</v>
      </c>
      <c r="E417" s="347"/>
      <c r="F417" s="347"/>
      <c r="G417" s="1263"/>
      <c r="H417" s="372"/>
      <c r="I417" s="340">
        <f>SUM(J417:N417)</f>
        <v>983535</v>
      </c>
      <c r="J417" s="362"/>
      <c r="K417" s="362"/>
      <c r="L417" s="362"/>
      <c r="M417" s="362"/>
      <c r="N417" s="363">
        <v>983535</v>
      </c>
    </row>
    <row r="418" spans="1:16" s="373" customFormat="1" ht="18" customHeight="1">
      <c r="A418" s="306">
        <v>411</v>
      </c>
      <c r="B418" s="370"/>
      <c r="C418" s="371"/>
      <c r="D418" s="165" t="s">
        <v>1021</v>
      </c>
      <c r="E418" s="347"/>
      <c r="F418" s="347"/>
      <c r="G418" s="1263"/>
      <c r="H418" s="372"/>
      <c r="I418" s="166">
        <f>SUM(J418:Q418)</f>
        <v>983535</v>
      </c>
      <c r="J418" s="349"/>
      <c r="K418" s="349"/>
      <c r="L418" s="349"/>
      <c r="M418" s="349"/>
      <c r="N418" s="366">
        <v>983535</v>
      </c>
    </row>
    <row r="419" spans="1:16" s="313" customFormat="1" ht="22.5" customHeight="1">
      <c r="A419" s="306">
        <v>412</v>
      </c>
      <c r="B419" s="408"/>
      <c r="C419" s="344">
        <v>59</v>
      </c>
      <c r="D419" s="358" t="s">
        <v>520</v>
      </c>
      <c r="E419" s="1258">
        <v>109620</v>
      </c>
      <c r="F419" s="1258">
        <v>130708</v>
      </c>
      <c r="G419" s="1259">
        <v>90207</v>
      </c>
      <c r="H419" s="346" t="s">
        <v>80</v>
      </c>
      <c r="I419" s="347"/>
      <c r="J419" s="348"/>
      <c r="K419" s="348"/>
      <c r="L419" s="348"/>
      <c r="M419" s="348"/>
      <c r="N419" s="350"/>
      <c r="P419" s="314"/>
    </row>
    <row r="420" spans="1:16" s="351" customFormat="1" ht="22.5" customHeight="1">
      <c r="A420" s="306">
        <v>413</v>
      </c>
      <c r="B420" s="343"/>
      <c r="C420" s="344">
        <v>60</v>
      </c>
      <c r="D420" s="338" t="s">
        <v>521</v>
      </c>
      <c r="E420" s="1258">
        <v>1780</v>
      </c>
      <c r="F420" s="1258">
        <v>4320</v>
      </c>
      <c r="G420" s="1259">
        <v>1419</v>
      </c>
      <c r="H420" s="346" t="s">
        <v>231</v>
      </c>
      <c r="I420" s="347"/>
      <c r="J420" s="348"/>
      <c r="K420" s="348"/>
      <c r="L420" s="348"/>
      <c r="M420" s="348"/>
      <c r="N420" s="350"/>
    </row>
    <row r="421" spans="1:16" s="373" customFormat="1" ht="18" customHeight="1">
      <c r="A421" s="306">
        <v>414</v>
      </c>
      <c r="B421" s="370"/>
      <c r="C421" s="371"/>
      <c r="D421" s="345" t="s">
        <v>198</v>
      </c>
      <c r="E421" s="347"/>
      <c r="F421" s="347"/>
      <c r="G421" s="1263"/>
      <c r="H421" s="372"/>
      <c r="I421" s="347">
        <f>SUM(J421:N421)</f>
        <v>4320</v>
      </c>
      <c r="J421" s="349"/>
      <c r="K421" s="349"/>
      <c r="L421" s="349">
        <v>4320</v>
      </c>
      <c r="M421" s="349"/>
      <c r="N421" s="360"/>
    </row>
    <row r="422" spans="1:16" s="373" customFormat="1" ht="18" customHeight="1">
      <c r="A422" s="306">
        <v>415</v>
      </c>
      <c r="B422" s="370"/>
      <c r="C422" s="371"/>
      <c r="D422" s="163" t="s">
        <v>765</v>
      </c>
      <c r="E422" s="347"/>
      <c r="F422" s="347"/>
      <c r="G422" s="1263"/>
      <c r="H422" s="372"/>
      <c r="I422" s="340">
        <f>SUM(J422:N422)</f>
        <v>4767</v>
      </c>
      <c r="J422" s="362"/>
      <c r="K422" s="362"/>
      <c r="L422" s="362">
        <v>4767</v>
      </c>
      <c r="M422" s="349"/>
      <c r="N422" s="360"/>
    </row>
    <row r="423" spans="1:16" s="373" customFormat="1" ht="18" customHeight="1">
      <c r="A423" s="306">
        <v>416</v>
      </c>
      <c r="B423" s="370"/>
      <c r="C423" s="371"/>
      <c r="D423" s="165" t="s">
        <v>1021</v>
      </c>
      <c r="E423" s="347"/>
      <c r="F423" s="347"/>
      <c r="G423" s="1263"/>
      <c r="H423" s="372"/>
      <c r="I423" s="166">
        <f>SUM(J423:Q423)</f>
        <v>2325</v>
      </c>
      <c r="J423" s="349"/>
      <c r="K423" s="349"/>
      <c r="L423" s="364">
        <v>2325</v>
      </c>
      <c r="M423" s="349"/>
      <c r="N423" s="360"/>
    </row>
    <row r="424" spans="1:16" s="351" customFormat="1" ht="22.5" customHeight="1">
      <c r="A424" s="306">
        <v>417</v>
      </c>
      <c r="B424" s="343"/>
      <c r="C424" s="344">
        <v>61</v>
      </c>
      <c r="D424" s="338" t="s">
        <v>522</v>
      </c>
      <c r="E424" s="1258"/>
      <c r="F424" s="1258"/>
      <c r="G424" s="1259"/>
      <c r="H424" s="346" t="s">
        <v>231</v>
      </c>
      <c r="I424" s="347"/>
      <c r="J424" s="348"/>
      <c r="K424" s="348"/>
      <c r="L424" s="348"/>
      <c r="M424" s="348"/>
      <c r="N424" s="350"/>
    </row>
    <row r="425" spans="1:16" s="351" customFormat="1" ht="18" customHeight="1">
      <c r="A425" s="306">
        <v>418</v>
      </c>
      <c r="B425" s="343"/>
      <c r="C425" s="344"/>
      <c r="D425" s="345" t="s">
        <v>198</v>
      </c>
      <c r="E425" s="1258"/>
      <c r="F425" s="1258"/>
      <c r="G425" s="1259"/>
      <c r="H425" s="346"/>
      <c r="I425" s="347">
        <f>SUM(J425:N425)</f>
        <v>4000</v>
      </c>
      <c r="J425" s="348"/>
      <c r="K425" s="348"/>
      <c r="L425" s="348"/>
      <c r="M425" s="348"/>
      <c r="N425" s="360">
        <v>4000</v>
      </c>
    </row>
    <row r="426" spans="1:16" s="351" customFormat="1" ht="18" customHeight="1">
      <c r="A426" s="306">
        <v>419</v>
      </c>
      <c r="B426" s="343"/>
      <c r="C426" s="344"/>
      <c r="D426" s="163" t="s">
        <v>765</v>
      </c>
      <c r="E426" s="1258"/>
      <c r="F426" s="1258"/>
      <c r="G426" s="1259"/>
      <c r="H426" s="346"/>
      <c r="I426" s="340">
        <f>SUM(J426:N426)</f>
        <v>0</v>
      </c>
      <c r="J426" s="361"/>
      <c r="K426" s="361"/>
      <c r="L426" s="361"/>
      <c r="M426" s="361"/>
      <c r="N426" s="363">
        <v>0</v>
      </c>
    </row>
    <row r="427" spans="1:16" s="351" customFormat="1" ht="18" customHeight="1">
      <c r="A427" s="306">
        <v>420</v>
      </c>
      <c r="B427" s="343"/>
      <c r="C427" s="344"/>
      <c r="D427" s="165" t="s">
        <v>1022</v>
      </c>
      <c r="E427" s="1258"/>
      <c r="F427" s="1258"/>
      <c r="G427" s="1259"/>
      <c r="H427" s="346"/>
      <c r="I427" s="166">
        <f>SUM(J427:Q427)</f>
        <v>0</v>
      </c>
      <c r="J427" s="348"/>
      <c r="K427" s="348"/>
      <c r="L427" s="348"/>
      <c r="M427" s="348"/>
      <c r="N427" s="366"/>
    </row>
    <row r="428" spans="1:16" s="307" customFormat="1" ht="22.5" customHeight="1">
      <c r="A428" s="306">
        <v>421</v>
      </c>
      <c r="B428" s="357"/>
      <c r="C428" s="344">
        <v>62</v>
      </c>
      <c r="D428" s="358" t="s">
        <v>523</v>
      </c>
      <c r="E428" s="1258">
        <v>2000</v>
      </c>
      <c r="F428" s="1258">
        <v>2000</v>
      </c>
      <c r="G428" s="1259">
        <v>2000</v>
      </c>
      <c r="H428" s="346" t="s">
        <v>231</v>
      </c>
      <c r="I428" s="347"/>
      <c r="J428" s="348"/>
      <c r="K428" s="348"/>
      <c r="L428" s="348"/>
      <c r="M428" s="348"/>
      <c r="N428" s="350"/>
      <c r="P428" s="351"/>
    </row>
    <row r="429" spans="1:16" s="373" customFormat="1" ht="18" customHeight="1">
      <c r="A429" s="306">
        <v>422</v>
      </c>
      <c r="B429" s="370"/>
      <c r="C429" s="371"/>
      <c r="D429" s="345" t="s">
        <v>198</v>
      </c>
      <c r="E429" s="347"/>
      <c r="F429" s="347"/>
      <c r="G429" s="1263"/>
      <c r="H429" s="372"/>
      <c r="I429" s="347">
        <f>SUM(J429:N429)</f>
        <v>2000</v>
      </c>
      <c r="J429" s="349"/>
      <c r="K429" s="349"/>
      <c r="L429" s="349">
        <v>2000</v>
      </c>
      <c r="M429" s="349"/>
      <c r="N429" s="360"/>
    </row>
    <row r="430" spans="1:16" s="373" customFormat="1" ht="18" customHeight="1">
      <c r="A430" s="306">
        <v>423</v>
      </c>
      <c r="B430" s="370"/>
      <c r="C430" s="371"/>
      <c r="D430" s="163" t="s">
        <v>765</v>
      </c>
      <c r="E430" s="347"/>
      <c r="F430" s="347"/>
      <c r="G430" s="1263"/>
      <c r="H430" s="372"/>
      <c r="I430" s="340">
        <f>SUM(J430:N430)</f>
        <v>2000</v>
      </c>
      <c r="J430" s="362"/>
      <c r="K430" s="362"/>
      <c r="L430" s="362">
        <v>2000</v>
      </c>
      <c r="M430" s="349"/>
      <c r="N430" s="360"/>
    </row>
    <row r="431" spans="1:16" s="373" customFormat="1" ht="18" customHeight="1">
      <c r="A431" s="306">
        <v>424</v>
      </c>
      <c r="B431" s="370"/>
      <c r="C431" s="371"/>
      <c r="D431" s="165" t="s">
        <v>1022</v>
      </c>
      <c r="E431" s="347"/>
      <c r="F431" s="347"/>
      <c r="G431" s="1263"/>
      <c r="H431" s="372"/>
      <c r="I431" s="166">
        <f>SUM(J431:Q431)</f>
        <v>2000</v>
      </c>
      <c r="J431" s="349"/>
      <c r="K431" s="349"/>
      <c r="L431" s="364">
        <v>2000</v>
      </c>
      <c r="M431" s="349"/>
      <c r="N431" s="360"/>
    </row>
    <row r="432" spans="1:16" s="307" customFormat="1" ht="22.5" customHeight="1">
      <c r="A432" s="306">
        <v>425</v>
      </c>
      <c r="B432" s="357"/>
      <c r="C432" s="344">
        <v>63</v>
      </c>
      <c r="D432" s="358" t="s">
        <v>524</v>
      </c>
      <c r="E432" s="1258"/>
      <c r="F432" s="1258"/>
      <c r="G432" s="1259"/>
      <c r="H432" s="346" t="s">
        <v>231</v>
      </c>
      <c r="I432" s="347"/>
      <c r="J432" s="348"/>
      <c r="K432" s="348"/>
      <c r="L432" s="348"/>
      <c r="M432" s="348"/>
      <c r="N432" s="350"/>
      <c r="P432" s="351"/>
    </row>
    <row r="433" spans="1:16" s="307" customFormat="1" ht="22.5" customHeight="1">
      <c r="A433" s="306">
        <v>426</v>
      </c>
      <c r="B433" s="357"/>
      <c r="C433" s="344">
        <v>64</v>
      </c>
      <c r="D433" s="358" t="s">
        <v>525</v>
      </c>
      <c r="E433" s="1258">
        <v>1000</v>
      </c>
      <c r="F433" s="1258">
        <v>1000</v>
      </c>
      <c r="G433" s="1259">
        <v>1000</v>
      </c>
      <c r="H433" s="346" t="s">
        <v>231</v>
      </c>
      <c r="I433" s="347"/>
      <c r="J433" s="348"/>
      <c r="K433" s="348"/>
      <c r="L433" s="348"/>
      <c r="M433" s="348"/>
      <c r="N433" s="350"/>
      <c r="P433" s="351"/>
    </row>
    <row r="434" spans="1:16" s="373" customFormat="1" ht="18" customHeight="1">
      <c r="A434" s="306">
        <v>427</v>
      </c>
      <c r="B434" s="370"/>
      <c r="C434" s="371"/>
      <c r="D434" s="345" t="s">
        <v>198</v>
      </c>
      <c r="E434" s="347"/>
      <c r="F434" s="347"/>
      <c r="G434" s="1263"/>
      <c r="H434" s="372"/>
      <c r="I434" s="347">
        <f>SUM(J434:N434)</f>
        <v>1000</v>
      </c>
      <c r="J434" s="349"/>
      <c r="K434" s="349"/>
      <c r="L434" s="349">
        <v>1000</v>
      </c>
      <c r="M434" s="349"/>
      <c r="N434" s="360"/>
    </row>
    <row r="435" spans="1:16" s="373" customFormat="1" ht="18" customHeight="1">
      <c r="A435" s="306">
        <v>428</v>
      </c>
      <c r="B435" s="370"/>
      <c r="C435" s="371"/>
      <c r="D435" s="163" t="s">
        <v>765</v>
      </c>
      <c r="E435" s="347"/>
      <c r="F435" s="347"/>
      <c r="G435" s="1263"/>
      <c r="H435" s="372"/>
      <c r="I435" s="340">
        <f>SUM(J435:N435)</f>
        <v>1000</v>
      </c>
      <c r="J435" s="362"/>
      <c r="K435" s="362"/>
      <c r="L435" s="362">
        <v>1000</v>
      </c>
      <c r="M435" s="349"/>
      <c r="N435" s="360"/>
    </row>
    <row r="436" spans="1:16" s="373" customFormat="1" ht="18" customHeight="1">
      <c r="A436" s="306">
        <v>429</v>
      </c>
      <c r="B436" s="370"/>
      <c r="C436" s="371"/>
      <c r="D436" s="165" t="s">
        <v>1022</v>
      </c>
      <c r="E436" s="347"/>
      <c r="F436" s="347"/>
      <c r="G436" s="1263"/>
      <c r="H436" s="372"/>
      <c r="I436" s="166">
        <f>SUM(J436:Q436)</f>
        <v>1000</v>
      </c>
      <c r="J436" s="349"/>
      <c r="K436" s="349"/>
      <c r="L436" s="364">
        <v>1000</v>
      </c>
      <c r="M436" s="349"/>
      <c r="N436" s="360"/>
    </row>
    <row r="437" spans="1:16" s="351" customFormat="1" ht="30" customHeight="1">
      <c r="A437" s="306">
        <v>430</v>
      </c>
      <c r="B437" s="343"/>
      <c r="C437" s="344">
        <v>65</v>
      </c>
      <c r="D437" s="358" t="s">
        <v>526</v>
      </c>
      <c r="E437" s="1258"/>
      <c r="F437" s="1258"/>
      <c r="G437" s="1259">
        <v>3000</v>
      </c>
      <c r="H437" s="346" t="s">
        <v>80</v>
      </c>
      <c r="I437" s="347"/>
      <c r="J437" s="348"/>
      <c r="K437" s="348"/>
      <c r="L437" s="348"/>
      <c r="M437" s="348"/>
      <c r="N437" s="350"/>
    </row>
    <row r="438" spans="1:16" s="351" customFormat="1" ht="18" customHeight="1">
      <c r="A438" s="306">
        <v>431</v>
      </c>
      <c r="B438" s="343"/>
      <c r="C438" s="344"/>
      <c r="D438" s="345" t="s">
        <v>198</v>
      </c>
      <c r="E438" s="1258"/>
      <c r="F438" s="1258"/>
      <c r="G438" s="1259"/>
      <c r="H438" s="346"/>
      <c r="I438" s="347">
        <f>SUM(J438:N438)</f>
        <v>3000</v>
      </c>
      <c r="J438" s="348"/>
      <c r="K438" s="348"/>
      <c r="L438" s="349"/>
      <c r="M438" s="348"/>
      <c r="N438" s="360">
        <v>3000</v>
      </c>
    </row>
    <row r="439" spans="1:16" s="351" customFormat="1" ht="18" customHeight="1">
      <c r="A439" s="306">
        <v>432</v>
      </c>
      <c r="B439" s="343"/>
      <c r="C439" s="344"/>
      <c r="D439" s="163" t="s">
        <v>765</v>
      </c>
      <c r="E439" s="1258"/>
      <c r="F439" s="1258"/>
      <c r="G439" s="1259"/>
      <c r="H439" s="346"/>
      <c r="I439" s="340">
        <f>SUM(J439:N439)</f>
        <v>3000</v>
      </c>
      <c r="J439" s="361"/>
      <c r="K439" s="361"/>
      <c r="L439" s="362"/>
      <c r="M439" s="361"/>
      <c r="N439" s="363">
        <v>3000</v>
      </c>
    </row>
    <row r="440" spans="1:16" s="351" customFormat="1" ht="18" customHeight="1">
      <c r="A440" s="306">
        <v>433</v>
      </c>
      <c r="B440" s="343"/>
      <c r="C440" s="344"/>
      <c r="D440" s="165" t="s">
        <v>1022</v>
      </c>
      <c r="E440" s="1258"/>
      <c r="F440" s="1258"/>
      <c r="G440" s="1259"/>
      <c r="H440" s="346"/>
      <c r="I440" s="166">
        <f>SUM(J440:Q440)</f>
        <v>3000</v>
      </c>
      <c r="J440" s="348"/>
      <c r="K440" s="348"/>
      <c r="L440" s="349"/>
      <c r="M440" s="348"/>
      <c r="N440" s="366">
        <v>3000</v>
      </c>
    </row>
    <row r="441" spans="1:16" s="307" customFormat="1" ht="22.5" customHeight="1">
      <c r="A441" s="306">
        <v>434</v>
      </c>
      <c r="B441" s="357"/>
      <c r="C441" s="344">
        <v>66</v>
      </c>
      <c r="D441" s="358" t="s">
        <v>527</v>
      </c>
      <c r="E441" s="1258">
        <v>1375</v>
      </c>
      <c r="F441" s="1258"/>
      <c r="G441" s="1259"/>
      <c r="H441" s="346" t="s">
        <v>80</v>
      </c>
      <c r="I441" s="347"/>
      <c r="J441" s="348"/>
      <c r="K441" s="348"/>
      <c r="L441" s="348"/>
      <c r="M441" s="348"/>
      <c r="N441" s="350"/>
      <c r="P441" s="351"/>
    </row>
    <row r="442" spans="1:16" s="307" customFormat="1" ht="22.5" customHeight="1">
      <c r="A442" s="306">
        <v>435</v>
      </c>
      <c r="B442" s="357"/>
      <c r="C442" s="344">
        <v>67</v>
      </c>
      <c r="D442" s="358" t="s">
        <v>528</v>
      </c>
      <c r="E442" s="1258">
        <v>5200</v>
      </c>
      <c r="F442" s="1258">
        <v>6350</v>
      </c>
      <c r="G442" s="1259">
        <v>6665</v>
      </c>
      <c r="H442" s="346" t="s">
        <v>80</v>
      </c>
      <c r="I442" s="347"/>
      <c r="J442" s="348"/>
      <c r="K442" s="348"/>
      <c r="L442" s="348"/>
      <c r="M442" s="348"/>
      <c r="N442" s="350"/>
      <c r="P442" s="351"/>
    </row>
    <row r="443" spans="1:16" s="373" customFormat="1" ht="18" customHeight="1">
      <c r="A443" s="306">
        <v>436</v>
      </c>
      <c r="B443" s="370"/>
      <c r="C443" s="371"/>
      <c r="D443" s="345" t="s">
        <v>198</v>
      </c>
      <c r="E443" s="347"/>
      <c r="F443" s="347"/>
      <c r="G443" s="1263"/>
      <c r="H443" s="372"/>
      <c r="I443" s="347">
        <f>SUM(J443:N443)</f>
        <v>7350</v>
      </c>
      <c r="J443" s="349"/>
      <c r="K443" s="349"/>
      <c r="L443" s="349">
        <f>6825+525</f>
        <v>7350</v>
      </c>
      <c r="M443" s="349"/>
      <c r="N443" s="360"/>
    </row>
    <row r="444" spans="1:16" s="373" customFormat="1" ht="18" customHeight="1">
      <c r="A444" s="306">
        <v>437</v>
      </c>
      <c r="B444" s="370"/>
      <c r="C444" s="371"/>
      <c r="D444" s="163" t="s">
        <v>765</v>
      </c>
      <c r="E444" s="347"/>
      <c r="F444" s="347"/>
      <c r="G444" s="1263"/>
      <c r="H444" s="372"/>
      <c r="I444" s="340">
        <f>SUM(J444:N444)</f>
        <v>7350</v>
      </c>
      <c r="J444" s="362"/>
      <c r="K444" s="362"/>
      <c r="L444" s="362">
        <v>7350</v>
      </c>
      <c r="M444" s="349"/>
      <c r="N444" s="360"/>
    </row>
    <row r="445" spans="1:16" s="373" customFormat="1" ht="18" customHeight="1">
      <c r="A445" s="306">
        <v>438</v>
      </c>
      <c r="B445" s="370"/>
      <c r="C445" s="371"/>
      <c r="D445" s="165" t="s">
        <v>1022</v>
      </c>
      <c r="E445" s="347"/>
      <c r="F445" s="347"/>
      <c r="G445" s="1263"/>
      <c r="H445" s="372"/>
      <c r="I445" s="166">
        <f>SUM(J445:Q445)</f>
        <v>6195</v>
      </c>
      <c r="J445" s="349"/>
      <c r="K445" s="349"/>
      <c r="L445" s="364">
        <v>6195</v>
      </c>
      <c r="M445" s="349"/>
      <c r="N445" s="360"/>
    </row>
    <row r="446" spans="1:16" s="307" customFormat="1" ht="22.5" customHeight="1">
      <c r="A446" s="306">
        <v>439</v>
      </c>
      <c r="B446" s="357"/>
      <c r="C446" s="344">
        <v>68</v>
      </c>
      <c r="D446" s="358" t="s">
        <v>529</v>
      </c>
      <c r="E446" s="1258">
        <v>1974</v>
      </c>
      <c r="F446" s="1258">
        <v>5830</v>
      </c>
      <c r="G446" s="1259">
        <v>2227</v>
      </c>
      <c r="H446" s="346" t="s">
        <v>231</v>
      </c>
      <c r="I446" s="347"/>
      <c r="J446" s="348"/>
      <c r="K446" s="348"/>
      <c r="L446" s="348"/>
      <c r="M446" s="348"/>
      <c r="N446" s="350"/>
      <c r="P446" s="351"/>
    </row>
    <row r="447" spans="1:16" s="373" customFormat="1" ht="18" customHeight="1">
      <c r="A447" s="306">
        <v>440</v>
      </c>
      <c r="B447" s="370"/>
      <c r="C447" s="371"/>
      <c r="D447" s="345" t="s">
        <v>198</v>
      </c>
      <c r="E447" s="347"/>
      <c r="F447" s="347"/>
      <c r="G447" s="1263"/>
      <c r="H447" s="372"/>
      <c r="I447" s="347">
        <f>SUM(J447:N447)</f>
        <v>6448</v>
      </c>
      <c r="J447" s="349"/>
      <c r="K447" s="349"/>
      <c r="L447" s="349">
        <f>2845+3603</f>
        <v>6448</v>
      </c>
      <c r="M447" s="349"/>
      <c r="N447" s="360"/>
    </row>
    <row r="448" spans="1:16" s="373" customFormat="1" ht="18" customHeight="1">
      <c r="A448" s="306">
        <v>441</v>
      </c>
      <c r="B448" s="370"/>
      <c r="C448" s="371"/>
      <c r="D448" s="163" t="s">
        <v>765</v>
      </c>
      <c r="E448" s="347"/>
      <c r="F448" s="347"/>
      <c r="G448" s="1263"/>
      <c r="H448" s="372"/>
      <c r="I448" s="340">
        <f>SUM(J448:N448)</f>
        <v>6448</v>
      </c>
      <c r="J448" s="362"/>
      <c r="K448" s="362"/>
      <c r="L448" s="362">
        <v>6448</v>
      </c>
      <c r="M448" s="349"/>
      <c r="N448" s="360"/>
    </row>
    <row r="449" spans="1:16" s="373" customFormat="1" ht="18" customHeight="1">
      <c r="A449" s="306">
        <v>442</v>
      </c>
      <c r="B449" s="370"/>
      <c r="C449" s="371"/>
      <c r="D449" s="165" t="s">
        <v>1022</v>
      </c>
      <c r="E449" s="347"/>
      <c r="F449" s="347"/>
      <c r="G449" s="1263"/>
      <c r="H449" s="372"/>
      <c r="I449" s="166">
        <f>SUM(J449:Q449)</f>
        <v>2326</v>
      </c>
      <c r="J449" s="349"/>
      <c r="K449" s="349"/>
      <c r="L449" s="364">
        <v>2326</v>
      </c>
      <c r="M449" s="349"/>
      <c r="N449" s="360"/>
    </row>
    <row r="450" spans="1:16" s="307" customFormat="1" ht="22.5" customHeight="1">
      <c r="A450" s="306">
        <v>443</v>
      </c>
      <c r="B450" s="357"/>
      <c r="C450" s="344">
        <v>69</v>
      </c>
      <c r="D450" s="358" t="s">
        <v>530</v>
      </c>
      <c r="E450" s="1258">
        <v>227492</v>
      </c>
      <c r="F450" s="1258">
        <v>269267</v>
      </c>
      <c r="G450" s="1259">
        <v>250887</v>
      </c>
      <c r="H450" s="346" t="s">
        <v>80</v>
      </c>
      <c r="I450" s="347"/>
      <c r="J450" s="348"/>
      <c r="K450" s="348"/>
      <c r="L450" s="348"/>
      <c r="M450" s="348"/>
      <c r="N450" s="350"/>
      <c r="P450" s="351"/>
    </row>
    <row r="451" spans="1:16" s="373" customFormat="1" ht="18" customHeight="1">
      <c r="A451" s="306">
        <v>444</v>
      </c>
      <c r="B451" s="370"/>
      <c r="C451" s="371"/>
      <c r="D451" s="345" t="s">
        <v>198</v>
      </c>
      <c r="E451" s="347"/>
      <c r="F451" s="347"/>
      <c r="G451" s="1263"/>
      <c r="H451" s="372"/>
      <c r="I451" s="347">
        <f>SUM(J451:N451)</f>
        <v>511189</v>
      </c>
      <c r="J451" s="349">
        <f>211579+78930</f>
        <v>290509</v>
      </c>
      <c r="K451" s="349">
        <f>27320+26527</f>
        <v>53847</v>
      </c>
      <c r="L451" s="349">
        <f>77989+25000+63844</f>
        <v>166833</v>
      </c>
      <c r="M451" s="349"/>
      <c r="N451" s="360"/>
    </row>
    <row r="452" spans="1:16" s="373" customFormat="1" ht="18" customHeight="1">
      <c r="A452" s="306">
        <v>445</v>
      </c>
      <c r="B452" s="370"/>
      <c r="C452" s="371"/>
      <c r="D452" s="163" t="s">
        <v>765</v>
      </c>
      <c r="E452" s="347"/>
      <c r="F452" s="347"/>
      <c r="G452" s="1263"/>
      <c r="H452" s="372"/>
      <c r="I452" s="340">
        <f>SUM(J452:N452)</f>
        <v>563289</v>
      </c>
      <c r="J452" s="362">
        <v>290209</v>
      </c>
      <c r="K452" s="362">
        <v>53847</v>
      </c>
      <c r="L452" s="362">
        <v>219233</v>
      </c>
      <c r="M452" s="349"/>
      <c r="N452" s="360"/>
    </row>
    <row r="453" spans="1:16" s="373" customFormat="1" ht="18" customHeight="1">
      <c r="A453" s="306">
        <v>446</v>
      </c>
      <c r="B453" s="370"/>
      <c r="C453" s="371"/>
      <c r="D453" s="165" t="s">
        <v>1021</v>
      </c>
      <c r="E453" s="347"/>
      <c r="F453" s="347"/>
      <c r="G453" s="1263"/>
      <c r="H453" s="372"/>
      <c r="I453" s="166">
        <f>SUM(J453:Q453)</f>
        <v>321258</v>
      </c>
      <c r="J453" s="364">
        <v>180923</v>
      </c>
      <c r="K453" s="364">
        <v>19775</v>
      </c>
      <c r="L453" s="364">
        <v>120560</v>
      </c>
      <c r="M453" s="349"/>
      <c r="N453" s="360"/>
    </row>
    <row r="454" spans="1:16" s="351" customFormat="1" ht="22.5" customHeight="1">
      <c r="A454" s="306">
        <v>447</v>
      </c>
      <c r="B454" s="343"/>
      <c r="C454" s="344">
        <v>70</v>
      </c>
      <c r="D454" s="338" t="s">
        <v>531</v>
      </c>
      <c r="E454" s="1258"/>
      <c r="F454" s="1258">
        <v>180</v>
      </c>
      <c r="G454" s="1259">
        <v>45</v>
      </c>
      <c r="H454" s="346" t="s">
        <v>80</v>
      </c>
      <c r="I454" s="347"/>
      <c r="J454" s="348"/>
      <c r="K454" s="348"/>
      <c r="L454" s="348"/>
      <c r="M454" s="348"/>
      <c r="N454" s="350"/>
    </row>
    <row r="455" spans="1:16" s="373" customFormat="1" ht="18" customHeight="1">
      <c r="A455" s="306">
        <v>448</v>
      </c>
      <c r="B455" s="370"/>
      <c r="C455" s="371"/>
      <c r="D455" s="345" t="s">
        <v>198</v>
      </c>
      <c r="E455" s="347"/>
      <c r="F455" s="347"/>
      <c r="G455" s="1263"/>
      <c r="H455" s="372"/>
      <c r="I455" s="347">
        <f>SUM(J455:N455)</f>
        <v>180</v>
      </c>
      <c r="J455" s="349"/>
      <c r="K455" s="349"/>
      <c r="L455" s="349">
        <v>180</v>
      </c>
      <c r="M455" s="349"/>
      <c r="N455" s="360"/>
    </row>
    <row r="456" spans="1:16" s="373" customFormat="1" ht="18" customHeight="1">
      <c r="A456" s="306">
        <v>449</v>
      </c>
      <c r="B456" s="370"/>
      <c r="C456" s="371"/>
      <c r="D456" s="163" t="s">
        <v>765</v>
      </c>
      <c r="E456" s="347"/>
      <c r="F456" s="347"/>
      <c r="G456" s="1263"/>
      <c r="H456" s="372"/>
      <c r="I456" s="340">
        <f>SUM(J456:N456)</f>
        <v>180</v>
      </c>
      <c r="J456" s="362"/>
      <c r="K456" s="362"/>
      <c r="L456" s="362">
        <v>180</v>
      </c>
      <c r="M456" s="349"/>
      <c r="N456" s="360"/>
    </row>
    <row r="457" spans="1:16" s="373" customFormat="1" ht="18" customHeight="1">
      <c r="A457" s="306">
        <v>450</v>
      </c>
      <c r="B457" s="370"/>
      <c r="C457" s="371"/>
      <c r="D457" s="165" t="s">
        <v>1022</v>
      </c>
      <c r="E457" s="347"/>
      <c r="F457" s="347"/>
      <c r="G457" s="1263"/>
      <c r="H457" s="372"/>
      <c r="I457" s="166">
        <f>SUM(J457:Q457)</f>
        <v>180</v>
      </c>
      <c r="J457" s="349"/>
      <c r="K457" s="349"/>
      <c r="L457" s="364">
        <v>180</v>
      </c>
      <c r="M457" s="349"/>
      <c r="N457" s="360"/>
    </row>
    <row r="458" spans="1:16" s="307" customFormat="1" ht="22.5" customHeight="1">
      <c r="A458" s="306">
        <v>451</v>
      </c>
      <c r="B458" s="357"/>
      <c r="C458" s="344">
        <v>71</v>
      </c>
      <c r="D458" s="358" t="s">
        <v>532</v>
      </c>
      <c r="E458" s="1258">
        <v>8562</v>
      </c>
      <c r="F458" s="1258">
        <v>124590</v>
      </c>
      <c r="G458" s="1259">
        <v>71148</v>
      </c>
      <c r="H458" s="346" t="s">
        <v>80</v>
      </c>
      <c r="I458" s="347"/>
      <c r="J458" s="348"/>
      <c r="K458" s="348"/>
      <c r="L458" s="348"/>
      <c r="M458" s="348"/>
      <c r="N458" s="350"/>
      <c r="P458" s="351"/>
    </row>
    <row r="459" spans="1:16" s="373" customFormat="1" ht="18" customHeight="1">
      <c r="A459" s="306">
        <v>452</v>
      </c>
      <c r="B459" s="418"/>
      <c r="C459" s="371"/>
      <c r="D459" s="345" t="s">
        <v>198</v>
      </c>
      <c r="E459" s="359"/>
      <c r="F459" s="359"/>
      <c r="G459" s="1273"/>
      <c r="H459" s="415"/>
      <c r="I459" s="347">
        <f>SUM(J459:N459)</f>
        <v>90000</v>
      </c>
      <c r="J459" s="419"/>
      <c r="K459" s="419"/>
      <c r="L459" s="419">
        <v>5000</v>
      </c>
      <c r="M459" s="419"/>
      <c r="N459" s="403">
        <f>90000-5000</f>
        <v>85000</v>
      </c>
    </row>
    <row r="460" spans="1:16" s="373" customFormat="1" ht="18" customHeight="1">
      <c r="A460" s="306">
        <v>453</v>
      </c>
      <c r="B460" s="418"/>
      <c r="C460" s="371"/>
      <c r="D460" s="163" t="s">
        <v>765</v>
      </c>
      <c r="E460" s="359"/>
      <c r="F460" s="359"/>
      <c r="G460" s="1273"/>
      <c r="H460" s="415"/>
      <c r="I460" s="340">
        <f>SUM(J460:N460)</f>
        <v>985931</v>
      </c>
      <c r="J460" s="352"/>
      <c r="K460" s="352"/>
      <c r="L460" s="352">
        <v>8000</v>
      </c>
      <c r="M460" s="352"/>
      <c r="N460" s="404">
        <v>977931</v>
      </c>
    </row>
    <row r="461" spans="1:16" s="373" customFormat="1" ht="18" customHeight="1">
      <c r="A461" s="306">
        <v>454</v>
      </c>
      <c r="B461" s="418"/>
      <c r="C461" s="371"/>
      <c r="D461" s="165" t="s">
        <v>1021</v>
      </c>
      <c r="E461" s="359"/>
      <c r="F461" s="359"/>
      <c r="G461" s="1273"/>
      <c r="H461" s="415"/>
      <c r="I461" s="166">
        <f>SUM(J461:Q461)</f>
        <v>63271</v>
      </c>
      <c r="J461" s="419"/>
      <c r="K461" s="419"/>
      <c r="L461" s="354">
        <v>5556</v>
      </c>
      <c r="M461" s="419"/>
      <c r="N461" s="355">
        <v>57715</v>
      </c>
    </row>
    <row r="462" spans="1:16" s="307" customFormat="1" ht="22.5" customHeight="1">
      <c r="A462" s="306">
        <v>455</v>
      </c>
      <c r="B462" s="357"/>
      <c r="C462" s="344">
        <v>72</v>
      </c>
      <c r="D462" s="358" t="s">
        <v>533</v>
      </c>
      <c r="E462" s="1258">
        <v>174608</v>
      </c>
      <c r="F462" s="1258">
        <v>183480</v>
      </c>
      <c r="G462" s="1259">
        <v>330427</v>
      </c>
      <c r="H462" s="346" t="s">
        <v>80</v>
      </c>
      <c r="I462" s="347"/>
      <c r="J462" s="348"/>
      <c r="K462" s="348"/>
      <c r="L462" s="348"/>
      <c r="M462" s="348"/>
      <c r="N462" s="350"/>
      <c r="P462" s="351"/>
    </row>
    <row r="463" spans="1:16" s="373" customFormat="1" ht="18" customHeight="1">
      <c r="A463" s="306">
        <v>456</v>
      </c>
      <c r="B463" s="370"/>
      <c r="C463" s="371"/>
      <c r="D463" s="345" t="s">
        <v>198</v>
      </c>
      <c r="E463" s="347"/>
      <c r="F463" s="347"/>
      <c r="G463" s="1263"/>
      <c r="H463" s="372"/>
      <c r="I463" s="347">
        <f>SUM(J463:N463)</f>
        <v>241986</v>
      </c>
      <c r="J463" s="349"/>
      <c r="K463" s="349"/>
      <c r="L463" s="349">
        <v>241986</v>
      </c>
      <c r="M463" s="349"/>
      <c r="N463" s="360"/>
    </row>
    <row r="464" spans="1:16" s="373" customFormat="1" ht="18" customHeight="1">
      <c r="A464" s="306">
        <v>457</v>
      </c>
      <c r="B464" s="370"/>
      <c r="C464" s="371"/>
      <c r="D464" s="163" t="s">
        <v>765</v>
      </c>
      <c r="E464" s="347"/>
      <c r="F464" s="347"/>
      <c r="G464" s="1263"/>
      <c r="H464" s="372"/>
      <c r="I464" s="340">
        <f>SUM(J464:N464)</f>
        <v>741986</v>
      </c>
      <c r="J464" s="362"/>
      <c r="K464" s="362"/>
      <c r="L464" s="362">
        <v>741986</v>
      </c>
      <c r="M464" s="349"/>
      <c r="N464" s="360"/>
    </row>
    <row r="465" spans="1:16" s="373" customFormat="1" ht="18" customHeight="1">
      <c r="A465" s="306">
        <v>458</v>
      </c>
      <c r="B465" s="370"/>
      <c r="C465" s="371"/>
      <c r="D465" s="165" t="s">
        <v>1021</v>
      </c>
      <c r="E465" s="347"/>
      <c r="F465" s="347"/>
      <c r="G465" s="1263"/>
      <c r="H465" s="372"/>
      <c r="I465" s="166">
        <f>SUM(J465:Q465)</f>
        <v>258141</v>
      </c>
      <c r="J465" s="349"/>
      <c r="K465" s="349"/>
      <c r="L465" s="364">
        <v>258141</v>
      </c>
      <c r="M465" s="349"/>
      <c r="N465" s="360"/>
    </row>
    <row r="466" spans="1:16" s="307" customFormat="1" ht="22.5" customHeight="1">
      <c r="A466" s="306">
        <v>459</v>
      </c>
      <c r="B466" s="357"/>
      <c r="C466" s="344">
        <v>73</v>
      </c>
      <c r="D466" s="358" t="s">
        <v>534</v>
      </c>
      <c r="E466" s="1258">
        <v>97363</v>
      </c>
      <c r="F466" s="1258">
        <v>296384</v>
      </c>
      <c r="G466" s="1259">
        <v>191921</v>
      </c>
      <c r="H466" s="346" t="s">
        <v>231</v>
      </c>
      <c r="I466" s="347"/>
      <c r="J466" s="348"/>
      <c r="K466" s="348"/>
      <c r="L466" s="348"/>
      <c r="M466" s="348"/>
      <c r="N466" s="350"/>
      <c r="P466" s="351"/>
    </row>
    <row r="467" spans="1:16" s="373" customFormat="1" ht="18" customHeight="1">
      <c r="A467" s="306">
        <v>460</v>
      </c>
      <c r="B467" s="370"/>
      <c r="C467" s="371"/>
      <c r="D467" s="345" t="s">
        <v>198</v>
      </c>
      <c r="E467" s="347"/>
      <c r="F467" s="347"/>
      <c r="G467" s="1263"/>
      <c r="H467" s="372"/>
      <c r="I467" s="347">
        <f>SUM(J467:N467)</f>
        <v>131877</v>
      </c>
      <c r="J467" s="349"/>
      <c r="K467" s="349"/>
      <c r="L467" s="349">
        <v>131877</v>
      </c>
      <c r="M467" s="349"/>
      <c r="N467" s="360"/>
    </row>
    <row r="468" spans="1:16" s="373" customFormat="1" ht="18" customHeight="1">
      <c r="A468" s="306">
        <v>461</v>
      </c>
      <c r="B468" s="370"/>
      <c r="C468" s="371"/>
      <c r="D468" s="163" t="s">
        <v>765</v>
      </c>
      <c r="E468" s="347"/>
      <c r="F468" s="347"/>
      <c r="G468" s="1263"/>
      <c r="H468" s="372"/>
      <c r="I468" s="340">
        <f>SUM(J468:N468)</f>
        <v>131877</v>
      </c>
      <c r="J468" s="362"/>
      <c r="K468" s="362"/>
      <c r="L468" s="362">
        <v>131877</v>
      </c>
      <c r="M468" s="349"/>
      <c r="N468" s="360"/>
    </row>
    <row r="469" spans="1:16" s="373" customFormat="1" ht="18" customHeight="1">
      <c r="A469" s="306">
        <v>462</v>
      </c>
      <c r="B469" s="370"/>
      <c r="C469" s="371"/>
      <c r="D469" s="165" t="s">
        <v>1022</v>
      </c>
      <c r="E469" s="347"/>
      <c r="F469" s="347"/>
      <c r="G469" s="1263"/>
      <c r="H469" s="372"/>
      <c r="I469" s="166">
        <f>SUM(J469:Q469)</f>
        <v>110274</v>
      </c>
      <c r="J469" s="349"/>
      <c r="K469" s="349"/>
      <c r="L469" s="364">
        <v>110274</v>
      </c>
      <c r="M469" s="349"/>
      <c r="N469" s="360"/>
    </row>
    <row r="470" spans="1:16" s="351" customFormat="1" ht="22.5" customHeight="1">
      <c r="A470" s="306">
        <v>463</v>
      </c>
      <c r="B470" s="343"/>
      <c r="C470" s="344">
        <v>74</v>
      </c>
      <c r="D470" s="338" t="s">
        <v>535</v>
      </c>
      <c r="E470" s="1258">
        <v>1667835</v>
      </c>
      <c r="F470" s="1258">
        <v>2665054</v>
      </c>
      <c r="G470" s="1259">
        <v>2665054</v>
      </c>
      <c r="H470" s="346" t="s">
        <v>80</v>
      </c>
      <c r="I470" s="347"/>
      <c r="J470" s="348"/>
      <c r="K470" s="348"/>
      <c r="L470" s="348"/>
      <c r="M470" s="348"/>
      <c r="N470" s="350"/>
    </row>
    <row r="471" spans="1:16" s="373" customFormat="1" ht="18" customHeight="1">
      <c r="A471" s="306">
        <v>464</v>
      </c>
      <c r="B471" s="370"/>
      <c r="C471" s="371"/>
      <c r="D471" s="345" t="s">
        <v>198</v>
      </c>
      <c r="E471" s="347"/>
      <c r="F471" s="347"/>
      <c r="G471" s="1263"/>
      <c r="H471" s="372"/>
      <c r="I471" s="347">
        <f>SUM(J471:N471)</f>
        <v>3487933</v>
      </c>
      <c r="J471" s="349"/>
      <c r="K471" s="349"/>
      <c r="L471" s="349"/>
      <c r="M471" s="349"/>
      <c r="N471" s="360">
        <v>3487933</v>
      </c>
    </row>
    <row r="472" spans="1:16" s="373" customFormat="1" ht="18" customHeight="1">
      <c r="A472" s="306">
        <v>465</v>
      </c>
      <c r="B472" s="370"/>
      <c r="C472" s="371"/>
      <c r="D472" s="163" t="s">
        <v>765</v>
      </c>
      <c r="E472" s="347"/>
      <c r="F472" s="347"/>
      <c r="G472" s="1263"/>
      <c r="H472" s="372"/>
      <c r="I472" s="340">
        <f>SUM(J472:N472)</f>
        <v>3487933</v>
      </c>
      <c r="J472" s="362"/>
      <c r="K472" s="362"/>
      <c r="L472" s="362"/>
      <c r="M472" s="362"/>
      <c r="N472" s="363">
        <v>3487933</v>
      </c>
    </row>
    <row r="473" spans="1:16" s="373" customFormat="1" ht="18" customHeight="1">
      <c r="A473" s="306">
        <v>466</v>
      </c>
      <c r="B473" s="370"/>
      <c r="C473" s="371"/>
      <c r="D473" s="165" t="s">
        <v>1022</v>
      </c>
      <c r="E473" s="347"/>
      <c r="F473" s="347"/>
      <c r="G473" s="1263"/>
      <c r="H473" s="372"/>
      <c r="I473" s="166">
        <f>SUM(J473:Q473)</f>
        <v>3487933</v>
      </c>
      <c r="J473" s="349"/>
      <c r="K473" s="349"/>
      <c r="L473" s="349"/>
      <c r="M473" s="349"/>
      <c r="N473" s="366">
        <v>3487933</v>
      </c>
    </row>
    <row r="474" spans="1:16" s="307" customFormat="1" ht="22.5" customHeight="1">
      <c r="A474" s="306">
        <v>467</v>
      </c>
      <c r="B474" s="357"/>
      <c r="C474" s="344">
        <v>75</v>
      </c>
      <c r="D474" s="358" t="s">
        <v>536</v>
      </c>
      <c r="E474" s="1258">
        <v>3000</v>
      </c>
      <c r="F474" s="1258">
        <v>2276</v>
      </c>
      <c r="G474" s="1259">
        <v>2276</v>
      </c>
      <c r="H474" s="346" t="s">
        <v>231</v>
      </c>
      <c r="I474" s="347"/>
      <c r="J474" s="348"/>
      <c r="K474" s="348"/>
      <c r="L474" s="348"/>
      <c r="M474" s="348"/>
      <c r="N474" s="350"/>
      <c r="P474" s="351"/>
    </row>
    <row r="475" spans="1:16" s="373" customFormat="1" ht="18" customHeight="1">
      <c r="A475" s="306">
        <v>468</v>
      </c>
      <c r="B475" s="370"/>
      <c r="C475" s="371"/>
      <c r="D475" s="345" t="s">
        <v>198</v>
      </c>
      <c r="E475" s="347"/>
      <c r="F475" s="347"/>
      <c r="G475" s="1263"/>
      <c r="H475" s="372"/>
      <c r="I475" s="347">
        <f>SUM(J475:N475)</f>
        <v>20000</v>
      </c>
      <c r="J475" s="349"/>
      <c r="K475" s="349"/>
      <c r="L475" s="349"/>
      <c r="M475" s="349"/>
      <c r="N475" s="360">
        <v>20000</v>
      </c>
    </row>
    <row r="476" spans="1:16" s="373" customFormat="1" ht="18" customHeight="1">
      <c r="A476" s="306">
        <v>469</v>
      </c>
      <c r="B476" s="370"/>
      <c r="C476" s="371"/>
      <c r="D476" s="163" t="s">
        <v>765</v>
      </c>
      <c r="E476" s="347"/>
      <c r="F476" s="347"/>
      <c r="G476" s="1263"/>
      <c r="H476" s="372"/>
      <c r="I476" s="340">
        <f>SUM(J476:N476)</f>
        <v>18000</v>
      </c>
      <c r="J476" s="362"/>
      <c r="K476" s="362"/>
      <c r="L476" s="362"/>
      <c r="M476" s="362"/>
      <c r="N476" s="363">
        <v>18000</v>
      </c>
    </row>
    <row r="477" spans="1:16" s="373" customFormat="1" ht="18" customHeight="1">
      <c r="A477" s="306">
        <v>470</v>
      </c>
      <c r="B477" s="370"/>
      <c r="C477" s="371"/>
      <c r="D477" s="165" t="s">
        <v>1021</v>
      </c>
      <c r="E477" s="347"/>
      <c r="F477" s="347"/>
      <c r="G477" s="1263"/>
      <c r="H477" s="372"/>
      <c r="I477" s="166">
        <f>SUM(J477:Q477)</f>
        <v>18000</v>
      </c>
      <c r="J477" s="349"/>
      <c r="K477" s="349"/>
      <c r="L477" s="349"/>
      <c r="M477" s="349"/>
      <c r="N477" s="366">
        <v>18000</v>
      </c>
    </row>
    <row r="478" spans="1:16" s="307" customFormat="1" ht="22.5" customHeight="1">
      <c r="A478" s="306">
        <v>471</v>
      </c>
      <c r="B478" s="357"/>
      <c r="C478" s="344">
        <v>76</v>
      </c>
      <c r="D478" s="358" t="s">
        <v>537</v>
      </c>
      <c r="E478" s="1258">
        <v>30000</v>
      </c>
      <c r="F478" s="1258">
        <v>20000</v>
      </c>
      <c r="G478" s="1259">
        <v>30000</v>
      </c>
      <c r="H478" s="346" t="s">
        <v>231</v>
      </c>
      <c r="I478" s="347"/>
      <c r="J478" s="348"/>
      <c r="K478" s="348"/>
      <c r="L478" s="348"/>
      <c r="M478" s="348"/>
      <c r="N478" s="350"/>
      <c r="P478" s="351"/>
    </row>
    <row r="479" spans="1:16" s="373" customFormat="1" ht="18" customHeight="1">
      <c r="A479" s="306">
        <v>472</v>
      </c>
      <c r="B479" s="370"/>
      <c r="C479" s="371"/>
      <c r="D479" s="345" t="s">
        <v>198</v>
      </c>
      <c r="E479" s="347"/>
      <c r="F479" s="347"/>
      <c r="G479" s="1263"/>
      <c r="H479" s="372"/>
      <c r="I479" s="347">
        <f>SUM(J479:N479)</f>
        <v>75000</v>
      </c>
      <c r="J479" s="349"/>
      <c r="K479" s="349"/>
      <c r="L479" s="349"/>
      <c r="M479" s="349"/>
      <c r="N479" s="360">
        <v>75000</v>
      </c>
    </row>
    <row r="480" spans="1:16" s="373" customFormat="1" ht="18" customHeight="1">
      <c r="A480" s="306">
        <v>473</v>
      </c>
      <c r="B480" s="370"/>
      <c r="C480" s="371"/>
      <c r="D480" s="163" t="s">
        <v>765</v>
      </c>
      <c r="E480" s="347"/>
      <c r="F480" s="347"/>
      <c r="G480" s="1263"/>
      <c r="H480" s="372"/>
      <c r="I480" s="340">
        <f>SUM(J480:N480)</f>
        <v>75000</v>
      </c>
      <c r="J480" s="362"/>
      <c r="K480" s="362"/>
      <c r="L480" s="362"/>
      <c r="M480" s="362"/>
      <c r="N480" s="363">
        <v>75000</v>
      </c>
    </row>
    <row r="481" spans="1:16" s="373" customFormat="1" ht="18" customHeight="1">
      <c r="A481" s="306">
        <v>474</v>
      </c>
      <c r="B481" s="370"/>
      <c r="C481" s="371"/>
      <c r="D481" s="165" t="s">
        <v>1022</v>
      </c>
      <c r="E481" s="347"/>
      <c r="F481" s="347"/>
      <c r="G481" s="1263"/>
      <c r="H481" s="372"/>
      <c r="I481" s="166">
        <f>SUM(J481:Q481)</f>
        <v>75000</v>
      </c>
      <c r="J481" s="349"/>
      <c r="K481" s="349"/>
      <c r="L481" s="349"/>
      <c r="M481" s="349"/>
      <c r="N481" s="366">
        <v>75000</v>
      </c>
    </row>
    <row r="482" spans="1:16" s="307" customFormat="1" ht="22.5" customHeight="1">
      <c r="A482" s="306">
        <v>475</v>
      </c>
      <c r="B482" s="357"/>
      <c r="C482" s="344">
        <v>77</v>
      </c>
      <c r="D482" s="358" t="s">
        <v>18</v>
      </c>
      <c r="E482" s="1258">
        <v>50000</v>
      </c>
      <c r="F482" s="1258">
        <v>20000</v>
      </c>
      <c r="G482" s="1259">
        <v>110364</v>
      </c>
      <c r="H482" s="346" t="s">
        <v>231</v>
      </c>
      <c r="I482" s="347"/>
      <c r="J482" s="348"/>
      <c r="K482" s="348"/>
      <c r="L482" s="348"/>
      <c r="M482" s="348"/>
      <c r="N482" s="350"/>
      <c r="P482" s="351"/>
    </row>
    <row r="483" spans="1:16" s="307" customFormat="1" ht="19.5" customHeight="1">
      <c r="A483" s="306">
        <v>476</v>
      </c>
      <c r="B483" s="357"/>
      <c r="C483" s="344"/>
      <c r="D483" s="345" t="s">
        <v>198</v>
      </c>
      <c r="E483" s="1258"/>
      <c r="F483" s="1258"/>
      <c r="G483" s="1259"/>
      <c r="H483" s="346"/>
      <c r="I483" s="347">
        <f>SUM(J483:N483)</f>
        <v>135364</v>
      </c>
      <c r="J483" s="348"/>
      <c r="K483" s="348"/>
      <c r="L483" s="348"/>
      <c r="M483" s="348"/>
      <c r="N483" s="360">
        <f>125364+10000</f>
        <v>135364</v>
      </c>
      <c r="P483" s="351"/>
    </row>
    <row r="484" spans="1:16" s="307" customFormat="1" ht="19.5" customHeight="1">
      <c r="A484" s="306">
        <v>477</v>
      </c>
      <c r="B484" s="357"/>
      <c r="C484" s="344"/>
      <c r="D484" s="163" t="s">
        <v>765</v>
      </c>
      <c r="E484" s="1258"/>
      <c r="F484" s="1258"/>
      <c r="G484" s="1259"/>
      <c r="H484" s="346"/>
      <c r="I484" s="340">
        <f>SUM(J484:N484)</f>
        <v>218364</v>
      </c>
      <c r="J484" s="361"/>
      <c r="K484" s="361"/>
      <c r="L484" s="361"/>
      <c r="M484" s="361"/>
      <c r="N484" s="363">
        <v>218364</v>
      </c>
      <c r="P484" s="351"/>
    </row>
    <row r="485" spans="1:16" s="307" customFormat="1" ht="19.5" customHeight="1">
      <c r="A485" s="306">
        <v>478</v>
      </c>
      <c r="B485" s="357"/>
      <c r="C485" s="344"/>
      <c r="D485" s="165" t="s">
        <v>1021</v>
      </c>
      <c r="E485" s="1258"/>
      <c r="F485" s="1258"/>
      <c r="G485" s="1259"/>
      <c r="H485" s="346"/>
      <c r="I485" s="166">
        <f>SUM(J485:Q485)</f>
        <v>218364</v>
      </c>
      <c r="J485" s="348"/>
      <c r="K485" s="348"/>
      <c r="L485" s="348"/>
      <c r="M485" s="348"/>
      <c r="N485" s="366">
        <v>218364</v>
      </c>
      <c r="P485" s="351"/>
    </row>
    <row r="486" spans="1:16" s="307" customFormat="1" ht="22.5" customHeight="1">
      <c r="A486" s="306">
        <v>479</v>
      </c>
      <c r="B486" s="357"/>
      <c r="C486" s="344">
        <v>78</v>
      </c>
      <c r="D486" s="358" t="s">
        <v>538</v>
      </c>
      <c r="E486" s="1258"/>
      <c r="F486" s="1258"/>
      <c r="G486" s="1259">
        <v>15576</v>
      </c>
      <c r="H486" s="346" t="s">
        <v>231</v>
      </c>
      <c r="I486" s="347"/>
      <c r="J486" s="348"/>
      <c r="K486" s="348"/>
      <c r="L486" s="348"/>
      <c r="M486" s="348"/>
      <c r="N486" s="350"/>
      <c r="P486" s="351"/>
    </row>
    <row r="487" spans="1:16" s="307" customFormat="1" ht="18" customHeight="1">
      <c r="A487" s="306">
        <v>480</v>
      </c>
      <c r="B487" s="357"/>
      <c r="C487" s="344"/>
      <c r="D487" s="345" t="s">
        <v>198</v>
      </c>
      <c r="E487" s="1258"/>
      <c r="F487" s="1258"/>
      <c r="G487" s="1259"/>
      <c r="H487" s="346"/>
      <c r="I487" s="347">
        <f>SUM(J487:N487)</f>
        <v>336000</v>
      </c>
      <c r="J487" s="348"/>
      <c r="K487" s="348"/>
      <c r="L487" s="349">
        <v>336000</v>
      </c>
      <c r="M487" s="348"/>
      <c r="N487" s="350"/>
      <c r="P487" s="351"/>
    </row>
    <row r="488" spans="1:16" s="307" customFormat="1" ht="18" customHeight="1">
      <c r="A488" s="306">
        <v>481</v>
      </c>
      <c r="B488" s="357"/>
      <c r="C488" s="344"/>
      <c r="D488" s="163" t="s">
        <v>765</v>
      </c>
      <c r="E488" s="1258"/>
      <c r="F488" s="1258"/>
      <c r="G488" s="1259"/>
      <c r="H488" s="346"/>
      <c r="I488" s="340">
        <f>SUM(J488:N488)</f>
        <v>99592</v>
      </c>
      <c r="J488" s="361"/>
      <c r="K488" s="361"/>
      <c r="L488" s="362">
        <v>99592</v>
      </c>
      <c r="M488" s="348"/>
      <c r="N488" s="350"/>
      <c r="P488" s="351"/>
    </row>
    <row r="489" spans="1:16" s="307" customFormat="1" ht="18" customHeight="1">
      <c r="A489" s="306">
        <v>482</v>
      </c>
      <c r="B489" s="357"/>
      <c r="C489" s="344"/>
      <c r="D489" s="945" t="s">
        <v>1022</v>
      </c>
      <c r="E489" s="1258"/>
      <c r="F489" s="1258"/>
      <c r="G489" s="1259"/>
      <c r="H489" s="346"/>
      <c r="I489" s="166">
        <f>SUM(J489:Q489)</f>
        <v>57673</v>
      </c>
      <c r="J489" s="348"/>
      <c r="K489" s="348"/>
      <c r="L489" s="364">
        <v>57673</v>
      </c>
      <c r="M489" s="348"/>
      <c r="N489" s="350"/>
      <c r="P489" s="351"/>
    </row>
    <row r="490" spans="1:16" s="307" customFormat="1" ht="22.5" customHeight="1">
      <c r="A490" s="306">
        <v>483</v>
      </c>
      <c r="B490" s="357"/>
      <c r="C490" s="344">
        <v>79</v>
      </c>
      <c r="D490" s="358" t="s">
        <v>539</v>
      </c>
      <c r="E490" s="1258">
        <v>22000</v>
      </c>
      <c r="F490" s="1258">
        <v>22000</v>
      </c>
      <c r="G490" s="1259">
        <v>22000</v>
      </c>
      <c r="H490" s="346" t="s">
        <v>231</v>
      </c>
      <c r="I490" s="347"/>
      <c r="J490" s="348"/>
      <c r="K490" s="348"/>
      <c r="L490" s="348"/>
      <c r="M490" s="348"/>
      <c r="N490" s="350"/>
      <c r="P490" s="351"/>
    </row>
    <row r="491" spans="1:16" s="373" customFormat="1" ht="18" customHeight="1">
      <c r="A491" s="306">
        <v>484</v>
      </c>
      <c r="B491" s="370"/>
      <c r="C491" s="371"/>
      <c r="D491" s="345" t="s">
        <v>198</v>
      </c>
      <c r="E491" s="347"/>
      <c r="F491" s="347"/>
      <c r="G491" s="1263"/>
      <c r="H491" s="372"/>
      <c r="I491" s="347">
        <f>SUM(J491:N491)</f>
        <v>38913</v>
      </c>
      <c r="J491" s="349"/>
      <c r="K491" s="349"/>
      <c r="L491" s="349">
        <f>38500+413</f>
        <v>38913</v>
      </c>
      <c r="M491" s="349"/>
      <c r="N491" s="360"/>
    </row>
    <row r="492" spans="1:16" s="373" customFormat="1" ht="18" customHeight="1">
      <c r="A492" s="306">
        <v>485</v>
      </c>
      <c r="B492" s="370"/>
      <c r="C492" s="371"/>
      <c r="D492" s="163" t="s">
        <v>765</v>
      </c>
      <c r="E492" s="347"/>
      <c r="F492" s="347"/>
      <c r="G492" s="1263"/>
      <c r="H492" s="372"/>
      <c r="I492" s="340">
        <f>SUM(J492:N492)</f>
        <v>38913</v>
      </c>
      <c r="J492" s="362"/>
      <c r="K492" s="362"/>
      <c r="L492" s="362">
        <v>38913</v>
      </c>
      <c r="M492" s="349"/>
      <c r="N492" s="360"/>
    </row>
    <row r="493" spans="1:16" s="373" customFormat="1" ht="18" customHeight="1">
      <c r="A493" s="306">
        <v>486</v>
      </c>
      <c r="B493" s="370"/>
      <c r="C493" s="371"/>
      <c r="D493" s="165" t="s">
        <v>1022</v>
      </c>
      <c r="E493" s="347"/>
      <c r="F493" s="347"/>
      <c r="G493" s="1263"/>
      <c r="H493" s="372"/>
      <c r="I493" s="166">
        <f>SUM(J493:Q493)</f>
        <v>35398</v>
      </c>
      <c r="J493" s="349"/>
      <c r="K493" s="349"/>
      <c r="L493" s="364">
        <v>35398</v>
      </c>
      <c r="M493" s="349"/>
      <c r="N493" s="360"/>
    </row>
    <row r="494" spans="1:16" s="307" customFormat="1" ht="22.5" customHeight="1">
      <c r="A494" s="306">
        <v>487</v>
      </c>
      <c r="B494" s="357"/>
      <c r="C494" s="344">
        <v>80</v>
      </c>
      <c r="D494" s="358" t="s">
        <v>540</v>
      </c>
      <c r="E494" s="1258">
        <v>3175</v>
      </c>
      <c r="F494" s="1258"/>
      <c r="G494" s="1259"/>
      <c r="H494" s="346" t="s">
        <v>231</v>
      </c>
      <c r="I494" s="347"/>
      <c r="J494" s="348"/>
      <c r="K494" s="348"/>
      <c r="L494" s="348"/>
      <c r="M494" s="348"/>
      <c r="N494" s="350"/>
      <c r="P494" s="351"/>
    </row>
    <row r="495" spans="1:16" s="307" customFormat="1" ht="22.5" customHeight="1">
      <c r="A495" s="306">
        <v>488</v>
      </c>
      <c r="B495" s="357"/>
      <c r="C495" s="344">
        <v>81</v>
      </c>
      <c r="D495" s="358" t="s">
        <v>541</v>
      </c>
      <c r="E495" s="1258"/>
      <c r="F495" s="1258"/>
      <c r="G495" s="1259"/>
      <c r="H495" s="346" t="s">
        <v>231</v>
      </c>
      <c r="I495" s="347"/>
      <c r="J495" s="348"/>
      <c r="K495" s="348"/>
      <c r="L495" s="348"/>
      <c r="M495" s="348"/>
      <c r="N495" s="350"/>
      <c r="P495" s="351"/>
    </row>
    <row r="496" spans="1:16" s="307" customFormat="1" ht="18" customHeight="1">
      <c r="A496" s="306">
        <v>489</v>
      </c>
      <c r="B496" s="357"/>
      <c r="C496" s="344"/>
      <c r="D496" s="345" t="s">
        <v>198</v>
      </c>
      <c r="E496" s="1258"/>
      <c r="F496" s="1258"/>
      <c r="G496" s="1259"/>
      <c r="H496" s="346"/>
      <c r="I496" s="347">
        <f>SUM(J496:N496)</f>
        <v>102870</v>
      </c>
      <c r="J496" s="348"/>
      <c r="K496" s="348"/>
      <c r="L496" s="349">
        <v>102870</v>
      </c>
      <c r="M496" s="348"/>
      <c r="N496" s="350"/>
      <c r="P496" s="351"/>
    </row>
    <row r="497" spans="1:16" s="307" customFormat="1" ht="18" customHeight="1">
      <c r="A497" s="306">
        <v>490</v>
      </c>
      <c r="B497" s="357"/>
      <c r="C497" s="344"/>
      <c r="D497" s="163" t="s">
        <v>765</v>
      </c>
      <c r="E497" s="1258"/>
      <c r="F497" s="1258"/>
      <c r="G497" s="1259"/>
      <c r="H497" s="346"/>
      <c r="I497" s="340">
        <f>SUM(J497:N497)</f>
        <v>25631</v>
      </c>
      <c r="J497" s="361"/>
      <c r="K497" s="361"/>
      <c r="L497" s="362">
        <v>25631</v>
      </c>
      <c r="M497" s="348"/>
      <c r="N497" s="350"/>
      <c r="P497" s="351"/>
    </row>
    <row r="498" spans="1:16" s="307" customFormat="1" ht="18" customHeight="1">
      <c r="A498" s="306">
        <v>491</v>
      </c>
      <c r="B498" s="357"/>
      <c r="C498" s="344"/>
      <c r="D498" s="165" t="s">
        <v>1021</v>
      </c>
      <c r="E498" s="1258"/>
      <c r="F498" s="1258"/>
      <c r="G498" s="1259"/>
      <c r="H498" s="346"/>
      <c r="I498" s="166">
        <f>SUM(J498:Q498)</f>
        <v>21631</v>
      </c>
      <c r="J498" s="348"/>
      <c r="K498" s="348"/>
      <c r="L498" s="364">
        <v>21631</v>
      </c>
      <c r="M498" s="348"/>
      <c r="N498" s="350"/>
      <c r="P498" s="351"/>
    </row>
    <row r="499" spans="1:16" s="307" customFormat="1" ht="22.5" customHeight="1">
      <c r="A499" s="306">
        <v>492</v>
      </c>
      <c r="B499" s="357"/>
      <c r="C499" s="344">
        <v>82</v>
      </c>
      <c r="D499" s="358" t="s">
        <v>542</v>
      </c>
      <c r="E499" s="1258">
        <v>65000</v>
      </c>
      <c r="F499" s="1258">
        <v>30000</v>
      </c>
      <c r="G499" s="1259">
        <v>95000</v>
      </c>
      <c r="H499" s="346" t="s">
        <v>231</v>
      </c>
      <c r="I499" s="347"/>
      <c r="J499" s="348"/>
      <c r="K499" s="348"/>
      <c r="L499" s="348"/>
      <c r="M499" s="348"/>
      <c r="N499" s="350"/>
      <c r="P499" s="351"/>
    </row>
    <row r="500" spans="1:16" s="373" customFormat="1" ht="18" customHeight="1">
      <c r="A500" s="306">
        <v>493</v>
      </c>
      <c r="B500" s="370"/>
      <c r="C500" s="371"/>
      <c r="D500" s="345" t="s">
        <v>198</v>
      </c>
      <c r="E500" s="347"/>
      <c r="F500" s="347"/>
      <c r="G500" s="1263"/>
      <c r="H500" s="372"/>
      <c r="I500" s="347">
        <f>SUM(J500:N500)</f>
        <v>140200</v>
      </c>
      <c r="J500" s="349"/>
      <c r="K500" s="349"/>
      <c r="L500" s="349"/>
      <c r="M500" s="349"/>
      <c r="N500" s="360">
        <v>140200</v>
      </c>
    </row>
    <row r="501" spans="1:16" s="373" customFormat="1" ht="18" customHeight="1">
      <c r="A501" s="306">
        <v>494</v>
      </c>
      <c r="B501" s="370"/>
      <c r="C501" s="371"/>
      <c r="D501" s="163" t="s">
        <v>765</v>
      </c>
      <c r="E501" s="347"/>
      <c r="F501" s="347"/>
      <c r="G501" s="1263"/>
      <c r="H501" s="372"/>
      <c r="I501" s="340">
        <f>SUM(J501:N501)</f>
        <v>140200</v>
      </c>
      <c r="J501" s="362"/>
      <c r="K501" s="362"/>
      <c r="L501" s="362"/>
      <c r="M501" s="362"/>
      <c r="N501" s="363">
        <v>140200</v>
      </c>
    </row>
    <row r="502" spans="1:16" s="373" customFormat="1" ht="18" customHeight="1">
      <c r="A502" s="306">
        <v>495</v>
      </c>
      <c r="B502" s="370"/>
      <c r="C502" s="371"/>
      <c r="D502" s="165" t="s">
        <v>1022</v>
      </c>
      <c r="E502" s="347"/>
      <c r="F502" s="347"/>
      <c r="G502" s="1263"/>
      <c r="H502" s="372"/>
      <c r="I502" s="166">
        <f>SUM(J502:Q502)</f>
        <v>140200</v>
      </c>
      <c r="J502" s="349"/>
      <c r="K502" s="349"/>
      <c r="L502" s="349"/>
      <c r="M502" s="349"/>
      <c r="N502" s="366">
        <v>140200</v>
      </c>
    </row>
    <row r="503" spans="1:16" s="307" customFormat="1" ht="32.25" customHeight="1">
      <c r="A503" s="306">
        <v>496</v>
      </c>
      <c r="B503" s="357"/>
      <c r="C503" s="420">
        <v>83</v>
      </c>
      <c r="D503" s="338" t="s">
        <v>543</v>
      </c>
      <c r="E503" s="1258">
        <v>32505</v>
      </c>
      <c r="F503" s="1258">
        <v>39748</v>
      </c>
      <c r="G503" s="1259">
        <v>17785</v>
      </c>
      <c r="H503" s="346" t="s">
        <v>231</v>
      </c>
      <c r="I503" s="347"/>
      <c r="J503" s="348"/>
      <c r="K503" s="348"/>
      <c r="L503" s="348"/>
      <c r="M503" s="348"/>
      <c r="N503" s="360"/>
      <c r="P503" s="351"/>
    </row>
    <row r="504" spans="1:16" s="373" customFormat="1" ht="18" customHeight="1">
      <c r="A504" s="306">
        <v>497</v>
      </c>
      <c r="B504" s="370"/>
      <c r="C504" s="371"/>
      <c r="D504" s="345" t="s">
        <v>198</v>
      </c>
      <c r="E504" s="347"/>
      <c r="F504" s="347"/>
      <c r="G504" s="1263"/>
      <c r="H504" s="372"/>
      <c r="I504" s="347">
        <f>SUM(J504:N504)</f>
        <v>61213</v>
      </c>
      <c r="J504" s="349"/>
      <c r="K504" s="349"/>
      <c r="L504" s="349">
        <f>42250+18963</f>
        <v>61213</v>
      </c>
      <c r="M504" s="349"/>
      <c r="N504" s="360"/>
    </row>
    <row r="505" spans="1:16" s="373" customFormat="1" ht="18" customHeight="1">
      <c r="A505" s="306">
        <v>498</v>
      </c>
      <c r="B505" s="370"/>
      <c r="C505" s="371"/>
      <c r="D505" s="163" t="s">
        <v>765</v>
      </c>
      <c r="E505" s="347"/>
      <c r="F505" s="347"/>
      <c r="G505" s="1263"/>
      <c r="H505" s="372"/>
      <c r="I505" s="340">
        <f>SUM(J505:N505)</f>
        <v>59013</v>
      </c>
      <c r="J505" s="362"/>
      <c r="K505" s="362"/>
      <c r="L505" s="362">
        <v>59013</v>
      </c>
      <c r="M505" s="349"/>
      <c r="N505" s="360"/>
    </row>
    <row r="506" spans="1:16" s="373" customFormat="1" ht="18" customHeight="1">
      <c r="A506" s="306">
        <v>499</v>
      </c>
      <c r="B506" s="370"/>
      <c r="C506" s="371"/>
      <c r="D506" s="165" t="s">
        <v>1021</v>
      </c>
      <c r="E506" s="347"/>
      <c r="F506" s="347"/>
      <c r="G506" s="1263"/>
      <c r="H506" s="372"/>
      <c r="I506" s="166">
        <f>SUM(J506:Q506)</f>
        <v>17294</v>
      </c>
      <c r="J506" s="349"/>
      <c r="K506" s="349"/>
      <c r="L506" s="364">
        <v>17294</v>
      </c>
      <c r="M506" s="349"/>
      <c r="N506" s="360"/>
    </row>
    <row r="507" spans="1:16" s="351" customFormat="1" ht="22.5" customHeight="1">
      <c r="A507" s="306">
        <v>500</v>
      </c>
      <c r="B507" s="343"/>
      <c r="C507" s="344">
        <v>84</v>
      </c>
      <c r="D507" s="338" t="s">
        <v>544</v>
      </c>
      <c r="E507" s="1258"/>
      <c r="F507" s="1258"/>
      <c r="G507" s="1259"/>
      <c r="H507" s="346" t="s">
        <v>231</v>
      </c>
      <c r="I507" s="347"/>
      <c r="J507" s="348"/>
      <c r="K507" s="348"/>
      <c r="L507" s="348"/>
      <c r="M507" s="348"/>
      <c r="N507" s="350"/>
    </row>
    <row r="508" spans="1:16" s="351" customFormat="1" ht="18" customHeight="1">
      <c r="A508" s="306">
        <v>501</v>
      </c>
      <c r="B508" s="343"/>
      <c r="C508" s="344"/>
      <c r="D508" s="345" t="s">
        <v>198</v>
      </c>
      <c r="E508" s="1258"/>
      <c r="F508" s="1258"/>
      <c r="G508" s="1259"/>
      <c r="H508" s="339"/>
      <c r="I508" s="347">
        <f>SUM(J508:N508)</f>
        <v>7500</v>
      </c>
      <c r="J508" s="348"/>
      <c r="K508" s="348"/>
      <c r="L508" s="348"/>
      <c r="M508" s="348"/>
      <c r="N508" s="360">
        <v>7500</v>
      </c>
    </row>
    <row r="509" spans="1:16" s="351" customFormat="1" ht="18" customHeight="1">
      <c r="A509" s="306">
        <v>502</v>
      </c>
      <c r="B509" s="343"/>
      <c r="C509" s="344"/>
      <c r="D509" s="163" t="s">
        <v>765</v>
      </c>
      <c r="E509" s="1258"/>
      <c r="F509" s="1258"/>
      <c r="G509" s="1259"/>
      <c r="H509" s="339"/>
      <c r="I509" s="340">
        <f>SUM(J509:N509)</f>
        <v>6620</v>
      </c>
      <c r="J509" s="361"/>
      <c r="K509" s="361"/>
      <c r="L509" s="361"/>
      <c r="M509" s="361"/>
      <c r="N509" s="363">
        <v>6620</v>
      </c>
    </row>
    <row r="510" spans="1:16" s="351" customFormat="1" ht="18" customHeight="1">
      <c r="A510" s="306">
        <v>503</v>
      </c>
      <c r="B510" s="343"/>
      <c r="C510" s="344"/>
      <c r="D510" s="165" t="s">
        <v>1021</v>
      </c>
      <c r="E510" s="1258"/>
      <c r="F510" s="1258"/>
      <c r="G510" s="1259"/>
      <c r="H510" s="339"/>
      <c r="I510" s="166">
        <f>SUM(J510:Q510)</f>
        <v>6186</v>
      </c>
      <c r="J510" s="348"/>
      <c r="K510" s="348"/>
      <c r="L510" s="348"/>
      <c r="M510" s="348"/>
      <c r="N510" s="366">
        <v>6186</v>
      </c>
    </row>
    <row r="511" spans="1:16" s="351" customFormat="1" ht="22.5" customHeight="1">
      <c r="A511" s="306">
        <v>504</v>
      </c>
      <c r="B511" s="343"/>
      <c r="C511" s="344">
        <v>85</v>
      </c>
      <c r="D511" s="358" t="s">
        <v>545</v>
      </c>
      <c r="E511" s="1258"/>
      <c r="F511" s="1258"/>
      <c r="G511" s="1259"/>
      <c r="H511" s="339" t="s">
        <v>231</v>
      </c>
      <c r="I511" s="367"/>
      <c r="J511" s="368"/>
      <c r="K511" s="368"/>
      <c r="L511" s="368"/>
      <c r="M511" s="368"/>
      <c r="N511" s="369"/>
    </row>
    <row r="512" spans="1:16" s="351" customFormat="1" ht="18" customHeight="1">
      <c r="A512" s="306">
        <v>505</v>
      </c>
      <c r="B512" s="343"/>
      <c r="C512" s="344"/>
      <c r="D512" s="345" t="s">
        <v>198</v>
      </c>
      <c r="E512" s="1258"/>
      <c r="F512" s="1258"/>
      <c r="G512" s="1259"/>
      <c r="H512" s="339"/>
      <c r="I512" s="347">
        <f>SUM(J512:N512)</f>
        <v>11000</v>
      </c>
      <c r="J512" s="368"/>
      <c r="K512" s="368"/>
      <c r="L512" s="368"/>
      <c r="M512" s="368"/>
      <c r="N512" s="397">
        <v>11000</v>
      </c>
    </row>
    <row r="513" spans="1:16" s="351" customFormat="1" ht="18" customHeight="1">
      <c r="A513" s="306">
        <v>506</v>
      </c>
      <c r="B513" s="343"/>
      <c r="C513" s="344"/>
      <c r="D513" s="163" t="s">
        <v>765</v>
      </c>
      <c r="E513" s="1258"/>
      <c r="F513" s="1258"/>
      <c r="G513" s="1259"/>
      <c r="H513" s="339"/>
      <c r="I513" s="340">
        <f>SUM(J513:N513)</f>
        <v>11000</v>
      </c>
      <c r="J513" s="421"/>
      <c r="K513" s="421"/>
      <c r="L513" s="421"/>
      <c r="M513" s="421"/>
      <c r="N513" s="399">
        <v>11000</v>
      </c>
    </row>
    <row r="514" spans="1:16" s="351" customFormat="1" ht="18" customHeight="1">
      <c r="A514" s="306">
        <v>507</v>
      </c>
      <c r="B514" s="343"/>
      <c r="C514" s="344"/>
      <c r="D514" s="165" t="s">
        <v>1022</v>
      </c>
      <c r="E514" s="1258"/>
      <c r="F514" s="1258"/>
      <c r="G514" s="1259"/>
      <c r="H514" s="339"/>
      <c r="I514" s="166">
        <f>SUM(J514:Q514)</f>
        <v>11000</v>
      </c>
      <c r="J514" s="368"/>
      <c r="K514" s="368"/>
      <c r="L514" s="368"/>
      <c r="M514" s="368"/>
      <c r="N514" s="389">
        <v>11000</v>
      </c>
    </row>
    <row r="515" spans="1:16" s="307" customFormat="1" ht="22.5" customHeight="1">
      <c r="A515" s="306">
        <v>508</v>
      </c>
      <c r="B515" s="357"/>
      <c r="C515" s="344">
        <v>86</v>
      </c>
      <c r="D515" s="358" t="s">
        <v>546</v>
      </c>
      <c r="E515" s="1258">
        <v>1810</v>
      </c>
      <c r="F515" s="1258">
        <v>3945</v>
      </c>
      <c r="G515" s="1259">
        <v>767</v>
      </c>
      <c r="H515" s="346" t="s">
        <v>80</v>
      </c>
      <c r="I515" s="347"/>
      <c r="J515" s="348"/>
      <c r="K515" s="348"/>
      <c r="L515" s="348"/>
      <c r="M515" s="348"/>
      <c r="N515" s="350"/>
      <c r="P515" s="351"/>
    </row>
    <row r="516" spans="1:16" s="373" customFormat="1" ht="18" customHeight="1">
      <c r="A516" s="306">
        <v>509</v>
      </c>
      <c r="B516" s="370"/>
      <c r="C516" s="371"/>
      <c r="D516" s="345" t="s">
        <v>198</v>
      </c>
      <c r="E516" s="347"/>
      <c r="F516" s="347"/>
      <c r="G516" s="1263"/>
      <c r="H516" s="372"/>
      <c r="I516" s="347">
        <f>SUM(J516:N516)</f>
        <v>2100</v>
      </c>
      <c r="J516" s="349">
        <v>400</v>
      </c>
      <c r="K516" s="349">
        <v>200</v>
      </c>
      <c r="L516" s="349">
        <v>1500</v>
      </c>
      <c r="M516" s="349"/>
      <c r="N516" s="360"/>
    </row>
    <row r="517" spans="1:16" s="373" customFormat="1" ht="18" customHeight="1">
      <c r="A517" s="306">
        <v>510</v>
      </c>
      <c r="B517" s="370"/>
      <c r="C517" s="371"/>
      <c r="D517" s="163" t="s">
        <v>765</v>
      </c>
      <c r="E517" s="347"/>
      <c r="F517" s="347"/>
      <c r="G517" s="1263"/>
      <c r="H517" s="372"/>
      <c r="I517" s="340">
        <f>SUM(J517:N517)</f>
        <v>5478</v>
      </c>
      <c r="J517" s="362">
        <v>900</v>
      </c>
      <c r="K517" s="362">
        <v>500</v>
      </c>
      <c r="L517" s="362">
        <v>4078</v>
      </c>
      <c r="M517" s="349"/>
      <c r="N517" s="360"/>
    </row>
    <row r="518" spans="1:16" s="373" customFormat="1" ht="18" customHeight="1">
      <c r="A518" s="306">
        <v>511</v>
      </c>
      <c r="B518" s="370"/>
      <c r="C518" s="371"/>
      <c r="D518" s="165" t="s">
        <v>1021</v>
      </c>
      <c r="E518" s="347"/>
      <c r="F518" s="347"/>
      <c r="G518" s="1263"/>
      <c r="H518" s="372"/>
      <c r="I518" s="166">
        <f>SUM(J518:Q518)</f>
        <v>1541</v>
      </c>
      <c r="J518" s="364">
        <v>224</v>
      </c>
      <c r="K518" s="364"/>
      <c r="L518" s="364">
        <v>1317</v>
      </c>
      <c r="M518" s="349"/>
      <c r="N518" s="360"/>
    </row>
    <row r="519" spans="1:16" s="351" customFormat="1" ht="22.5" customHeight="1">
      <c r="A519" s="306">
        <v>512</v>
      </c>
      <c r="B519" s="343"/>
      <c r="C519" s="344">
        <v>87</v>
      </c>
      <c r="D519" s="338" t="s">
        <v>547</v>
      </c>
      <c r="E519" s="1258">
        <v>459</v>
      </c>
      <c r="F519" s="1258">
        <v>2607</v>
      </c>
      <c r="G519" s="1259">
        <v>1288</v>
      </c>
      <c r="H519" s="346" t="s">
        <v>231</v>
      </c>
      <c r="I519" s="347"/>
      <c r="J519" s="348"/>
      <c r="K519" s="348"/>
      <c r="L519" s="348"/>
      <c r="M519" s="348"/>
      <c r="N519" s="350"/>
    </row>
    <row r="520" spans="1:16" s="373" customFormat="1" ht="18" customHeight="1">
      <c r="A520" s="306">
        <v>513</v>
      </c>
      <c r="B520" s="370"/>
      <c r="C520" s="371"/>
      <c r="D520" s="345" t="s">
        <v>198</v>
      </c>
      <c r="E520" s="347"/>
      <c r="F520" s="347"/>
      <c r="G520" s="1263"/>
      <c r="H520" s="372"/>
      <c r="I520" s="347">
        <f>SUM(J520:N520)</f>
        <v>2319</v>
      </c>
      <c r="J520" s="349"/>
      <c r="K520" s="349"/>
      <c r="L520" s="349">
        <f>1000+1319</f>
        <v>2319</v>
      </c>
      <c r="M520" s="349"/>
      <c r="N520" s="360"/>
    </row>
    <row r="521" spans="1:16" s="373" customFormat="1" ht="18" customHeight="1">
      <c r="A521" s="306">
        <v>514</v>
      </c>
      <c r="B521" s="370"/>
      <c r="C521" s="371"/>
      <c r="D521" s="163" t="s">
        <v>765</v>
      </c>
      <c r="E521" s="347"/>
      <c r="F521" s="347"/>
      <c r="G521" s="1263"/>
      <c r="H521" s="372"/>
      <c r="I521" s="340">
        <f>SUM(J521:N521)</f>
        <v>6108</v>
      </c>
      <c r="J521" s="362"/>
      <c r="K521" s="362"/>
      <c r="L521" s="362">
        <v>6108</v>
      </c>
      <c r="M521" s="349"/>
      <c r="N521" s="360"/>
    </row>
    <row r="522" spans="1:16" s="373" customFormat="1" ht="18" customHeight="1">
      <c r="A522" s="306">
        <v>515</v>
      </c>
      <c r="B522" s="370"/>
      <c r="C522" s="371"/>
      <c r="D522" s="165" t="s">
        <v>1021</v>
      </c>
      <c r="E522" s="347"/>
      <c r="F522" s="347"/>
      <c r="G522" s="1263"/>
      <c r="H522" s="372"/>
      <c r="I522" s="166">
        <f>SUM(J522:Q522)</f>
        <v>2514</v>
      </c>
      <c r="J522" s="349"/>
      <c r="K522" s="349"/>
      <c r="L522" s="364">
        <v>2514</v>
      </c>
      <c r="M522" s="349"/>
      <c r="N522" s="360"/>
    </row>
    <row r="523" spans="1:16" s="307" customFormat="1" ht="22.5" customHeight="1">
      <c r="A523" s="306">
        <v>516</v>
      </c>
      <c r="B523" s="357"/>
      <c r="C523" s="344">
        <v>88</v>
      </c>
      <c r="D523" s="358" t="s">
        <v>548</v>
      </c>
      <c r="E523" s="1258">
        <v>114140</v>
      </c>
      <c r="F523" s="1258">
        <v>192554</v>
      </c>
      <c r="G523" s="1259">
        <v>167016</v>
      </c>
      <c r="H523" s="346" t="s">
        <v>80</v>
      </c>
      <c r="I523" s="347"/>
      <c r="J523" s="348"/>
      <c r="K523" s="348"/>
      <c r="L523" s="348"/>
      <c r="M523" s="348"/>
      <c r="N523" s="350"/>
      <c r="P523" s="351"/>
    </row>
    <row r="524" spans="1:16" s="373" customFormat="1" ht="18" customHeight="1">
      <c r="A524" s="306">
        <v>517</v>
      </c>
      <c r="B524" s="370"/>
      <c r="C524" s="371"/>
      <c r="D524" s="345" t="s">
        <v>198</v>
      </c>
      <c r="E524" s="347"/>
      <c r="F524" s="347"/>
      <c r="G524" s="1263"/>
      <c r="H524" s="372"/>
      <c r="I524" s="347">
        <f>SUM(J524:N524)</f>
        <v>191158</v>
      </c>
      <c r="J524" s="349"/>
      <c r="K524" s="349"/>
      <c r="L524" s="349">
        <f>144000+47158</f>
        <v>191158</v>
      </c>
      <c r="M524" s="349"/>
      <c r="N524" s="360"/>
    </row>
    <row r="525" spans="1:16" s="373" customFormat="1" ht="18" customHeight="1">
      <c r="A525" s="306">
        <v>518</v>
      </c>
      <c r="B525" s="370"/>
      <c r="C525" s="371"/>
      <c r="D525" s="163" t="s">
        <v>765</v>
      </c>
      <c r="E525" s="347"/>
      <c r="F525" s="347"/>
      <c r="G525" s="1263"/>
      <c r="H525" s="372"/>
      <c r="I525" s="340">
        <f>SUM(J525:N525)</f>
        <v>190898</v>
      </c>
      <c r="J525" s="362"/>
      <c r="K525" s="362"/>
      <c r="L525" s="362">
        <v>190898</v>
      </c>
      <c r="M525" s="349"/>
      <c r="N525" s="360"/>
    </row>
    <row r="526" spans="1:16" s="373" customFormat="1" ht="18" customHeight="1">
      <c r="A526" s="306">
        <v>519</v>
      </c>
      <c r="B526" s="370"/>
      <c r="C526" s="371"/>
      <c r="D526" s="165" t="s">
        <v>1021</v>
      </c>
      <c r="E526" s="347"/>
      <c r="F526" s="347"/>
      <c r="G526" s="1263"/>
      <c r="H526" s="372"/>
      <c r="I526" s="166">
        <f>SUM(J526:Q526)</f>
        <v>160827</v>
      </c>
      <c r="J526" s="349"/>
      <c r="K526" s="349"/>
      <c r="L526" s="364">
        <v>160827</v>
      </c>
      <c r="M526" s="349"/>
      <c r="N526" s="360"/>
    </row>
    <row r="527" spans="1:16" s="307" customFormat="1" ht="22.5" customHeight="1">
      <c r="A527" s="306">
        <v>520</v>
      </c>
      <c r="B527" s="357"/>
      <c r="C527" s="344">
        <v>89</v>
      </c>
      <c r="D527" s="358" t="s">
        <v>549</v>
      </c>
      <c r="E527" s="1274">
        <v>97736</v>
      </c>
      <c r="F527" s="1274">
        <v>298187</v>
      </c>
      <c r="G527" s="1275">
        <v>162972</v>
      </c>
      <c r="H527" s="346" t="s">
        <v>80</v>
      </c>
      <c r="I527" s="347"/>
      <c r="J527" s="348"/>
      <c r="K527" s="348"/>
      <c r="L527" s="348"/>
      <c r="M527" s="348"/>
      <c r="N527" s="350"/>
      <c r="P527" s="351"/>
    </row>
    <row r="528" spans="1:16" s="373" customFormat="1" ht="18" customHeight="1">
      <c r="A528" s="306">
        <v>521</v>
      </c>
      <c r="B528" s="370"/>
      <c r="C528" s="371"/>
      <c r="D528" s="345" t="s">
        <v>198</v>
      </c>
      <c r="E528" s="347"/>
      <c r="F528" s="347"/>
      <c r="G528" s="1263"/>
      <c r="H528" s="372"/>
      <c r="I528" s="347">
        <f>SUM(J528:N528)</f>
        <v>241302</v>
      </c>
      <c r="J528" s="349"/>
      <c r="K528" s="349"/>
      <c r="L528" s="349">
        <v>241302</v>
      </c>
      <c r="M528" s="349"/>
      <c r="N528" s="360"/>
    </row>
    <row r="529" spans="1:16" s="373" customFormat="1" ht="18" customHeight="1">
      <c r="A529" s="306">
        <v>522</v>
      </c>
      <c r="B529" s="370"/>
      <c r="C529" s="371"/>
      <c r="D529" s="163" t="s">
        <v>765</v>
      </c>
      <c r="E529" s="347"/>
      <c r="F529" s="347"/>
      <c r="G529" s="1263"/>
      <c r="H529" s="372"/>
      <c r="I529" s="340">
        <f>SUM(J529:N529)</f>
        <v>252662</v>
      </c>
      <c r="J529" s="362"/>
      <c r="K529" s="362"/>
      <c r="L529" s="362">
        <v>252662</v>
      </c>
      <c r="M529" s="349"/>
      <c r="N529" s="360"/>
    </row>
    <row r="530" spans="1:16" s="373" customFormat="1" ht="18" customHeight="1">
      <c r="A530" s="306">
        <v>523</v>
      </c>
      <c r="B530" s="370"/>
      <c r="C530" s="371"/>
      <c r="D530" s="165" t="s">
        <v>1021</v>
      </c>
      <c r="E530" s="347"/>
      <c r="F530" s="347"/>
      <c r="G530" s="1263"/>
      <c r="H530" s="372"/>
      <c r="I530" s="166">
        <f>SUM(J530:Q530)</f>
        <v>149685</v>
      </c>
      <c r="J530" s="349"/>
      <c r="K530" s="349"/>
      <c r="L530" s="364">
        <v>149685</v>
      </c>
      <c r="M530" s="349"/>
      <c r="N530" s="360"/>
    </row>
    <row r="531" spans="1:16" s="307" customFormat="1" ht="22.5" customHeight="1">
      <c r="A531" s="306">
        <v>524</v>
      </c>
      <c r="B531" s="357"/>
      <c r="C531" s="344">
        <v>90</v>
      </c>
      <c r="D531" s="358" t="s">
        <v>1233</v>
      </c>
      <c r="E531" s="1258">
        <v>4017</v>
      </c>
      <c r="F531" s="1258">
        <v>12630</v>
      </c>
      <c r="G531" s="1259">
        <v>20030</v>
      </c>
      <c r="H531" s="346" t="s">
        <v>80</v>
      </c>
      <c r="I531" s="347"/>
      <c r="J531" s="348"/>
      <c r="K531" s="348"/>
      <c r="L531" s="348"/>
      <c r="M531" s="348"/>
      <c r="N531" s="350"/>
      <c r="P531" s="351"/>
    </row>
    <row r="532" spans="1:16" s="373" customFormat="1" ht="18" customHeight="1">
      <c r="A532" s="306">
        <v>525</v>
      </c>
      <c r="B532" s="370"/>
      <c r="C532" s="371"/>
      <c r="D532" s="345" t="s">
        <v>198</v>
      </c>
      <c r="E532" s="347"/>
      <c r="F532" s="347"/>
      <c r="G532" s="1263"/>
      <c r="H532" s="372"/>
      <c r="I532" s="347">
        <f>SUM(J532:N532)</f>
        <v>13970</v>
      </c>
      <c r="J532" s="349"/>
      <c r="K532" s="349"/>
      <c r="L532" s="349">
        <v>13970</v>
      </c>
      <c r="M532" s="349"/>
      <c r="N532" s="360"/>
    </row>
    <row r="533" spans="1:16" s="373" customFormat="1" ht="18" customHeight="1">
      <c r="A533" s="306">
        <v>526</v>
      </c>
      <c r="B533" s="370"/>
      <c r="C533" s="371"/>
      <c r="D533" s="163" t="s">
        <v>765</v>
      </c>
      <c r="E533" s="347"/>
      <c r="F533" s="347"/>
      <c r="G533" s="1263"/>
      <c r="H533" s="372"/>
      <c r="I533" s="340">
        <f>SUM(J533:N533)</f>
        <v>13970</v>
      </c>
      <c r="J533" s="362"/>
      <c r="K533" s="362"/>
      <c r="L533" s="362">
        <v>13970</v>
      </c>
      <c r="M533" s="349"/>
      <c r="N533" s="360"/>
    </row>
    <row r="534" spans="1:16" s="373" customFormat="1" ht="18" customHeight="1">
      <c r="A534" s="306">
        <v>527</v>
      </c>
      <c r="B534" s="370"/>
      <c r="C534" s="371"/>
      <c r="D534" s="165" t="s">
        <v>1022</v>
      </c>
      <c r="E534" s="347"/>
      <c r="F534" s="347"/>
      <c r="G534" s="1263"/>
      <c r="H534" s="372"/>
      <c r="I534" s="166">
        <f>SUM(J534:Q534)</f>
        <v>10593</v>
      </c>
      <c r="J534" s="349"/>
      <c r="K534" s="349"/>
      <c r="L534" s="364">
        <v>10593</v>
      </c>
      <c r="M534" s="349"/>
      <c r="N534" s="360"/>
    </row>
    <row r="535" spans="1:16" s="307" customFormat="1" ht="22.5" customHeight="1">
      <c r="A535" s="306">
        <v>528</v>
      </c>
      <c r="B535" s="357"/>
      <c r="C535" s="344">
        <v>91</v>
      </c>
      <c r="D535" s="358" t="s">
        <v>550</v>
      </c>
      <c r="E535" s="1258">
        <v>1488721</v>
      </c>
      <c r="F535" s="1258">
        <v>1645456</v>
      </c>
      <c r="G535" s="1259">
        <f>1557456-12000</f>
        <v>1545456</v>
      </c>
      <c r="H535" s="346" t="s">
        <v>80</v>
      </c>
      <c r="I535" s="347"/>
      <c r="J535" s="348"/>
      <c r="K535" s="348"/>
      <c r="L535" s="348"/>
      <c r="M535" s="348"/>
      <c r="N535" s="350"/>
    </row>
    <row r="536" spans="1:16" s="307" customFormat="1" ht="19.5" customHeight="1">
      <c r="A536" s="306">
        <v>529</v>
      </c>
      <c r="B536" s="357"/>
      <c r="C536" s="344"/>
      <c r="D536" s="422" t="s">
        <v>551</v>
      </c>
      <c r="E536" s="1258"/>
      <c r="F536" s="1258"/>
      <c r="G536" s="1259"/>
      <c r="H536" s="346"/>
      <c r="I536" s="347"/>
      <c r="J536" s="348"/>
      <c r="K536" s="348"/>
      <c r="L536" s="348"/>
      <c r="M536" s="348"/>
      <c r="N536" s="350"/>
    </row>
    <row r="537" spans="1:16" s="373" customFormat="1" ht="18" customHeight="1">
      <c r="A537" s="306">
        <v>530</v>
      </c>
      <c r="B537" s="370"/>
      <c r="C537" s="371"/>
      <c r="D537" s="423" t="s">
        <v>198</v>
      </c>
      <c r="E537" s="347"/>
      <c r="F537" s="347"/>
      <c r="G537" s="1263"/>
      <c r="H537" s="372"/>
      <c r="I537" s="347">
        <f>SUM(J537:N537)</f>
        <v>1776573</v>
      </c>
      <c r="J537" s="349"/>
      <c r="K537" s="349"/>
      <c r="L537" s="349"/>
      <c r="M537" s="349"/>
      <c r="N537" s="360">
        <v>1776573</v>
      </c>
    </row>
    <row r="538" spans="1:16" s="373" customFormat="1" ht="18" customHeight="1">
      <c r="A538" s="306">
        <v>531</v>
      </c>
      <c r="B538" s="370"/>
      <c r="C538" s="371"/>
      <c r="D538" s="424" t="s">
        <v>765</v>
      </c>
      <c r="E538" s="347"/>
      <c r="F538" s="347"/>
      <c r="G538" s="1263"/>
      <c r="H538" s="372"/>
      <c r="I538" s="340">
        <f>SUM(J538:N538)</f>
        <v>1776573</v>
      </c>
      <c r="J538" s="362"/>
      <c r="K538" s="362"/>
      <c r="L538" s="362"/>
      <c r="M538" s="362"/>
      <c r="N538" s="363">
        <v>1776573</v>
      </c>
    </row>
    <row r="539" spans="1:16" s="373" customFormat="1" ht="18" customHeight="1">
      <c r="A539" s="306">
        <v>532</v>
      </c>
      <c r="B539" s="370"/>
      <c r="C539" s="371"/>
      <c r="D539" s="425" t="s">
        <v>1022</v>
      </c>
      <c r="E539" s="347"/>
      <c r="F539" s="347"/>
      <c r="G539" s="1263"/>
      <c r="H539" s="372"/>
      <c r="I539" s="166">
        <f>SUM(J539:Q539)</f>
        <v>1776573</v>
      </c>
      <c r="J539" s="349"/>
      <c r="K539" s="349"/>
      <c r="L539" s="349"/>
      <c r="M539" s="349"/>
      <c r="N539" s="366">
        <v>1776573</v>
      </c>
    </row>
    <row r="540" spans="1:16" s="373" customFormat="1" ht="19.5" customHeight="1">
      <c r="A540" s="306">
        <v>533</v>
      </c>
      <c r="B540" s="370"/>
      <c r="C540" s="371"/>
      <c r="D540" s="422" t="s">
        <v>552</v>
      </c>
      <c r="E540" s="347"/>
      <c r="F540" s="347"/>
      <c r="G540" s="1259">
        <v>12000</v>
      </c>
      <c r="H540" s="372"/>
      <c r="I540" s="347"/>
      <c r="J540" s="349"/>
      <c r="K540" s="349"/>
      <c r="L540" s="349"/>
      <c r="M540" s="349"/>
      <c r="N540" s="360"/>
    </row>
    <row r="541" spans="1:16" s="373" customFormat="1" ht="18" customHeight="1">
      <c r="A541" s="306">
        <v>534</v>
      </c>
      <c r="B541" s="370"/>
      <c r="C541" s="371"/>
      <c r="D541" s="423" t="s">
        <v>198</v>
      </c>
      <c r="E541" s="347"/>
      <c r="F541" s="347"/>
      <c r="G541" s="1263"/>
      <c r="H541" s="372"/>
      <c r="I541" s="347">
        <f>SUM(J541:N541)</f>
        <v>22980</v>
      </c>
      <c r="J541" s="349"/>
      <c r="K541" s="349"/>
      <c r="L541" s="349"/>
      <c r="M541" s="349"/>
      <c r="N541" s="360">
        <v>22980</v>
      </c>
    </row>
    <row r="542" spans="1:16" s="373" customFormat="1" ht="18" customHeight="1">
      <c r="A542" s="306">
        <v>535</v>
      </c>
      <c r="B542" s="370"/>
      <c r="C542" s="371"/>
      <c r="D542" s="424" t="s">
        <v>765</v>
      </c>
      <c r="E542" s="347"/>
      <c r="F542" s="347"/>
      <c r="G542" s="1263"/>
      <c r="H542" s="372"/>
      <c r="I542" s="340">
        <f>SUM(J542:N542)</f>
        <v>22980</v>
      </c>
      <c r="J542" s="362"/>
      <c r="K542" s="362"/>
      <c r="L542" s="362"/>
      <c r="M542" s="362"/>
      <c r="N542" s="363">
        <v>22980</v>
      </c>
    </row>
    <row r="543" spans="1:16" s="373" customFormat="1" ht="18" customHeight="1">
      <c r="A543" s="306">
        <v>536</v>
      </c>
      <c r="B543" s="370"/>
      <c r="C543" s="371"/>
      <c r="D543" s="425" t="s">
        <v>1022</v>
      </c>
      <c r="E543" s="347"/>
      <c r="F543" s="347"/>
      <c r="G543" s="1263"/>
      <c r="H543" s="372"/>
      <c r="I543" s="166">
        <f>SUM(J543:Q543)</f>
        <v>22980</v>
      </c>
      <c r="J543" s="349"/>
      <c r="K543" s="349"/>
      <c r="L543" s="349"/>
      <c r="M543" s="349"/>
      <c r="N543" s="366">
        <v>22980</v>
      </c>
    </row>
    <row r="544" spans="1:16" s="373" customFormat="1" ht="32.25" customHeight="1">
      <c r="A544" s="306">
        <v>537</v>
      </c>
      <c r="B544" s="370"/>
      <c r="C544" s="420">
        <v>92</v>
      </c>
      <c r="D544" s="358" t="s">
        <v>553</v>
      </c>
      <c r="E544" s="1258">
        <v>20988</v>
      </c>
      <c r="F544" s="1258">
        <v>23000</v>
      </c>
      <c r="G544" s="1259">
        <v>22857</v>
      </c>
      <c r="H544" s="346" t="s">
        <v>80</v>
      </c>
      <c r="I544" s="347"/>
      <c r="J544" s="349"/>
      <c r="K544" s="349"/>
      <c r="L544" s="349"/>
      <c r="M544" s="349"/>
      <c r="N544" s="360"/>
    </row>
    <row r="545" spans="1:16" s="373" customFormat="1" ht="18" customHeight="1">
      <c r="A545" s="306">
        <v>538</v>
      </c>
      <c r="B545" s="370"/>
      <c r="C545" s="371"/>
      <c r="D545" s="345" t="s">
        <v>198</v>
      </c>
      <c r="E545" s="347"/>
      <c r="F545" s="347"/>
      <c r="G545" s="1263"/>
      <c r="H545" s="346"/>
      <c r="I545" s="347">
        <f>SUM(J545:N545)</f>
        <v>26000</v>
      </c>
      <c r="J545" s="349"/>
      <c r="K545" s="349"/>
      <c r="L545" s="349"/>
      <c r="M545" s="349"/>
      <c r="N545" s="360">
        <v>26000</v>
      </c>
    </row>
    <row r="546" spans="1:16" s="373" customFormat="1" ht="18" customHeight="1">
      <c r="A546" s="306">
        <v>539</v>
      </c>
      <c r="B546" s="370"/>
      <c r="C546" s="371"/>
      <c r="D546" s="163" t="s">
        <v>765</v>
      </c>
      <c r="E546" s="347"/>
      <c r="F546" s="347"/>
      <c r="G546" s="1263"/>
      <c r="H546" s="346"/>
      <c r="I546" s="340">
        <f>SUM(J546:N546)</f>
        <v>26000</v>
      </c>
      <c r="J546" s="362"/>
      <c r="K546" s="362"/>
      <c r="L546" s="362"/>
      <c r="M546" s="362"/>
      <c r="N546" s="363">
        <v>26000</v>
      </c>
    </row>
    <row r="547" spans="1:16" s="373" customFormat="1" ht="18" customHeight="1">
      <c r="A547" s="306">
        <v>540</v>
      </c>
      <c r="B547" s="370"/>
      <c r="C547" s="371"/>
      <c r="D547" s="165" t="s">
        <v>1022</v>
      </c>
      <c r="E547" s="347"/>
      <c r="F547" s="347"/>
      <c r="G547" s="1263"/>
      <c r="H547" s="346"/>
      <c r="I547" s="166">
        <f>SUM(J547:Q547)</f>
        <v>25967</v>
      </c>
      <c r="J547" s="349"/>
      <c r="K547" s="349"/>
      <c r="L547" s="349"/>
      <c r="M547" s="349"/>
      <c r="N547" s="366">
        <v>25967</v>
      </c>
    </row>
    <row r="548" spans="1:16" s="307" customFormat="1" ht="22.5" customHeight="1">
      <c r="A548" s="306">
        <v>541</v>
      </c>
      <c r="B548" s="357"/>
      <c r="C548" s="344">
        <v>93</v>
      </c>
      <c r="D548" s="358" t="s">
        <v>554</v>
      </c>
      <c r="E548" s="1258">
        <v>44816</v>
      </c>
      <c r="F548" s="1258">
        <v>73957</v>
      </c>
      <c r="G548" s="1259">
        <v>60202</v>
      </c>
      <c r="H548" s="346" t="s">
        <v>231</v>
      </c>
      <c r="I548" s="347"/>
      <c r="J548" s="348"/>
      <c r="K548" s="348"/>
      <c r="L548" s="348"/>
      <c r="M548" s="348"/>
      <c r="N548" s="350"/>
    </row>
    <row r="549" spans="1:16" s="373" customFormat="1" ht="18" customHeight="1">
      <c r="A549" s="306">
        <v>542</v>
      </c>
      <c r="B549" s="370"/>
      <c r="C549" s="371"/>
      <c r="D549" s="345" t="s">
        <v>198</v>
      </c>
      <c r="E549" s="347"/>
      <c r="F549" s="347"/>
      <c r="G549" s="1263"/>
      <c r="H549" s="372"/>
      <c r="I549" s="347">
        <f>SUM(J549:N549)</f>
        <v>86894</v>
      </c>
      <c r="J549" s="349"/>
      <c r="K549" s="349"/>
      <c r="L549" s="349">
        <v>86894</v>
      </c>
      <c r="M549" s="349"/>
      <c r="N549" s="360"/>
    </row>
    <row r="550" spans="1:16" s="373" customFormat="1" ht="18" customHeight="1">
      <c r="A550" s="306">
        <v>543</v>
      </c>
      <c r="B550" s="370"/>
      <c r="C550" s="371"/>
      <c r="D550" s="163" t="s">
        <v>765</v>
      </c>
      <c r="E550" s="347"/>
      <c r="F550" s="347"/>
      <c r="G550" s="1263"/>
      <c r="H550" s="372"/>
      <c r="I550" s="340">
        <f>SUM(J550:N550)</f>
        <v>94036</v>
      </c>
      <c r="J550" s="362"/>
      <c r="K550" s="362"/>
      <c r="L550" s="362">
        <v>94036</v>
      </c>
      <c r="M550" s="349"/>
      <c r="N550" s="360"/>
    </row>
    <row r="551" spans="1:16" s="373" customFormat="1" ht="18" customHeight="1">
      <c r="A551" s="306">
        <v>544</v>
      </c>
      <c r="B551" s="370"/>
      <c r="C551" s="371"/>
      <c r="D551" s="165" t="s">
        <v>1021</v>
      </c>
      <c r="E551" s="347"/>
      <c r="F551" s="347"/>
      <c r="G551" s="1263"/>
      <c r="H551" s="372"/>
      <c r="I551" s="166">
        <f>SUM(J551:Q551)</f>
        <v>50465</v>
      </c>
      <c r="J551" s="349"/>
      <c r="K551" s="349"/>
      <c r="L551" s="364">
        <v>50465</v>
      </c>
      <c r="M551" s="349"/>
      <c r="N551" s="360"/>
    </row>
    <row r="552" spans="1:16" s="307" customFormat="1" ht="22.5" customHeight="1">
      <c r="A552" s="306">
        <v>545</v>
      </c>
      <c r="B552" s="357"/>
      <c r="C552" s="344"/>
      <c r="D552" s="426" t="s">
        <v>555</v>
      </c>
      <c r="E552" s="1258"/>
      <c r="F552" s="1258"/>
      <c r="G552" s="1259"/>
      <c r="H552" s="346"/>
      <c r="I552" s="367"/>
      <c r="J552" s="368"/>
      <c r="K552" s="368"/>
      <c r="L552" s="368"/>
      <c r="M552" s="368"/>
      <c r="N552" s="369"/>
      <c r="O552" s="351"/>
      <c r="P552" s="351"/>
    </row>
    <row r="553" spans="1:16" s="307" customFormat="1" ht="22.5" customHeight="1">
      <c r="A553" s="306">
        <v>546</v>
      </c>
      <c r="B553" s="357"/>
      <c r="C553" s="344">
        <v>94</v>
      </c>
      <c r="D553" s="422" t="s">
        <v>556</v>
      </c>
      <c r="E553" s="1258">
        <v>283378</v>
      </c>
      <c r="F553" s="1258">
        <v>390800</v>
      </c>
      <c r="G553" s="1259">
        <v>448683</v>
      </c>
      <c r="H553" s="346" t="s">
        <v>80</v>
      </c>
      <c r="I553" s="347"/>
      <c r="J553" s="348"/>
      <c r="K553" s="348"/>
      <c r="L553" s="348"/>
      <c r="M553" s="348"/>
      <c r="N553" s="350"/>
      <c r="P553" s="351"/>
    </row>
    <row r="554" spans="1:16" s="373" customFormat="1" ht="18" customHeight="1">
      <c r="A554" s="306">
        <v>547</v>
      </c>
      <c r="B554" s="370"/>
      <c r="C554" s="371"/>
      <c r="D554" s="423" t="s">
        <v>198</v>
      </c>
      <c r="E554" s="347"/>
      <c r="F554" s="347"/>
      <c r="G554" s="1263"/>
      <c r="H554" s="372"/>
      <c r="I554" s="347">
        <f>SUM(J554:N554)</f>
        <v>471000</v>
      </c>
      <c r="J554" s="349"/>
      <c r="K554" s="349"/>
      <c r="L554" s="349">
        <v>6000</v>
      </c>
      <c r="M554" s="349"/>
      <c r="N554" s="360">
        <v>465000</v>
      </c>
    </row>
    <row r="555" spans="1:16" s="373" customFormat="1" ht="18" customHeight="1">
      <c r="A555" s="306">
        <v>548</v>
      </c>
      <c r="B555" s="370"/>
      <c r="C555" s="371"/>
      <c r="D555" s="424" t="s">
        <v>765</v>
      </c>
      <c r="E555" s="347"/>
      <c r="F555" s="347"/>
      <c r="G555" s="1263"/>
      <c r="H555" s="372"/>
      <c r="I555" s="340">
        <f>SUM(J555:N555)</f>
        <v>477340</v>
      </c>
      <c r="J555" s="362"/>
      <c r="K555" s="362"/>
      <c r="L555" s="362">
        <v>12340</v>
      </c>
      <c r="M555" s="362"/>
      <c r="N555" s="363">
        <v>465000</v>
      </c>
    </row>
    <row r="556" spans="1:16" s="373" customFormat="1" ht="18" customHeight="1">
      <c r="A556" s="306">
        <v>549</v>
      </c>
      <c r="B556" s="370"/>
      <c r="C556" s="371"/>
      <c r="D556" s="425" t="s">
        <v>1021</v>
      </c>
      <c r="E556" s="347"/>
      <c r="F556" s="347"/>
      <c r="G556" s="1263"/>
      <c r="H556" s="372"/>
      <c r="I556" s="166">
        <f>SUM(J556:Q556)</f>
        <v>471273</v>
      </c>
      <c r="J556" s="349"/>
      <c r="K556" s="349"/>
      <c r="L556" s="364">
        <v>6273</v>
      </c>
      <c r="M556" s="349"/>
      <c r="N556" s="366">
        <v>465000</v>
      </c>
    </row>
    <row r="557" spans="1:16" s="307" customFormat="1" ht="22.5" customHeight="1">
      <c r="A557" s="306">
        <v>550</v>
      </c>
      <c r="B557" s="357"/>
      <c r="C557" s="344">
        <v>95</v>
      </c>
      <c r="D557" s="422" t="s">
        <v>557</v>
      </c>
      <c r="E557" s="1258">
        <v>57000</v>
      </c>
      <c r="F557" s="1258">
        <v>84700</v>
      </c>
      <c r="G557" s="1259">
        <v>88700</v>
      </c>
      <c r="H557" s="346" t="s">
        <v>80</v>
      </c>
      <c r="I557" s="347"/>
      <c r="J557" s="348"/>
      <c r="K557" s="348"/>
      <c r="L557" s="348"/>
      <c r="M557" s="348"/>
      <c r="N557" s="350"/>
      <c r="P557" s="351"/>
    </row>
    <row r="558" spans="1:16" s="373" customFormat="1" ht="18" customHeight="1">
      <c r="A558" s="306">
        <v>551</v>
      </c>
      <c r="B558" s="370"/>
      <c r="C558" s="371"/>
      <c r="D558" s="423" t="s">
        <v>198</v>
      </c>
      <c r="E558" s="347"/>
      <c r="F558" s="347"/>
      <c r="G558" s="1263"/>
      <c r="H558" s="372"/>
      <c r="I558" s="347">
        <f>SUM(J558:N558)</f>
        <v>89000</v>
      </c>
      <c r="J558" s="349"/>
      <c r="K558" s="349"/>
      <c r="L558" s="349"/>
      <c r="M558" s="349"/>
      <c r="N558" s="360">
        <v>89000</v>
      </c>
    </row>
    <row r="559" spans="1:16" s="373" customFormat="1" ht="18" customHeight="1">
      <c r="A559" s="306">
        <v>552</v>
      </c>
      <c r="B559" s="370"/>
      <c r="C559" s="371"/>
      <c r="D559" s="424" t="s">
        <v>765</v>
      </c>
      <c r="E559" s="347"/>
      <c r="F559" s="347"/>
      <c r="G559" s="1263"/>
      <c r="H559" s="372"/>
      <c r="I559" s="340">
        <f>SUM(J559:N559)</f>
        <v>89000</v>
      </c>
      <c r="J559" s="362"/>
      <c r="K559" s="362"/>
      <c r="L559" s="362"/>
      <c r="M559" s="362"/>
      <c r="N559" s="363">
        <v>89000</v>
      </c>
    </row>
    <row r="560" spans="1:16" s="373" customFormat="1" ht="18" customHeight="1">
      <c r="A560" s="306">
        <v>553</v>
      </c>
      <c r="B560" s="370"/>
      <c r="C560" s="371"/>
      <c r="D560" s="425" t="s">
        <v>1022</v>
      </c>
      <c r="E560" s="347"/>
      <c r="F560" s="347"/>
      <c r="G560" s="1263"/>
      <c r="H560" s="372"/>
      <c r="I560" s="166">
        <f>SUM(J560:Q560)</f>
        <v>89000</v>
      </c>
      <c r="J560" s="349"/>
      <c r="K560" s="349"/>
      <c r="L560" s="349"/>
      <c r="M560" s="349"/>
      <c r="N560" s="366">
        <v>89000</v>
      </c>
    </row>
    <row r="561" spans="1:16" s="307" customFormat="1" ht="22.5" customHeight="1">
      <c r="A561" s="306">
        <v>554</v>
      </c>
      <c r="B561" s="357"/>
      <c r="C561" s="344">
        <v>96</v>
      </c>
      <c r="D561" s="422" t="s">
        <v>558</v>
      </c>
      <c r="E561" s="1258">
        <v>270000</v>
      </c>
      <c r="F561" s="1258">
        <v>383700</v>
      </c>
      <c r="G561" s="1259">
        <v>383700</v>
      </c>
      <c r="H561" s="346" t="s">
        <v>80</v>
      </c>
      <c r="I561" s="347"/>
      <c r="J561" s="348"/>
      <c r="K561" s="348"/>
      <c r="L561" s="348"/>
      <c r="M561" s="348"/>
      <c r="N561" s="350"/>
      <c r="P561" s="351"/>
    </row>
    <row r="562" spans="1:16" s="373" customFormat="1" ht="18" customHeight="1">
      <c r="A562" s="306">
        <v>555</v>
      </c>
      <c r="B562" s="370"/>
      <c r="C562" s="371"/>
      <c r="D562" s="423" t="s">
        <v>198</v>
      </c>
      <c r="E562" s="347"/>
      <c r="F562" s="347"/>
      <c r="G562" s="1263"/>
      <c r="H562" s="372"/>
      <c r="I562" s="347">
        <f>SUM(J562:N562)</f>
        <v>399000</v>
      </c>
      <c r="J562" s="349"/>
      <c r="K562" s="349"/>
      <c r="L562" s="349"/>
      <c r="M562" s="349"/>
      <c r="N562" s="360">
        <v>399000</v>
      </c>
    </row>
    <row r="563" spans="1:16" s="373" customFormat="1" ht="18" customHeight="1">
      <c r="A563" s="306">
        <v>556</v>
      </c>
      <c r="B563" s="370"/>
      <c r="C563" s="371"/>
      <c r="D563" s="424" t="s">
        <v>765</v>
      </c>
      <c r="E563" s="347"/>
      <c r="F563" s="347"/>
      <c r="G563" s="1263"/>
      <c r="H563" s="372"/>
      <c r="I563" s="340">
        <f>SUM(J563:N563)</f>
        <v>399000</v>
      </c>
      <c r="J563" s="362"/>
      <c r="K563" s="362"/>
      <c r="L563" s="362"/>
      <c r="M563" s="362"/>
      <c r="N563" s="363">
        <v>399000</v>
      </c>
    </row>
    <row r="564" spans="1:16" s="373" customFormat="1" ht="18" customHeight="1">
      <c r="A564" s="306">
        <v>557</v>
      </c>
      <c r="B564" s="370"/>
      <c r="C564" s="371"/>
      <c r="D564" s="425" t="s">
        <v>1022</v>
      </c>
      <c r="E564" s="347"/>
      <c r="F564" s="347"/>
      <c r="G564" s="1263"/>
      <c r="H564" s="372"/>
      <c r="I564" s="166">
        <f>SUM(J564:Q564)</f>
        <v>399000</v>
      </c>
      <c r="J564" s="349"/>
      <c r="K564" s="349"/>
      <c r="L564" s="349"/>
      <c r="M564" s="349"/>
      <c r="N564" s="366">
        <v>399000</v>
      </c>
    </row>
    <row r="565" spans="1:16" s="307" customFormat="1" ht="22.5" customHeight="1">
      <c r="A565" s="306">
        <v>558</v>
      </c>
      <c r="B565" s="357"/>
      <c r="C565" s="344">
        <v>97</v>
      </c>
      <c r="D565" s="422" t="s">
        <v>559</v>
      </c>
      <c r="E565" s="1258">
        <v>45000</v>
      </c>
      <c r="F565" s="1258">
        <v>71700</v>
      </c>
      <c r="G565" s="1259">
        <v>71700</v>
      </c>
      <c r="H565" s="346" t="s">
        <v>80</v>
      </c>
      <c r="I565" s="347"/>
      <c r="J565" s="348"/>
      <c r="K565" s="348"/>
      <c r="L565" s="348"/>
      <c r="M565" s="348"/>
      <c r="N565" s="350"/>
      <c r="P565" s="351"/>
    </row>
    <row r="566" spans="1:16" s="373" customFormat="1" ht="18" customHeight="1">
      <c r="A566" s="306">
        <v>559</v>
      </c>
      <c r="B566" s="370"/>
      <c r="C566" s="371"/>
      <c r="D566" s="423" t="s">
        <v>198</v>
      </c>
      <c r="E566" s="347"/>
      <c r="F566" s="347"/>
      <c r="G566" s="1263"/>
      <c r="H566" s="372"/>
      <c r="I566" s="347">
        <f>SUM(J566:N566)</f>
        <v>72000</v>
      </c>
      <c r="J566" s="349"/>
      <c r="K566" s="349"/>
      <c r="L566" s="349"/>
      <c r="M566" s="349"/>
      <c r="N566" s="360">
        <v>72000</v>
      </c>
    </row>
    <row r="567" spans="1:16" s="373" customFormat="1" ht="18" customHeight="1">
      <c r="A567" s="306">
        <v>560</v>
      </c>
      <c r="B567" s="370"/>
      <c r="C567" s="371"/>
      <c r="D567" s="424" t="s">
        <v>765</v>
      </c>
      <c r="E567" s="347"/>
      <c r="F567" s="347"/>
      <c r="G567" s="1263"/>
      <c r="H567" s="372"/>
      <c r="I567" s="340">
        <f>SUM(J567:N567)</f>
        <v>72000</v>
      </c>
      <c r="J567" s="362"/>
      <c r="K567" s="362"/>
      <c r="L567" s="362"/>
      <c r="M567" s="362"/>
      <c r="N567" s="363">
        <v>72000</v>
      </c>
    </row>
    <row r="568" spans="1:16" s="373" customFormat="1" ht="18" customHeight="1">
      <c r="A568" s="306">
        <v>561</v>
      </c>
      <c r="B568" s="370"/>
      <c r="C568" s="371"/>
      <c r="D568" s="425" t="s">
        <v>1022</v>
      </c>
      <c r="E568" s="347"/>
      <c r="F568" s="347"/>
      <c r="G568" s="1263"/>
      <c r="H568" s="372"/>
      <c r="I568" s="166">
        <f>SUM(J568:Q568)</f>
        <v>72000</v>
      </c>
      <c r="J568" s="349"/>
      <c r="K568" s="349"/>
      <c r="L568" s="349"/>
      <c r="M568" s="349"/>
      <c r="N568" s="366">
        <v>72000</v>
      </c>
    </row>
    <row r="569" spans="1:16" s="307" customFormat="1" ht="22.5" customHeight="1">
      <c r="A569" s="306">
        <v>562</v>
      </c>
      <c r="B569" s="357"/>
      <c r="C569" s="344">
        <v>162</v>
      </c>
      <c r="D569" s="422" t="s">
        <v>560</v>
      </c>
      <c r="E569" s="1258"/>
      <c r="F569" s="1258"/>
      <c r="G569" s="1259"/>
      <c r="H569" s="346" t="s">
        <v>80</v>
      </c>
      <c r="I569" s="347"/>
      <c r="J569" s="348"/>
      <c r="K569" s="348"/>
      <c r="L569" s="348"/>
      <c r="M569" s="348"/>
      <c r="N569" s="360"/>
      <c r="P569" s="351"/>
    </row>
    <row r="570" spans="1:16" s="307" customFormat="1" ht="18" customHeight="1">
      <c r="A570" s="306">
        <v>563</v>
      </c>
      <c r="B570" s="357"/>
      <c r="C570" s="344"/>
      <c r="D570" s="423" t="s">
        <v>198</v>
      </c>
      <c r="E570" s="1258"/>
      <c r="F570" s="1258"/>
      <c r="G570" s="1259"/>
      <c r="H570" s="346"/>
      <c r="I570" s="347">
        <f>SUM(J570:N570)</f>
        <v>20000</v>
      </c>
      <c r="J570" s="348"/>
      <c r="K570" s="348"/>
      <c r="L570" s="348"/>
      <c r="M570" s="348"/>
      <c r="N570" s="360">
        <v>20000</v>
      </c>
      <c r="P570" s="351"/>
    </row>
    <row r="571" spans="1:16" s="307" customFormat="1" ht="18" customHeight="1">
      <c r="A571" s="306">
        <v>564</v>
      </c>
      <c r="B571" s="357"/>
      <c r="C571" s="344"/>
      <c r="D571" s="424" t="s">
        <v>765</v>
      </c>
      <c r="E571" s="1258"/>
      <c r="F571" s="1258"/>
      <c r="G571" s="1259"/>
      <c r="H571" s="346"/>
      <c r="I571" s="340">
        <f>SUM(J571:N571)</f>
        <v>20000</v>
      </c>
      <c r="J571" s="361"/>
      <c r="K571" s="361"/>
      <c r="L571" s="361"/>
      <c r="M571" s="361"/>
      <c r="N571" s="363">
        <v>20000</v>
      </c>
      <c r="P571" s="351"/>
    </row>
    <row r="572" spans="1:16" s="307" customFormat="1" ht="18" customHeight="1">
      <c r="A572" s="306">
        <v>565</v>
      </c>
      <c r="B572" s="357"/>
      <c r="C572" s="344"/>
      <c r="D572" s="425" t="s">
        <v>1022</v>
      </c>
      <c r="E572" s="1258"/>
      <c r="F572" s="1258"/>
      <c r="G572" s="1259"/>
      <c r="H572" s="346"/>
      <c r="I572" s="166">
        <f>SUM(J572:Q572)</f>
        <v>20000</v>
      </c>
      <c r="J572" s="348"/>
      <c r="K572" s="348"/>
      <c r="L572" s="348"/>
      <c r="M572" s="348"/>
      <c r="N572" s="366">
        <v>20000</v>
      </c>
      <c r="P572" s="351"/>
    </row>
    <row r="573" spans="1:16" s="307" customFormat="1" ht="22.5" customHeight="1">
      <c r="A573" s="306">
        <v>566</v>
      </c>
      <c r="B573" s="357"/>
      <c r="C573" s="344"/>
      <c r="D573" s="426" t="s">
        <v>561</v>
      </c>
      <c r="E573" s="1258"/>
      <c r="F573" s="1258"/>
      <c r="G573" s="1259"/>
      <c r="H573" s="346"/>
      <c r="I573" s="367"/>
      <c r="J573" s="368"/>
      <c r="K573" s="368"/>
      <c r="L573" s="368"/>
      <c r="M573" s="368"/>
      <c r="N573" s="369"/>
      <c r="O573" s="351"/>
      <c r="P573" s="351"/>
    </row>
    <row r="574" spans="1:16" s="307" customFormat="1" ht="22.5" customHeight="1">
      <c r="A574" s="306">
        <v>567</v>
      </c>
      <c r="B574" s="357"/>
      <c r="C574" s="344">
        <v>98</v>
      </c>
      <c r="D574" s="422" t="s">
        <v>562</v>
      </c>
      <c r="E574" s="1258">
        <v>40000</v>
      </c>
      <c r="F574" s="1258">
        <v>60000</v>
      </c>
      <c r="G574" s="1259">
        <v>77429</v>
      </c>
      <c r="H574" s="346" t="s">
        <v>80</v>
      </c>
      <c r="I574" s="347"/>
      <c r="J574" s="348"/>
      <c r="K574" s="348"/>
      <c r="L574" s="348"/>
      <c r="M574" s="348"/>
      <c r="N574" s="350"/>
      <c r="P574" s="351"/>
    </row>
    <row r="575" spans="1:16" s="307" customFormat="1" ht="18" customHeight="1">
      <c r="A575" s="306">
        <v>568</v>
      </c>
      <c r="B575" s="357"/>
      <c r="C575" s="344"/>
      <c r="D575" s="423" t="s">
        <v>198</v>
      </c>
      <c r="E575" s="1258"/>
      <c r="F575" s="1258"/>
      <c r="G575" s="1259"/>
      <c r="H575" s="346"/>
      <c r="I575" s="347">
        <f>SUM(J575:N575)</f>
        <v>75000</v>
      </c>
      <c r="J575" s="348"/>
      <c r="K575" s="348"/>
      <c r="L575" s="348"/>
      <c r="M575" s="348"/>
      <c r="N575" s="360">
        <v>75000</v>
      </c>
      <c r="P575" s="351"/>
    </row>
    <row r="576" spans="1:16" s="307" customFormat="1" ht="18" customHeight="1">
      <c r="A576" s="306">
        <v>569</v>
      </c>
      <c r="B576" s="357"/>
      <c r="C576" s="344"/>
      <c r="D576" s="424" t="s">
        <v>765</v>
      </c>
      <c r="E576" s="1258"/>
      <c r="F576" s="1258"/>
      <c r="G576" s="1259"/>
      <c r="H576" s="346"/>
      <c r="I576" s="340">
        <f>SUM(J576:N576)</f>
        <v>75000</v>
      </c>
      <c r="J576" s="361"/>
      <c r="K576" s="361"/>
      <c r="L576" s="361"/>
      <c r="M576" s="361"/>
      <c r="N576" s="363">
        <v>75000</v>
      </c>
      <c r="P576" s="351"/>
    </row>
    <row r="577" spans="1:16" s="307" customFormat="1" ht="18" customHeight="1">
      <c r="A577" s="306">
        <v>570</v>
      </c>
      <c r="B577" s="357"/>
      <c r="C577" s="344"/>
      <c r="D577" s="425" t="s">
        <v>1022</v>
      </c>
      <c r="E577" s="1258"/>
      <c r="F577" s="1258"/>
      <c r="G577" s="1259"/>
      <c r="H577" s="346"/>
      <c r="I577" s="166">
        <f>SUM(J577:Q577)</f>
        <v>75000</v>
      </c>
      <c r="J577" s="348"/>
      <c r="K577" s="348"/>
      <c r="L577" s="348"/>
      <c r="M577" s="348"/>
      <c r="N577" s="366">
        <v>75000</v>
      </c>
      <c r="P577" s="351"/>
    </row>
    <row r="578" spans="1:16" s="307" customFormat="1" ht="22.5" customHeight="1">
      <c r="A578" s="306">
        <v>571</v>
      </c>
      <c r="B578" s="357"/>
      <c r="C578" s="344">
        <v>99</v>
      </c>
      <c r="D578" s="422" t="s">
        <v>563</v>
      </c>
      <c r="E578" s="1258">
        <v>200436</v>
      </c>
      <c r="F578" s="1258">
        <v>188233</v>
      </c>
      <c r="G578" s="1259">
        <v>238819</v>
      </c>
      <c r="H578" s="346" t="s">
        <v>80</v>
      </c>
      <c r="I578" s="347"/>
      <c r="J578" s="348"/>
      <c r="K578" s="348"/>
      <c r="L578" s="348"/>
      <c r="M578" s="348"/>
      <c r="N578" s="360"/>
      <c r="P578" s="351"/>
    </row>
    <row r="579" spans="1:16" s="307" customFormat="1" ht="18" customHeight="1">
      <c r="A579" s="306">
        <v>572</v>
      </c>
      <c r="B579" s="357"/>
      <c r="C579" s="344"/>
      <c r="D579" s="423" t="s">
        <v>198</v>
      </c>
      <c r="E579" s="1258"/>
      <c r="F579" s="1258"/>
      <c r="G579" s="1259"/>
      <c r="H579" s="346"/>
      <c r="I579" s="347">
        <f>SUM(J579:N579)</f>
        <v>197941</v>
      </c>
      <c r="J579" s="348"/>
      <c r="K579" s="348"/>
      <c r="L579" s="348"/>
      <c r="M579" s="348"/>
      <c r="N579" s="360">
        <v>197941</v>
      </c>
      <c r="P579" s="351"/>
    </row>
    <row r="580" spans="1:16" s="307" customFormat="1" ht="18" customHeight="1">
      <c r="A580" s="306">
        <v>573</v>
      </c>
      <c r="B580" s="357"/>
      <c r="C580" s="344"/>
      <c r="D580" s="424" t="s">
        <v>765</v>
      </c>
      <c r="E580" s="1258"/>
      <c r="F580" s="1258"/>
      <c r="G580" s="1259"/>
      <c r="H580" s="346"/>
      <c r="I580" s="340">
        <f>SUM(J580:N580)</f>
        <v>197941</v>
      </c>
      <c r="J580" s="361"/>
      <c r="K580" s="361"/>
      <c r="L580" s="361"/>
      <c r="M580" s="361"/>
      <c r="N580" s="363">
        <v>197941</v>
      </c>
      <c r="P580" s="351"/>
    </row>
    <row r="581" spans="1:16" s="307" customFormat="1" ht="18" customHeight="1">
      <c r="A581" s="306">
        <v>574</v>
      </c>
      <c r="B581" s="357"/>
      <c r="C581" s="344"/>
      <c r="D581" s="425" t="s">
        <v>1022</v>
      </c>
      <c r="E581" s="1258"/>
      <c r="F581" s="1258"/>
      <c r="G581" s="1259"/>
      <c r="H581" s="346"/>
      <c r="I581" s="166">
        <f>SUM(J581:Q581)</f>
        <v>197941</v>
      </c>
      <c r="J581" s="348"/>
      <c r="K581" s="348"/>
      <c r="L581" s="348"/>
      <c r="M581" s="348"/>
      <c r="N581" s="366">
        <v>197941</v>
      </c>
      <c r="P581" s="351"/>
    </row>
    <row r="582" spans="1:16" s="351" customFormat="1" ht="22.5" customHeight="1">
      <c r="A582" s="306">
        <v>575</v>
      </c>
      <c r="B582" s="343"/>
      <c r="C582" s="344">
        <v>100</v>
      </c>
      <c r="D582" s="358" t="s">
        <v>564</v>
      </c>
      <c r="E582" s="1258">
        <v>123846</v>
      </c>
      <c r="F582" s="1258">
        <v>146170</v>
      </c>
      <c r="G582" s="1259">
        <v>73566</v>
      </c>
      <c r="H582" s="346" t="s">
        <v>80</v>
      </c>
      <c r="I582" s="347"/>
      <c r="J582" s="348"/>
      <c r="K582" s="348"/>
      <c r="L582" s="348"/>
      <c r="M582" s="348"/>
      <c r="N582" s="350"/>
    </row>
    <row r="583" spans="1:16" s="373" customFormat="1" ht="18" customHeight="1">
      <c r="A583" s="306">
        <v>576</v>
      </c>
      <c r="B583" s="370"/>
      <c r="C583" s="371"/>
      <c r="D583" s="345" t="s">
        <v>198</v>
      </c>
      <c r="E583" s="347"/>
      <c r="F583" s="347"/>
      <c r="G583" s="1263"/>
      <c r="H583" s="372"/>
      <c r="I583" s="347">
        <f>SUM(J583:N583)</f>
        <v>62035</v>
      </c>
      <c r="J583" s="349"/>
      <c r="K583" s="349"/>
      <c r="L583" s="349">
        <v>62035</v>
      </c>
      <c r="M583" s="349"/>
      <c r="N583" s="360"/>
    </row>
    <row r="584" spans="1:16" s="373" customFormat="1" ht="18" customHeight="1">
      <c r="A584" s="306">
        <v>577</v>
      </c>
      <c r="B584" s="370"/>
      <c r="C584" s="371"/>
      <c r="D584" s="163" t="s">
        <v>765</v>
      </c>
      <c r="E584" s="347"/>
      <c r="F584" s="347"/>
      <c r="G584" s="1263"/>
      <c r="H584" s="372"/>
      <c r="I584" s="340">
        <f>SUM(J584:N584)</f>
        <v>72160</v>
      </c>
      <c r="J584" s="362"/>
      <c r="K584" s="362"/>
      <c r="L584" s="362">
        <v>72160</v>
      </c>
      <c r="M584" s="349"/>
      <c r="N584" s="360"/>
    </row>
    <row r="585" spans="1:16" s="373" customFormat="1" ht="18" customHeight="1">
      <c r="A585" s="306">
        <v>578</v>
      </c>
      <c r="B585" s="370"/>
      <c r="C585" s="371"/>
      <c r="D585" s="165" t="s">
        <v>1021</v>
      </c>
      <c r="E585" s="347"/>
      <c r="F585" s="347"/>
      <c r="G585" s="1263"/>
      <c r="H585" s="372"/>
      <c r="I585" s="166">
        <f>SUM(J585:Q585)</f>
        <v>44357</v>
      </c>
      <c r="J585" s="349"/>
      <c r="K585" s="349"/>
      <c r="L585" s="364">
        <v>44357</v>
      </c>
      <c r="M585" s="349"/>
      <c r="N585" s="360"/>
    </row>
    <row r="586" spans="1:16" s="307" customFormat="1" ht="22.5" customHeight="1">
      <c r="A586" s="306">
        <v>579</v>
      </c>
      <c r="B586" s="357"/>
      <c r="C586" s="344">
        <v>101</v>
      </c>
      <c r="D586" s="358" t="s">
        <v>565</v>
      </c>
      <c r="E586" s="1258">
        <v>13500</v>
      </c>
      <c r="F586" s="1258">
        <v>12500</v>
      </c>
      <c r="G586" s="1259">
        <v>10000</v>
      </c>
      <c r="H586" s="346" t="s">
        <v>80</v>
      </c>
      <c r="I586" s="347"/>
      <c r="J586" s="348"/>
      <c r="K586" s="348"/>
      <c r="L586" s="348"/>
      <c r="M586" s="348"/>
      <c r="N586" s="350"/>
      <c r="P586" s="351"/>
    </row>
    <row r="587" spans="1:16" s="373" customFormat="1" ht="18" customHeight="1">
      <c r="A587" s="306">
        <v>580</v>
      </c>
      <c r="B587" s="370"/>
      <c r="C587" s="371"/>
      <c r="D587" s="345" t="s">
        <v>198</v>
      </c>
      <c r="E587" s="347"/>
      <c r="F587" s="347"/>
      <c r="G587" s="1263"/>
      <c r="H587" s="372"/>
      <c r="I587" s="347">
        <f>SUM(J587:N587)</f>
        <v>2500</v>
      </c>
      <c r="J587" s="349"/>
      <c r="K587" s="349"/>
      <c r="L587" s="349">
        <v>2500</v>
      </c>
      <c r="M587" s="349"/>
      <c r="N587" s="360"/>
    </row>
    <row r="588" spans="1:16" s="373" customFormat="1" ht="18" customHeight="1">
      <c r="A588" s="306">
        <v>581</v>
      </c>
      <c r="B588" s="370"/>
      <c r="C588" s="371"/>
      <c r="D588" s="163" t="s">
        <v>765</v>
      </c>
      <c r="E588" s="347"/>
      <c r="F588" s="347"/>
      <c r="G588" s="1263"/>
      <c r="H588" s="372"/>
      <c r="I588" s="340">
        <f>SUM(J588:N588)</f>
        <v>2500</v>
      </c>
      <c r="J588" s="362"/>
      <c r="K588" s="362"/>
      <c r="L588" s="362">
        <v>2500</v>
      </c>
      <c r="M588" s="349"/>
      <c r="N588" s="360"/>
    </row>
    <row r="589" spans="1:16" s="373" customFormat="1" ht="18" customHeight="1">
      <c r="A589" s="306">
        <v>582</v>
      </c>
      <c r="B589" s="370"/>
      <c r="C589" s="371"/>
      <c r="D589" s="165" t="s">
        <v>1022</v>
      </c>
      <c r="E589" s="347"/>
      <c r="F589" s="347"/>
      <c r="G589" s="1263"/>
      <c r="H589" s="372"/>
      <c r="I589" s="166">
        <f>SUM(J589:Q589)</f>
        <v>2500</v>
      </c>
      <c r="J589" s="349"/>
      <c r="K589" s="349"/>
      <c r="L589" s="364">
        <v>2500</v>
      </c>
      <c r="M589" s="349"/>
      <c r="N589" s="360"/>
    </row>
    <row r="590" spans="1:16" s="307" customFormat="1" ht="22.5" customHeight="1">
      <c r="A590" s="306">
        <v>583</v>
      </c>
      <c r="B590" s="357"/>
      <c r="C590" s="344">
        <v>102</v>
      </c>
      <c r="D590" s="358" t="s">
        <v>566</v>
      </c>
      <c r="E590" s="1258">
        <v>1200</v>
      </c>
      <c r="F590" s="1258">
        <v>1200</v>
      </c>
      <c r="G590" s="1259">
        <v>1200</v>
      </c>
      <c r="H590" s="346" t="s">
        <v>80</v>
      </c>
      <c r="I590" s="347"/>
      <c r="J590" s="348"/>
      <c r="K590" s="348"/>
      <c r="L590" s="348"/>
      <c r="M590" s="348"/>
      <c r="N590" s="350"/>
      <c r="P590" s="351"/>
    </row>
    <row r="591" spans="1:16" s="373" customFormat="1" ht="18" customHeight="1">
      <c r="A591" s="306">
        <v>584</v>
      </c>
      <c r="B591" s="370"/>
      <c r="C591" s="371"/>
      <c r="D591" s="345" t="s">
        <v>198</v>
      </c>
      <c r="E591" s="347"/>
      <c r="F591" s="347"/>
      <c r="G591" s="1263"/>
      <c r="H591" s="372"/>
      <c r="I591" s="347">
        <f>SUM(J591:N591)</f>
        <v>1200</v>
      </c>
      <c r="J591" s="349"/>
      <c r="K591" s="349"/>
      <c r="L591" s="349">
        <v>1200</v>
      </c>
      <c r="M591" s="349"/>
      <c r="N591" s="360"/>
    </row>
    <row r="592" spans="1:16" s="373" customFormat="1" ht="18" customHeight="1">
      <c r="A592" s="306">
        <v>585</v>
      </c>
      <c r="B592" s="370"/>
      <c r="C592" s="371"/>
      <c r="D592" s="163" t="s">
        <v>765</v>
      </c>
      <c r="E592" s="347"/>
      <c r="F592" s="347"/>
      <c r="G592" s="1263"/>
      <c r="H592" s="372"/>
      <c r="I592" s="340">
        <f>SUM(J592:N592)</f>
        <v>1200</v>
      </c>
      <c r="J592" s="362"/>
      <c r="K592" s="362"/>
      <c r="L592" s="362">
        <v>1200</v>
      </c>
      <c r="M592" s="349"/>
      <c r="N592" s="360"/>
    </row>
    <row r="593" spans="1:16" s="373" customFormat="1" ht="18" customHeight="1">
      <c r="A593" s="306">
        <v>586</v>
      </c>
      <c r="B593" s="370"/>
      <c r="C593" s="371"/>
      <c r="D593" s="165" t="s">
        <v>1022</v>
      </c>
      <c r="E593" s="347"/>
      <c r="F593" s="347"/>
      <c r="G593" s="1263"/>
      <c r="H593" s="372"/>
      <c r="I593" s="166">
        <f>SUM(J593:Q593)</f>
        <v>1200</v>
      </c>
      <c r="J593" s="349"/>
      <c r="K593" s="349"/>
      <c r="L593" s="364">
        <v>1200</v>
      </c>
      <c r="M593" s="349"/>
      <c r="N593" s="360"/>
    </row>
    <row r="594" spans="1:16" s="307" customFormat="1" ht="22.5" customHeight="1">
      <c r="A594" s="306">
        <v>587</v>
      </c>
      <c r="B594" s="357"/>
      <c r="C594" s="344">
        <v>103</v>
      </c>
      <c r="D594" s="358" t="s">
        <v>567</v>
      </c>
      <c r="E594" s="1258">
        <v>921</v>
      </c>
      <c r="F594" s="1258">
        <v>3340</v>
      </c>
      <c r="G594" s="1259">
        <v>1392</v>
      </c>
      <c r="H594" s="346" t="s">
        <v>80</v>
      </c>
      <c r="I594" s="347"/>
      <c r="J594" s="348"/>
      <c r="K594" s="348"/>
      <c r="L594" s="348"/>
      <c r="M594" s="348"/>
      <c r="N594" s="350"/>
      <c r="P594" s="351"/>
    </row>
    <row r="595" spans="1:16" s="373" customFormat="1" ht="18" customHeight="1">
      <c r="A595" s="306">
        <v>588</v>
      </c>
      <c r="B595" s="370"/>
      <c r="C595" s="371"/>
      <c r="D595" s="345" t="s">
        <v>198</v>
      </c>
      <c r="E595" s="347"/>
      <c r="F595" s="347"/>
      <c r="G595" s="1263"/>
      <c r="H595" s="372"/>
      <c r="I595" s="347">
        <f>SUM(J595:N595)</f>
        <v>4608</v>
      </c>
      <c r="J595" s="349"/>
      <c r="K595" s="349"/>
      <c r="L595" s="349">
        <f>3000+1608</f>
        <v>4608</v>
      </c>
      <c r="M595" s="349"/>
      <c r="N595" s="360"/>
    </row>
    <row r="596" spans="1:16" s="373" customFormat="1" ht="18" customHeight="1">
      <c r="A596" s="306">
        <v>589</v>
      </c>
      <c r="B596" s="370"/>
      <c r="C596" s="371"/>
      <c r="D596" s="163" t="s">
        <v>765</v>
      </c>
      <c r="E596" s="347"/>
      <c r="F596" s="347"/>
      <c r="G596" s="1263"/>
      <c r="H596" s="372"/>
      <c r="I596" s="340">
        <f>SUM(J596:N596)</f>
        <v>4608</v>
      </c>
      <c r="J596" s="362"/>
      <c r="K596" s="362"/>
      <c r="L596" s="362">
        <v>4608</v>
      </c>
      <c r="M596" s="349"/>
      <c r="N596" s="360"/>
    </row>
    <row r="597" spans="1:16" s="373" customFormat="1" ht="18" customHeight="1">
      <c r="A597" s="306">
        <v>590</v>
      </c>
      <c r="B597" s="370"/>
      <c r="C597" s="371"/>
      <c r="D597" s="165" t="s">
        <v>1022</v>
      </c>
      <c r="E597" s="347"/>
      <c r="F597" s="347"/>
      <c r="G597" s="1263"/>
      <c r="H597" s="372"/>
      <c r="I597" s="166">
        <f>SUM(J597:Q597)</f>
        <v>4279</v>
      </c>
      <c r="J597" s="349"/>
      <c r="K597" s="349"/>
      <c r="L597" s="364">
        <v>4279</v>
      </c>
      <c r="M597" s="349"/>
      <c r="N597" s="360"/>
    </row>
    <row r="598" spans="1:16" s="307" customFormat="1" ht="22.5" customHeight="1">
      <c r="A598" s="306">
        <v>591</v>
      </c>
      <c r="B598" s="357"/>
      <c r="C598" s="344">
        <v>104</v>
      </c>
      <c r="D598" s="358" t="s">
        <v>568</v>
      </c>
      <c r="E598" s="1258">
        <v>27501</v>
      </c>
      <c r="F598" s="1258">
        <v>35932</v>
      </c>
      <c r="G598" s="1259">
        <v>24989</v>
      </c>
      <c r="H598" s="346" t="s">
        <v>80</v>
      </c>
      <c r="I598" s="347"/>
      <c r="J598" s="348"/>
      <c r="K598" s="348"/>
      <c r="L598" s="348"/>
      <c r="M598" s="348"/>
      <c r="N598" s="350"/>
      <c r="P598" s="351"/>
    </row>
    <row r="599" spans="1:16" s="373" customFormat="1" ht="18" customHeight="1">
      <c r="A599" s="306">
        <v>592</v>
      </c>
      <c r="B599" s="370"/>
      <c r="C599" s="371"/>
      <c r="D599" s="345" t="s">
        <v>198</v>
      </c>
      <c r="E599" s="347"/>
      <c r="F599" s="347"/>
      <c r="G599" s="1263"/>
      <c r="H599" s="372"/>
      <c r="I599" s="347">
        <f>SUM(J599:N599)</f>
        <v>53144</v>
      </c>
      <c r="J599" s="349"/>
      <c r="K599" s="349"/>
      <c r="L599" s="349">
        <f>32400+20744</f>
        <v>53144</v>
      </c>
      <c r="M599" s="349"/>
      <c r="N599" s="360"/>
    </row>
    <row r="600" spans="1:16" s="373" customFormat="1" ht="18" customHeight="1">
      <c r="A600" s="306">
        <v>593</v>
      </c>
      <c r="B600" s="370"/>
      <c r="C600" s="371"/>
      <c r="D600" s="163" t="s">
        <v>765</v>
      </c>
      <c r="E600" s="347"/>
      <c r="F600" s="347"/>
      <c r="G600" s="1263"/>
      <c r="H600" s="372"/>
      <c r="I600" s="340">
        <f>SUM(J600:N600)</f>
        <v>73931</v>
      </c>
      <c r="J600" s="362"/>
      <c r="K600" s="362"/>
      <c r="L600" s="362">
        <v>73931</v>
      </c>
      <c r="M600" s="349"/>
      <c r="N600" s="360"/>
    </row>
    <row r="601" spans="1:16" s="373" customFormat="1" ht="18" customHeight="1">
      <c r="A601" s="306">
        <v>594</v>
      </c>
      <c r="B601" s="370"/>
      <c r="C601" s="371"/>
      <c r="D601" s="165" t="s">
        <v>1021</v>
      </c>
      <c r="E601" s="347"/>
      <c r="F601" s="347"/>
      <c r="G601" s="1263"/>
      <c r="H601" s="372"/>
      <c r="I601" s="166">
        <f>SUM(J601:Q601)</f>
        <v>37643</v>
      </c>
      <c r="J601" s="349"/>
      <c r="K601" s="349"/>
      <c r="L601" s="364">
        <v>37643</v>
      </c>
      <c r="M601" s="349"/>
      <c r="N601" s="360"/>
    </row>
    <row r="602" spans="1:16" s="307" customFormat="1" ht="22.5" customHeight="1">
      <c r="A602" s="306">
        <v>595</v>
      </c>
      <c r="B602" s="357"/>
      <c r="C602" s="344">
        <v>105</v>
      </c>
      <c r="D602" s="358" t="s">
        <v>569</v>
      </c>
      <c r="E602" s="1258">
        <v>359440</v>
      </c>
      <c r="F602" s="1258">
        <v>735713</v>
      </c>
      <c r="G602" s="1259">
        <v>682755</v>
      </c>
      <c r="H602" s="346" t="s">
        <v>80</v>
      </c>
      <c r="I602" s="347"/>
      <c r="J602" s="348"/>
      <c r="K602" s="348"/>
      <c r="L602" s="348"/>
      <c r="M602" s="348"/>
      <c r="N602" s="350"/>
      <c r="P602" s="351"/>
    </row>
    <row r="603" spans="1:16" s="373" customFormat="1" ht="18" customHeight="1">
      <c r="A603" s="306">
        <v>596</v>
      </c>
      <c r="B603" s="370"/>
      <c r="C603" s="371"/>
      <c r="D603" s="345" t="s">
        <v>198</v>
      </c>
      <c r="E603" s="347"/>
      <c r="F603" s="347"/>
      <c r="G603" s="1263"/>
      <c r="H603" s="372"/>
      <c r="I603" s="347">
        <f>SUM(J603:N603)</f>
        <v>897958</v>
      </c>
      <c r="J603" s="349"/>
      <c r="K603" s="349"/>
      <c r="L603" s="349">
        <f>845000+52958</f>
        <v>897958</v>
      </c>
      <c r="M603" s="349"/>
      <c r="N603" s="360"/>
    </row>
    <row r="604" spans="1:16" s="373" customFormat="1" ht="18" customHeight="1">
      <c r="A604" s="306">
        <v>597</v>
      </c>
      <c r="B604" s="370"/>
      <c r="C604" s="371"/>
      <c r="D604" s="163" t="s">
        <v>765</v>
      </c>
      <c r="E604" s="347"/>
      <c r="F604" s="347"/>
      <c r="G604" s="1263"/>
      <c r="H604" s="372"/>
      <c r="I604" s="340">
        <f>SUM(J604:N604)</f>
        <v>918289</v>
      </c>
      <c r="J604" s="362"/>
      <c r="K604" s="362"/>
      <c r="L604" s="362">
        <v>918289</v>
      </c>
      <c r="M604" s="349"/>
      <c r="N604" s="360"/>
    </row>
    <row r="605" spans="1:16" s="373" customFormat="1" ht="18" customHeight="1">
      <c r="A605" s="306">
        <v>598</v>
      </c>
      <c r="B605" s="370"/>
      <c r="C605" s="371"/>
      <c r="D605" s="165" t="s">
        <v>1021</v>
      </c>
      <c r="E605" s="347"/>
      <c r="F605" s="347"/>
      <c r="G605" s="1263"/>
      <c r="H605" s="372"/>
      <c r="I605" s="166">
        <f>SUM(J605:Q605)</f>
        <v>685105</v>
      </c>
      <c r="J605" s="349"/>
      <c r="K605" s="349"/>
      <c r="L605" s="364">
        <v>685105</v>
      </c>
      <c r="M605" s="349"/>
      <c r="N605" s="360"/>
    </row>
    <row r="606" spans="1:16" s="307" customFormat="1" ht="22.5" customHeight="1">
      <c r="A606" s="306">
        <v>599</v>
      </c>
      <c r="B606" s="357"/>
      <c r="C606" s="344">
        <v>106</v>
      </c>
      <c r="D606" s="358" t="s">
        <v>570</v>
      </c>
      <c r="E606" s="1258">
        <v>4005</v>
      </c>
      <c r="F606" s="1258">
        <v>5000</v>
      </c>
      <c r="G606" s="1259">
        <v>4285</v>
      </c>
      <c r="H606" s="346" t="s">
        <v>80</v>
      </c>
      <c r="I606" s="347"/>
      <c r="J606" s="348"/>
      <c r="K606" s="348"/>
      <c r="L606" s="348"/>
      <c r="M606" s="348"/>
      <c r="N606" s="350"/>
      <c r="P606" s="351"/>
    </row>
    <row r="607" spans="1:16" s="373" customFormat="1" ht="18" customHeight="1">
      <c r="A607" s="306">
        <v>600</v>
      </c>
      <c r="B607" s="370"/>
      <c r="C607" s="371"/>
      <c r="D607" s="345" t="s">
        <v>198</v>
      </c>
      <c r="E607" s="347"/>
      <c r="F607" s="347"/>
      <c r="G607" s="1263"/>
      <c r="H607" s="372"/>
      <c r="I607" s="347">
        <f>SUM(J607:N607)</f>
        <v>8959</v>
      </c>
      <c r="J607" s="349"/>
      <c r="K607" s="349"/>
      <c r="L607" s="349">
        <f>6000+2959</f>
        <v>8959</v>
      </c>
      <c r="M607" s="349"/>
      <c r="N607" s="360"/>
    </row>
    <row r="608" spans="1:16" s="373" customFormat="1" ht="18" customHeight="1">
      <c r="A608" s="306">
        <v>601</v>
      </c>
      <c r="B608" s="370"/>
      <c r="C608" s="371"/>
      <c r="D608" s="163" t="s">
        <v>765</v>
      </c>
      <c r="E608" s="347"/>
      <c r="F608" s="347"/>
      <c r="G608" s="1263"/>
      <c r="H608" s="372"/>
      <c r="I608" s="340">
        <f>SUM(J608:N608)</f>
        <v>8959</v>
      </c>
      <c r="J608" s="362"/>
      <c r="K608" s="362"/>
      <c r="L608" s="362">
        <v>8959</v>
      </c>
      <c r="M608" s="349"/>
      <c r="N608" s="360"/>
    </row>
    <row r="609" spans="1:16" s="373" customFormat="1" ht="18" customHeight="1">
      <c r="A609" s="306">
        <v>602</v>
      </c>
      <c r="B609" s="370"/>
      <c r="C609" s="371"/>
      <c r="D609" s="165" t="s">
        <v>1022</v>
      </c>
      <c r="E609" s="347"/>
      <c r="F609" s="347"/>
      <c r="G609" s="1263"/>
      <c r="H609" s="372"/>
      <c r="I609" s="166">
        <f>SUM(J609:Q609)</f>
        <v>5244</v>
      </c>
      <c r="J609" s="349"/>
      <c r="K609" s="349"/>
      <c r="L609" s="364">
        <v>5244</v>
      </c>
      <c r="M609" s="349"/>
      <c r="N609" s="360"/>
    </row>
    <row r="610" spans="1:16" s="307" customFormat="1" ht="22.5" customHeight="1">
      <c r="A610" s="306">
        <v>603</v>
      </c>
      <c r="B610" s="357"/>
      <c r="C610" s="344">
        <v>107</v>
      </c>
      <c r="D610" s="358" t="s">
        <v>571</v>
      </c>
      <c r="E610" s="1258">
        <v>421</v>
      </c>
      <c r="F610" s="1258">
        <v>10886</v>
      </c>
      <c r="G610" s="1259">
        <v>3251</v>
      </c>
      <c r="H610" s="346" t="s">
        <v>80</v>
      </c>
      <c r="I610" s="347"/>
      <c r="J610" s="348"/>
      <c r="K610" s="348"/>
      <c r="L610" s="348"/>
      <c r="M610" s="348"/>
      <c r="N610" s="350"/>
      <c r="P610" s="351"/>
    </row>
    <row r="611" spans="1:16" s="373" customFormat="1" ht="18" customHeight="1">
      <c r="A611" s="306">
        <v>604</v>
      </c>
      <c r="B611" s="370"/>
      <c r="C611" s="371"/>
      <c r="D611" s="345" t="s">
        <v>198</v>
      </c>
      <c r="E611" s="347"/>
      <c r="F611" s="347"/>
      <c r="G611" s="1263"/>
      <c r="H611" s="372"/>
      <c r="I611" s="347">
        <f>SUM(J611:N611)</f>
        <v>9635</v>
      </c>
      <c r="J611" s="349"/>
      <c r="K611" s="349"/>
      <c r="L611" s="349">
        <f>8000+1635</f>
        <v>9635</v>
      </c>
      <c r="M611" s="349"/>
      <c r="N611" s="360"/>
    </row>
    <row r="612" spans="1:16" s="373" customFormat="1" ht="18" customHeight="1">
      <c r="A612" s="306">
        <v>605</v>
      </c>
      <c r="B612" s="370"/>
      <c r="C612" s="371"/>
      <c r="D612" s="163" t="s">
        <v>765</v>
      </c>
      <c r="E612" s="347"/>
      <c r="F612" s="347"/>
      <c r="G612" s="1263"/>
      <c r="H612" s="372"/>
      <c r="I612" s="340">
        <f>SUM(J612:N612)</f>
        <v>6635</v>
      </c>
      <c r="J612" s="362"/>
      <c r="K612" s="362"/>
      <c r="L612" s="362">
        <v>6635</v>
      </c>
      <c r="M612" s="349"/>
      <c r="N612" s="360"/>
    </row>
    <row r="613" spans="1:16" s="373" customFormat="1" ht="18" customHeight="1">
      <c r="A613" s="306">
        <v>606</v>
      </c>
      <c r="B613" s="370"/>
      <c r="C613" s="371"/>
      <c r="D613" s="165" t="s">
        <v>1021</v>
      </c>
      <c r="E613" s="347"/>
      <c r="F613" s="347"/>
      <c r="G613" s="1263"/>
      <c r="H613" s="372"/>
      <c r="I613" s="166">
        <f>SUM(J613:Q613)</f>
        <v>2081</v>
      </c>
      <c r="J613" s="349"/>
      <c r="K613" s="349"/>
      <c r="L613" s="364">
        <v>2081</v>
      </c>
      <c r="M613" s="349"/>
      <c r="N613" s="360"/>
    </row>
    <row r="614" spans="1:16" s="307" customFormat="1" ht="22.5" customHeight="1">
      <c r="A614" s="306">
        <v>607</v>
      </c>
      <c r="B614" s="357"/>
      <c r="C614" s="344">
        <v>108</v>
      </c>
      <c r="D614" s="358" t="s">
        <v>572</v>
      </c>
      <c r="E614" s="1258">
        <v>43</v>
      </c>
      <c r="F614" s="1258">
        <v>2720</v>
      </c>
      <c r="G614" s="1259">
        <v>436</v>
      </c>
      <c r="H614" s="346" t="s">
        <v>80</v>
      </c>
      <c r="I614" s="347"/>
      <c r="J614" s="348"/>
      <c r="K614" s="348"/>
      <c r="L614" s="348"/>
      <c r="M614" s="348"/>
      <c r="N614" s="350"/>
      <c r="P614" s="351"/>
    </row>
    <row r="615" spans="1:16" s="373" customFormat="1" ht="18" customHeight="1">
      <c r="A615" s="306">
        <v>608</v>
      </c>
      <c r="B615" s="370"/>
      <c r="C615" s="371"/>
      <c r="D615" s="345" t="s">
        <v>198</v>
      </c>
      <c r="E615" s="347"/>
      <c r="F615" s="347"/>
      <c r="G615" s="1263"/>
      <c r="H615" s="372"/>
      <c r="I615" s="347">
        <f>SUM(J615:N615)</f>
        <v>2700</v>
      </c>
      <c r="J615" s="349"/>
      <c r="K615" s="349"/>
      <c r="L615" s="349">
        <v>2700</v>
      </c>
      <c r="M615" s="349"/>
      <c r="N615" s="360"/>
    </row>
    <row r="616" spans="1:16" s="373" customFormat="1" ht="18" customHeight="1">
      <c r="A616" s="306">
        <v>609</v>
      </c>
      <c r="B616" s="370"/>
      <c r="C616" s="371"/>
      <c r="D616" s="163" t="s">
        <v>765</v>
      </c>
      <c r="E616" s="347"/>
      <c r="F616" s="347"/>
      <c r="G616" s="1263"/>
      <c r="H616" s="372"/>
      <c r="I616" s="340">
        <f>SUM(J616:N616)</f>
        <v>7984</v>
      </c>
      <c r="J616" s="362"/>
      <c r="K616" s="362"/>
      <c r="L616" s="362">
        <v>7984</v>
      </c>
      <c r="M616" s="349"/>
      <c r="N616" s="360"/>
    </row>
    <row r="617" spans="1:16" s="373" customFormat="1" ht="18" customHeight="1">
      <c r="A617" s="306">
        <v>610</v>
      </c>
      <c r="B617" s="370"/>
      <c r="C617" s="371"/>
      <c r="D617" s="165" t="s">
        <v>1021</v>
      </c>
      <c r="E617" s="347"/>
      <c r="F617" s="347"/>
      <c r="G617" s="1263"/>
      <c r="H617" s="372"/>
      <c r="I617" s="166">
        <f>SUM(J617:Q617)</f>
        <v>4886</v>
      </c>
      <c r="J617" s="349"/>
      <c r="K617" s="349"/>
      <c r="L617" s="364">
        <v>4886</v>
      </c>
      <c r="M617" s="349"/>
      <c r="N617" s="360"/>
    </row>
    <row r="618" spans="1:16" s="307" customFormat="1" ht="22.5" customHeight="1">
      <c r="A618" s="306">
        <v>611</v>
      </c>
      <c r="B618" s="357"/>
      <c r="C618" s="344">
        <v>109</v>
      </c>
      <c r="D618" s="427" t="s">
        <v>573</v>
      </c>
      <c r="E618" s="1258">
        <v>98877</v>
      </c>
      <c r="F618" s="1258">
        <v>143189</v>
      </c>
      <c r="G618" s="1259">
        <v>101213</v>
      </c>
      <c r="H618" s="346" t="s">
        <v>80</v>
      </c>
      <c r="I618" s="347"/>
      <c r="J618" s="348"/>
      <c r="K618" s="348"/>
      <c r="L618" s="348"/>
      <c r="M618" s="348"/>
      <c r="N618" s="350"/>
      <c r="P618" s="351"/>
    </row>
    <row r="619" spans="1:16" s="373" customFormat="1" ht="18" customHeight="1">
      <c r="A619" s="306">
        <v>612</v>
      </c>
      <c r="B619" s="370"/>
      <c r="C619" s="371"/>
      <c r="D619" s="345" t="s">
        <v>198</v>
      </c>
      <c r="E619" s="347"/>
      <c r="F619" s="347"/>
      <c r="G619" s="1263"/>
      <c r="H619" s="372"/>
      <c r="I619" s="347">
        <f>SUM(J619:N619)</f>
        <v>100864</v>
      </c>
      <c r="J619" s="349"/>
      <c r="K619" s="349"/>
      <c r="L619" s="349">
        <v>100864</v>
      </c>
      <c r="M619" s="349"/>
      <c r="N619" s="360"/>
    </row>
    <row r="620" spans="1:16" s="373" customFormat="1" ht="18" customHeight="1">
      <c r="A620" s="306">
        <v>613</v>
      </c>
      <c r="B620" s="370"/>
      <c r="C620" s="371"/>
      <c r="D620" s="163" t="s">
        <v>765</v>
      </c>
      <c r="E620" s="347"/>
      <c r="F620" s="347"/>
      <c r="G620" s="1263"/>
      <c r="H620" s="372"/>
      <c r="I620" s="340">
        <f>SUM(J620:N620)</f>
        <v>117446</v>
      </c>
      <c r="J620" s="362"/>
      <c r="K620" s="362"/>
      <c r="L620" s="362">
        <v>117446</v>
      </c>
      <c r="M620" s="349"/>
      <c r="N620" s="360"/>
    </row>
    <row r="621" spans="1:16" s="373" customFormat="1" ht="18" customHeight="1">
      <c r="A621" s="306">
        <v>614</v>
      </c>
      <c r="B621" s="370"/>
      <c r="C621" s="371"/>
      <c r="D621" s="165" t="s">
        <v>1021</v>
      </c>
      <c r="E621" s="347"/>
      <c r="F621" s="347"/>
      <c r="G621" s="1263"/>
      <c r="H621" s="372"/>
      <c r="I621" s="166">
        <f>SUM(J621:Q621)</f>
        <v>93467</v>
      </c>
      <c r="J621" s="349"/>
      <c r="K621" s="349"/>
      <c r="L621" s="364">
        <v>93467</v>
      </c>
      <c r="M621" s="349"/>
      <c r="N621" s="360"/>
    </row>
    <row r="622" spans="1:16" s="307" customFormat="1" ht="22.5" customHeight="1">
      <c r="A622" s="306">
        <v>615</v>
      </c>
      <c r="B622" s="357"/>
      <c r="C622" s="344">
        <v>110</v>
      </c>
      <c r="D622" s="427" t="s">
        <v>574</v>
      </c>
      <c r="E622" s="1258">
        <v>78300</v>
      </c>
      <c r="F622" s="1258">
        <v>69000</v>
      </c>
      <c r="G622" s="1259">
        <v>67900</v>
      </c>
      <c r="H622" s="346" t="s">
        <v>80</v>
      </c>
      <c r="I622" s="347"/>
      <c r="J622" s="348"/>
      <c r="K622" s="348"/>
      <c r="L622" s="348"/>
      <c r="M622" s="348"/>
      <c r="N622" s="350"/>
      <c r="P622" s="351"/>
    </row>
    <row r="623" spans="1:16" s="373" customFormat="1" ht="18" customHeight="1">
      <c r="A623" s="306">
        <v>616</v>
      </c>
      <c r="B623" s="370"/>
      <c r="C623" s="371"/>
      <c r="D623" s="345" t="s">
        <v>198</v>
      </c>
      <c r="E623" s="347"/>
      <c r="F623" s="347"/>
      <c r="G623" s="1263"/>
      <c r="H623" s="372"/>
      <c r="I623" s="347">
        <f>SUM(J623:N623)</f>
        <v>82100</v>
      </c>
      <c r="J623" s="349"/>
      <c r="K623" s="349"/>
      <c r="L623" s="349">
        <f>80000+2100</f>
        <v>82100</v>
      </c>
      <c r="M623" s="349"/>
      <c r="N623" s="360"/>
    </row>
    <row r="624" spans="1:16" s="373" customFormat="1" ht="18" customHeight="1">
      <c r="A624" s="306">
        <v>617</v>
      </c>
      <c r="B624" s="370"/>
      <c r="C624" s="371"/>
      <c r="D624" s="163" t="s">
        <v>765</v>
      </c>
      <c r="E624" s="347"/>
      <c r="F624" s="347"/>
      <c r="G624" s="1263"/>
      <c r="H624" s="372"/>
      <c r="I624" s="340">
        <f>SUM(J624:N624)</f>
        <v>82100</v>
      </c>
      <c r="J624" s="362"/>
      <c r="K624" s="362"/>
      <c r="L624" s="362">
        <v>82100</v>
      </c>
      <c r="M624" s="362"/>
      <c r="N624" s="360"/>
    </row>
    <row r="625" spans="1:16" s="373" customFormat="1" ht="18" customHeight="1">
      <c r="A625" s="306">
        <v>618</v>
      </c>
      <c r="B625" s="370"/>
      <c r="C625" s="371"/>
      <c r="D625" s="165" t="s">
        <v>1022</v>
      </c>
      <c r="E625" s="347"/>
      <c r="F625" s="347"/>
      <c r="G625" s="1263"/>
      <c r="H625" s="372"/>
      <c r="I625" s="166">
        <f>SUM(J625:Q625)</f>
        <v>79100</v>
      </c>
      <c r="J625" s="349"/>
      <c r="K625" s="349"/>
      <c r="L625" s="364">
        <v>79100</v>
      </c>
      <c r="M625" s="349"/>
      <c r="N625" s="360"/>
    </row>
    <row r="626" spans="1:16" s="307" customFormat="1" ht="22.5" customHeight="1">
      <c r="A626" s="306">
        <v>619</v>
      </c>
      <c r="B626" s="357"/>
      <c r="C626" s="344">
        <v>111</v>
      </c>
      <c r="D626" s="427" t="s">
        <v>575</v>
      </c>
      <c r="E626" s="1258">
        <v>20000</v>
      </c>
      <c r="F626" s="1258">
        <v>20000</v>
      </c>
      <c r="G626" s="1259">
        <v>20000</v>
      </c>
      <c r="H626" s="346" t="s">
        <v>80</v>
      </c>
      <c r="I626" s="347"/>
      <c r="J626" s="348"/>
      <c r="K626" s="348"/>
      <c r="L626" s="348"/>
      <c r="M626" s="348"/>
      <c r="N626" s="350"/>
      <c r="P626" s="351"/>
    </row>
    <row r="627" spans="1:16" s="373" customFormat="1" ht="18" customHeight="1">
      <c r="A627" s="306">
        <v>620</v>
      </c>
      <c r="B627" s="370"/>
      <c r="C627" s="371"/>
      <c r="D627" s="345" t="s">
        <v>198</v>
      </c>
      <c r="E627" s="347"/>
      <c r="F627" s="347"/>
      <c r="G627" s="1263"/>
      <c r="H627" s="372"/>
      <c r="I627" s="347">
        <f>SUM(J627:N627)</f>
        <v>20000</v>
      </c>
      <c r="J627" s="349"/>
      <c r="K627" s="349"/>
      <c r="L627" s="349">
        <v>20000</v>
      </c>
      <c r="M627" s="349"/>
      <c r="N627" s="360"/>
    </row>
    <row r="628" spans="1:16" s="373" customFormat="1" ht="18" customHeight="1">
      <c r="A628" s="306">
        <v>621</v>
      </c>
      <c r="B628" s="370"/>
      <c r="C628" s="371"/>
      <c r="D628" s="163" t="s">
        <v>765</v>
      </c>
      <c r="E628" s="347"/>
      <c r="F628" s="347"/>
      <c r="G628" s="1263"/>
      <c r="H628" s="415"/>
      <c r="I628" s="340">
        <f>SUM(J628:N628)</f>
        <v>20000</v>
      </c>
      <c r="J628" s="362"/>
      <c r="K628" s="362"/>
      <c r="L628" s="362">
        <v>20000</v>
      </c>
      <c r="M628" s="349"/>
      <c r="N628" s="360"/>
    </row>
    <row r="629" spans="1:16" s="373" customFormat="1" ht="18" customHeight="1">
      <c r="A629" s="306">
        <v>622</v>
      </c>
      <c r="B629" s="370"/>
      <c r="C629" s="371"/>
      <c r="D629" s="165" t="s">
        <v>1022</v>
      </c>
      <c r="E629" s="347"/>
      <c r="F629" s="347"/>
      <c r="G629" s="1263"/>
      <c r="H629" s="415"/>
      <c r="I629" s="166">
        <f>SUM(J629:Q629)</f>
        <v>19922</v>
      </c>
      <c r="J629" s="349"/>
      <c r="K629" s="349"/>
      <c r="L629" s="364">
        <v>19922</v>
      </c>
      <c r="M629" s="349"/>
      <c r="N629" s="360"/>
    </row>
    <row r="630" spans="1:16" s="307" customFormat="1" ht="22.5" customHeight="1">
      <c r="A630" s="306">
        <v>623</v>
      </c>
      <c r="B630" s="357"/>
      <c r="C630" s="344">
        <v>112</v>
      </c>
      <c r="D630" s="358" t="s">
        <v>576</v>
      </c>
      <c r="E630" s="1258">
        <v>1999</v>
      </c>
      <c r="F630" s="1258">
        <v>1500</v>
      </c>
      <c r="G630" s="1259">
        <v>715</v>
      </c>
      <c r="H630" s="339" t="s">
        <v>80</v>
      </c>
      <c r="I630" s="347"/>
      <c r="J630" s="348"/>
      <c r="K630" s="348"/>
      <c r="L630" s="348"/>
      <c r="M630" s="348"/>
      <c r="N630" s="350"/>
      <c r="P630" s="351"/>
    </row>
    <row r="631" spans="1:16" s="373" customFormat="1" ht="18" customHeight="1">
      <c r="A631" s="306">
        <v>624</v>
      </c>
      <c r="B631" s="418"/>
      <c r="C631" s="371"/>
      <c r="D631" s="345" t="s">
        <v>198</v>
      </c>
      <c r="E631" s="359"/>
      <c r="F631" s="359"/>
      <c r="G631" s="1273"/>
      <c r="H631" s="415"/>
      <c r="I631" s="347">
        <f>SUM(J631:N631)</f>
        <v>2785</v>
      </c>
      <c r="J631" s="419"/>
      <c r="K631" s="419"/>
      <c r="L631" s="419">
        <f>2000+785</f>
        <v>2785</v>
      </c>
      <c r="M631" s="419"/>
      <c r="N631" s="403"/>
    </row>
    <row r="632" spans="1:16" s="373" customFormat="1" ht="18" customHeight="1">
      <c r="A632" s="306">
        <v>625</v>
      </c>
      <c r="B632" s="418"/>
      <c r="C632" s="371"/>
      <c r="D632" s="163" t="s">
        <v>765</v>
      </c>
      <c r="E632" s="359"/>
      <c r="F632" s="359"/>
      <c r="G632" s="1273"/>
      <c r="H632" s="415"/>
      <c r="I632" s="340">
        <f>SUM(J632:N632)</f>
        <v>2785</v>
      </c>
      <c r="J632" s="352"/>
      <c r="K632" s="352"/>
      <c r="L632" s="352">
        <v>2785</v>
      </c>
      <c r="M632" s="419"/>
      <c r="N632" s="403"/>
    </row>
    <row r="633" spans="1:16" s="373" customFormat="1" ht="18" customHeight="1">
      <c r="A633" s="306">
        <v>626</v>
      </c>
      <c r="B633" s="418"/>
      <c r="C633" s="371"/>
      <c r="D633" s="165" t="s">
        <v>1022</v>
      </c>
      <c r="E633" s="359"/>
      <c r="F633" s="359"/>
      <c r="G633" s="1273"/>
      <c r="H633" s="415"/>
      <c r="I633" s="166">
        <f>SUM(J633:Q633)</f>
        <v>1483</v>
      </c>
      <c r="J633" s="419"/>
      <c r="K633" s="419"/>
      <c r="L633" s="354">
        <v>1483</v>
      </c>
      <c r="M633" s="419"/>
      <c r="N633" s="403"/>
    </row>
    <row r="634" spans="1:16" s="307" customFormat="1" ht="22.5" customHeight="1">
      <c r="A634" s="306">
        <v>627</v>
      </c>
      <c r="B634" s="357"/>
      <c r="C634" s="344">
        <v>113</v>
      </c>
      <c r="D634" s="358" t="s">
        <v>577</v>
      </c>
      <c r="E634" s="1258">
        <v>3488</v>
      </c>
      <c r="F634" s="1258">
        <v>17117</v>
      </c>
      <c r="G634" s="1259">
        <v>13301</v>
      </c>
      <c r="H634" s="346" t="s">
        <v>231</v>
      </c>
      <c r="I634" s="347"/>
      <c r="J634" s="348"/>
      <c r="K634" s="348"/>
      <c r="L634" s="348"/>
      <c r="M634" s="348"/>
      <c r="N634" s="350"/>
      <c r="P634" s="351"/>
    </row>
    <row r="635" spans="1:16" s="373" customFormat="1" ht="18" customHeight="1">
      <c r="A635" s="306">
        <v>628</v>
      </c>
      <c r="B635" s="370"/>
      <c r="C635" s="371"/>
      <c r="D635" s="345" t="s">
        <v>198</v>
      </c>
      <c r="E635" s="347"/>
      <c r="F635" s="347"/>
      <c r="G635" s="1263"/>
      <c r="H635" s="372"/>
      <c r="I635" s="347">
        <f>SUM(J635:N635)</f>
        <v>20866</v>
      </c>
      <c r="J635" s="349"/>
      <c r="K635" s="349"/>
      <c r="L635" s="349">
        <f>17050+3816</f>
        <v>20866</v>
      </c>
      <c r="M635" s="349"/>
      <c r="N635" s="360"/>
    </row>
    <row r="636" spans="1:16" s="373" customFormat="1" ht="18" customHeight="1">
      <c r="A636" s="306">
        <v>629</v>
      </c>
      <c r="B636" s="370"/>
      <c r="C636" s="371"/>
      <c r="D636" s="163" t="s">
        <v>765</v>
      </c>
      <c r="E636" s="347"/>
      <c r="F636" s="347"/>
      <c r="G636" s="1263"/>
      <c r="H636" s="372"/>
      <c r="I636" s="340">
        <f>SUM(J636:N636)</f>
        <v>20019</v>
      </c>
      <c r="J636" s="362"/>
      <c r="K636" s="362"/>
      <c r="L636" s="362">
        <v>20019</v>
      </c>
      <c r="M636" s="349"/>
      <c r="N636" s="360"/>
    </row>
    <row r="637" spans="1:16" s="373" customFormat="1" ht="18" customHeight="1">
      <c r="A637" s="306">
        <v>630</v>
      </c>
      <c r="B637" s="370"/>
      <c r="C637" s="371"/>
      <c r="D637" s="165" t="s">
        <v>1021</v>
      </c>
      <c r="E637" s="347"/>
      <c r="F637" s="347"/>
      <c r="G637" s="1263"/>
      <c r="H637" s="372"/>
      <c r="I637" s="166">
        <f>SUM(J637:Q637)</f>
        <v>11048</v>
      </c>
      <c r="J637" s="349"/>
      <c r="K637" s="349"/>
      <c r="L637" s="364">
        <v>11048</v>
      </c>
      <c r="M637" s="349"/>
      <c r="N637" s="360"/>
    </row>
    <row r="638" spans="1:16" s="307" customFormat="1" ht="22.5" customHeight="1">
      <c r="A638" s="306">
        <v>631</v>
      </c>
      <c r="B638" s="357"/>
      <c r="C638" s="344">
        <v>114</v>
      </c>
      <c r="D638" s="358" t="s">
        <v>578</v>
      </c>
      <c r="E638" s="1258">
        <v>5026</v>
      </c>
      <c r="F638" s="1258">
        <v>15088</v>
      </c>
      <c r="G638" s="1259">
        <v>3646</v>
      </c>
      <c r="H638" s="346" t="s">
        <v>80</v>
      </c>
      <c r="I638" s="347"/>
      <c r="J638" s="348"/>
      <c r="K638" s="348"/>
      <c r="L638" s="348"/>
      <c r="M638" s="348"/>
      <c r="N638" s="350"/>
      <c r="P638" s="351"/>
    </row>
    <row r="639" spans="1:16" s="373" customFormat="1" ht="18" customHeight="1">
      <c r="A639" s="306">
        <v>632</v>
      </c>
      <c r="B639" s="370"/>
      <c r="C639" s="371"/>
      <c r="D639" s="345" t="s">
        <v>198</v>
      </c>
      <c r="E639" s="347"/>
      <c r="F639" s="347"/>
      <c r="G639" s="1263"/>
      <c r="H639" s="372"/>
      <c r="I639" s="347">
        <f>SUM(J639:N639)</f>
        <v>23042</v>
      </c>
      <c r="J639" s="349"/>
      <c r="K639" s="349"/>
      <c r="L639" s="349">
        <f>11600+11442</f>
        <v>23042</v>
      </c>
      <c r="M639" s="349"/>
      <c r="N639" s="360"/>
    </row>
    <row r="640" spans="1:16" s="373" customFormat="1" ht="18" customHeight="1">
      <c r="A640" s="306">
        <v>633</v>
      </c>
      <c r="B640" s="370"/>
      <c r="C640" s="371"/>
      <c r="D640" s="163" t="s">
        <v>765</v>
      </c>
      <c r="E640" s="347"/>
      <c r="F640" s="347"/>
      <c r="G640" s="1263"/>
      <c r="H640" s="372"/>
      <c r="I640" s="340">
        <f>SUM(J640:N640)</f>
        <v>23042</v>
      </c>
      <c r="J640" s="362"/>
      <c r="K640" s="362"/>
      <c r="L640" s="362">
        <v>23042</v>
      </c>
      <c r="M640" s="349"/>
      <c r="N640" s="360"/>
    </row>
    <row r="641" spans="1:16" s="373" customFormat="1" ht="18" customHeight="1">
      <c r="A641" s="306">
        <v>634</v>
      </c>
      <c r="B641" s="370"/>
      <c r="C641" s="371"/>
      <c r="D641" s="165" t="s">
        <v>1022</v>
      </c>
      <c r="E641" s="347"/>
      <c r="F641" s="347"/>
      <c r="G641" s="1263"/>
      <c r="H641" s="372"/>
      <c r="I641" s="166">
        <f>SUM(J641:Q641)</f>
        <v>3088</v>
      </c>
      <c r="J641" s="349"/>
      <c r="K641" s="349"/>
      <c r="L641" s="364">
        <v>3088</v>
      </c>
      <c r="M641" s="349"/>
      <c r="N641" s="360"/>
    </row>
    <row r="642" spans="1:16" s="373" customFormat="1" ht="22.5" customHeight="1">
      <c r="A642" s="306">
        <v>635</v>
      </c>
      <c r="B642" s="370"/>
      <c r="C642" s="344">
        <v>115</v>
      </c>
      <c r="D642" s="358" t="s">
        <v>579</v>
      </c>
      <c r="E642" s="1258">
        <v>10913</v>
      </c>
      <c r="F642" s="1258">
        <v>20000</v>
      </c>
      <c r="G642" s="1259">
        <v>18042</v>
      </c>
      <c r="H642" s="346" t="s">
        <v>80</v>
      </c>
      <c r="I642" s="347"/>
      <c r="J642" s="349"/>
      <c r="K642" s="349"/>
      <c r="L642" s="349"/>
      <c r="M642" s="349"/>
      <c r="N642" s="360"/>
    </row>
    <row r="643" spans="1:16" s="373" customFormat="1" ht="18" customHeight="1">
      <c r="A643" s="306">
        <v>636</v>
      </c>
      <c r="B643" s="370"/>
      <c r="C643" s="371"/>
      <c r="D643" s="345" t="s">
        <v>198</v>
      </c>
      <c r="E643" s="347"/>
      <c r="F643" s="347"/>
      <c r="G643" s="1263"/>
      <c r="H643" s="372"/>
      <c r="I643" s="347">
        <f>SUM(J643:N643)</f>
        <v>20182</v>
      </c>
      <c r="J643" s="349"/>
      <c r="K643" s="349"/>
      <c r="L643" s="349">
        <f>18000+2182</f>
        <v>20182</v>
      </c>
      <c r="M643" s="349"/>
      <c r="N643" s="360"/>
    </row>
    <row r="644" spans="1:16" s="373" customFormat="1" ht="18" customHeight="1">
      <c r="A644" s="306">
        <v>637</v>
      </c>
      <c r="B644" s="370"/>
      <c r="C644" s="371"/>
      <c r="D644" s="163" t="s">
        <v>765</v>
      </c>
      <c r="E644" s="347"/>
      <c r="F644" s="347"/>
      <c r="G644" s="1263"/>
      <c r="H644" s="372"/>
      <c r="I644" s="340">
        <f>SUM(J644:N644)</f>
        <v>20182</v>
      </c>
      <c r="J644" s="362"/>
      <c r="K644" s="362"/>
      <c r="L644" s="362">
        <v>20182</v>
      </c>
      <c r="M644" s="349"/>
      <c r="N644" s="360"/>
    </row>
    <row r="645" spans="1:16" s="373" customFormat="1" ht="18" customHeight="1">
      <c r="A645" s="306">
        <v>638</v>
      </c>
      <c r="B645" s="370"/>
      <c r="C645" s="371"/>
      <c r="D645" s="165" t="s">
        <v>1022</v>
      </c>
      <c r="E645" s="347"/>
      <c r="F645" s="347"/>
      <c r="G645" s="1263"/>
      <c r="H645" s="372"/>
      <c r="I645" s="166">
        <f>SUM(J645:Q645)</f>
        <v>18007</v>
      </c>
      <c r="J645" s="349"/>
      <c r="K645" s="349"/>
      <c r="L645" s="364">
        <v>18007</v>
      </c>
      <c r="M645" s="349"/>
      <c r="N645" s="360"/>
    </row>
    <row r="646" spans="1:16" s="351" customFormat="1" ht="22.5" customHeight="1">
      <c r="A646" s="306">
        <v>639</v>
      </c>
      <c r="B646" s="428"/>
      <c r="C646" s="344">
        <v>116</v>
      </c>
      <c r="D646" s="358" t="s">
        <v>19</v>
      </c>
      <c r="E646" s="1258">
        <v>166583</v>
      </c>
      <c r="F646" s="1258">
        <v>222689</v>
      </c>
      <c r="G646" s="1259">
        <v>225831</v>
      </c>
      <c r="H646" s="346" t="s">
        <v>80</v>
      </c>
      <c r="I646" s="367"/>
      <c r="J646" s="368"/>
      <c r="K646" s="368"/>
      <c r="L646" s="368"/>
      <c r="M646" s="368"/>
      <c r="N646" s="369"/>
    </row>
    <row r="647" spans="1:16" s="373" customFormat="1" ht="18" customHeight="1">
      <c r="A647" s="306">
        <v>640</v>
      </c>
      <c r="B647" s="370"/>
      <c r="C647" s="371"/>
      <c r="D647" s="345" t="s">
        <v>198</v>
      </c>
      <c r="E647" s="347"/>
      <c r="F647" s="347"/>
      <c r="G647" s="1263"/>
      <c r="H647" s="372"/>
      <c r="I647" s="347">
        <f>SUM(J647:N647)</f>
        <v>249886</v>
      </c>
      <c r="J647" s="349"/>
      <c r="K647" s="349"/>
      <c r="L647" s="349">
        <v>249886</v>
      </c>
      <c r="M647" s="349"/>
      <c r="N647" s="360"/>
    </row>
    <row r="648" spans="1:16" s="373" customFormat="1" ht="18" customHeight="1">
      <c r="A648" s="306">
        <v>641</v>
      </c>
      <c r="B648" s="370"/>
      <c r="C648" s="371"/>
      <c r="D648" s="163" t="s">
        <v>765</v>
      </c>
      <c r="E648" s="347"/>
      <c r="F648" s="347"/>
      <c r="G648" s="1263"/>
      <c r="H648" s="372"/>
      <c r="I648" s="340">
        <f>SUM(J648:N648)</f>
        <v>257886</v>
      </c>
      <c r="J648" s="362"/>
      <c r="K648" s="362"/>
      <c r="L648" s="362">
        <v>257886</v>
      </c>
      <c r="M648" s="349"/>
      <c r="N648" s="360"/>
    </row>
    <row r="649" spans="1:16" s="373" customFormat="1" ht="18" customHeight="1">
      <c r="A649" s="306">
        <v>642</v>
      </c>
      <c r="B649" s="370"/>
      <c r="C649" s="371"/>
      <c r="D649" s="165" t="s">
        <v>1021</v>
      </c>
      <c r="E649" s="347"/>
      <c r="F649" s="347"/>
      <c r="G649" s="1263"/>
      <c r="H649" s="372"/>
      <c r="I649" s="166">
        <f>SUM(J649:Q649)</f>
        <v>254723</v>
      </c>
      <c r="J649" s="349"/>
      <c r="K649" s="349"/>
      <c r="L649" s="364">
        <v>254723</v>
      </c>
      <c r="M649" s="349"/>
      <c r="N649" s="360"/>
    </row>
    <row r="650" spans="1:16" s="307" customFormat="1" ht="22.5" customHeight="1">
      <c r="A650" s="306">
        <v>643</v>
      </c>
      <c r="B650" s="357"/>
      <c r="C650" s="344">
        <v>118</v>
      </c>
      <c r="D650" s="358" t="s">
        <v>580</v>
      </c>
      <c r="E650" s="1258">
        <f>E654+E658+E662+E666+E670</f>
        <v>2765</v>
      </c>
      <c r="F650" s="1258">
        <f>F654+F658+F662+F666+F670</f>
        <v>2765</v>
      </c>
      <c r="G650" s="1258">
        <f>G654+G658+G662+G666+G670</f>
        <v>2765</v>
      </c>
      <c r="H650" s="346" t="s">
        <v>80</v>
      </c>
      <c r="I650" s="367"/>
      <c r="J650" s="368"/>
      <c r="K650" s="368"/>
      <c r="L650" s="368"/>
      <c r="M650" s="368"/>
      <c r="N650" s="369"/>
      <c r="O650" s="351"/>
      <c r="P650" s="351"/>
    </row>
    <row r="651" spans="1:16" s="373" customFormat="1" ht="18" customHeight="1">
      <c r="A651" s="306">
        <v>644</v>
      </c>
      <c r="B651" s="370"/>
      <c r="C651" s="371"/>
      <c r="D651" s="345" t="s">
        <v>198</v>
      </c>
      <c r="E651" s="347"/>
      <c r="F651" s="347"/>
      <c r="G651" s="1263"/>
      <c r="H651" s="372"/>
      <c r="I651" s="347">
        <f>SUM(J651:N651)</f>
        <v>2765</v>
      </c>
      <c r="J651" s="393"/>
      <c r="K651" s="393"/>
      <c r="L651" s="393"/>
      <c r="M651" s="393"/>
      <c r="N651" s="360">
        <f>N655+N659+N663+N667+N671</f>
        <v>2765</v>
      </c>
    </row>
    <row r="652" spans="1:16" s="373" customFormat="1" ht="18" customHeight="1">
      <c r="A652" s="306">
        <v>645</v>
      </c>
      <c r="B652" s="370"/>
      <c r="C652" s="371"/>
      <c r="D652" s="163" t="s">
        <v>765</v>
      </c>
      <c r="E652" s="347"/>
      <c r="F652" s="347"/>
      <c r="G652" s="1263"/>
      <c r="H652" s="372"/>
      <c r="I652" s="340">
        <f>SUM(J652:N652)</f>
        <v>2765</v>
      </c>
      <c r="J652" s="365"/>
      <c r="K652" s="365"/>
      <c r="L652" s="365"/>
      <c r="M652" s="365"/>
      <c r="N652" s="363">
        <f>N656+N660+N664+N668+N672</f>
        <v>2765</v>
      </c>
    </row>
    <row r="653" spans="1:16" s="373" customFormat="1" ht="18" customHeight="1">
      <c r="A653" s="306">
        <v>646</v>
      </c>
      <c r="B653" s="370"/>
      <c r="C653" s="371"/>
      <c r="D653" s="165" t="s">
        <v>1022</v>
      </c>
      <c r="E653" s="347"/>
      <c r="F653" s="347"/>
      <c r="G653" s="1263"/>
      <c r="H653" s="372"/>
      <c r="I653" s="166">
        <f>SUM(J653:Q653)</f>
        <v>2765</v>
      </c>
      <c r="J653" s="393"/>
      <c r="K653" s="393"/>
      <c r="L653" s="393"/>
      <c r="M653" s="393"/>
      <c r="N653" s="366">
        <f>N657+N661+N665+N669+N673</f>
        <v>2765</v>
      </c>
    </row>
    <row r="654" spans="1:16" s="384" customFormat="1" ht="18" customHeight="1">
      <c r="A654" s="306">
        <v>647</v>
      </c>
      <c r="B654" s="380"/>
      <c r="C654" s="344"/>
      <c r="D654" s="390" t="s">
        <v>581</v>
      </c>
      <c r="E654" s="1258">
        <v>553</v>
      </c>
      <c r="F654" s="375">
        <v>553</v>
      </c>
      <c r="G654" s="1264">
        <v>553</v>
      </c>
      <c r="H654" s="381"/>
      <c r="I654" s="382"/>
      <c r="J654" s="378"/>
      <c r="K654" s="378"/>
      <c r="L654" s="378"/>
      <c r="M654" s="378"/>
      <c r="N654" s="383"/>
      <c r="P654" s="351"/>
    </row>
    <row r="655" spans="1:16" s="394" customFormat="1" ht="18" customHeight="1">
      <c r="A655" s="306">
        <v>648</v>
      </c>
      <c r="B655" s="392"/>
      <c r="C655" s="371"/>
      <c r="D655" s="429" t="s">
        <v>198</v>
      </c>
      <c r="E655" s="347"/>
      <c r="F655" s="382"/>
      <c r="G655" s="1267"/>
      <c r="H655" s="395"/>
      <c r="I655" s="382">
        <f>SUM(J655:N655)</f>
        <v>553</v>
      </c>
      <c r="J655" s="393"/>
      <c r="K655" s="393"/>
      <c r="L655" s="393"/>
      <c r="M655" s="393"/>
      <c r="N655" s="417">
        <v>553</v>
      </c>
      <c r="P655" s="373"/>
    </row>
    <row r="656" spans="1:16" s="394" customFormat="1" ht="18" customHeight="1">
      <c r="A656" s="306">
        <v>649</v>
      </c>
      <c r="B656" s="392"/>
      <c r="C656" s="371"/>
      <c r="D656" s="379" t="s">
        <v>765</v>
      </c>
      <c r="E656" s="347"/>
      <c r="F656" s="382"/>
      <c r="G656" s="1267"/>
      <c r="H656" s="395"/>
      <c r="I656" s="430">
        <f>SUM(J656:N656)</f>
        <v>553</v>
      </c>
      <c r="J656" s="365"/>
      <c r="K656" s="365"/>
      <c r="L656" s="365"/>
      <c r="M656" s="365"/>
      <c r="N656" s="431">
        <v>553</v>
      </c>
      <c r="P656" s="373"/>
    </row>
    <row r="657" spans="1:16" s="394" customFormat="1" ht="18" customHeight="1">
      <c r="A657" s="306">
        <v>650</v>
      </c>
      <c r="B657" s="392"/>
      <c r="C657" s="371"/>
      <c r="D657" s="379" t="s">
        <v>1022</v>
      </c>
      <c r="E657" s="347"/>
      <c r="F657" s="382"/>
      <c r="G657" s="1267"/>
      <c r="H657" s="395"/>
      <c r="I657" s="166">
        <f>SUM(J657:Q657)</f>
        <v>553</v>
      </c>
      <c r="J657" s="393"/>
      <c r="K657" s="393"/>
      <c r="L657" s="393"/>
      <c r="M657" s="393"/>
      <c r="N657" s="366">
        <v>553</v>
      </c>
      <c r="P657" s="373"/>
    </row>
    <row r="658" spans="1:16" s="384" customFormat="1" ht="18" customHeight="1">
      <c r="A658" s="306">
        <v>651</v>
      </c>
      <c r="B658" s="380"/>
      <c r="C658" s="344"/>
      <c r="D658" s="432" t="s">
        <v>582</v>
      </c>
      <c r="E658" s="1258">
        <v>553</v>
      </c>
      <c r="F658" s="375">
        <v>553</v>
      </c>
      <c r="G658" s="1264">
        <v>553</v>
      </c>
      <c r="H658" s="381"/>
      <c r="I658" s="385"/>
      <c r="J658" s="386"/>
      <c r="K658" s="386"/>
      <c r="L658" s="386"/>
      <c r="M658" s="386"/>
      <c r="N658" s="387"/>
      <c r="P658" s="351"/>
    </row>
    <row r="659" spans="1:16" s="394" customFormat="1" ht="18" customHeight="1">
      <c r="A659" s="306">
        <v>652</v>
      </c>
      <c r="B659" s="392"/>
      <c r="C659" s="371"/>
      <c r="D659" s="429" t="s">
        <v>198</v>
      </c>
      <c r="E659" s="347"/>
      <c r="F659" s="382"/>
      <c r="G659" s="1267"/>
      <c r="H659" s="395"/>
      <c r="I659" s="382">
        <f>SUM(J659:N659)</f>
        <v>553</v>
      </c>
      <c r="J659" s="393"/>
      <c r="K659" s="393"/>
      <c r="L659" s="393"/>
      <c r="M659" s="393"/>
      <c r="N659" s="417">
        <v>553</v>
      </c>
      <c r="P659" s="373"/>
    </row>
    <row r="660" spans="1:16" s="394" customFormat="1" ht="18" customHeight="1">
      <c r="A660" s="306">
        <v>653</v>
      </c>
      <c r="B660" s="392"/>
      <c r="C660" s="371"/>
      <c r="D660" s="379" t="s">
        <v>765</v>
      </c>
      <c r="E660" s="347"/>
      <c r="F660" s="382"/>
      <c r="G660" s="1267"/>
      <c r="H660" s="395"/>
      <c r="I660" s="430">
        <f>SUM(J660:N660)</f>
        <v>553</v>
      </c>
      <c r="J660" s="365"/>
      <c r="K660" s="365"/>
      <c r="L660" s="365"/>
      <c r="M660" s="365"/>
      <c r="N660" s="431">
        <v>553</v>
      </c>
      <c r="P660" s="373"/>
    </row>
    <row r="661" spans="1:16" s="394" customFormat="1" ht="18" customHeight="1">
      <c r="A661" s="306">
        <v>654</v>
      </c>
      <c r="B661" s="392"/>
      <c r="C661" s="371"/>
      <c r="D661" s="379" t="s">
        <v>1022</v>
      </c>
      <c r="E661" s="347"/>
      <c r="F661" s="382"/>
      <c r="G661" s="1267"/>
      <c r="H661" s="395"/>
      <c r="I661" s="166">
        <f>SUM(J661:Q661)</f>
        <v>553</v>
      </c>
      <c r="J661" s="393"/>
      <c r="K661" s="393"/>
      <c r="L661" s="393"/>
      <c r="M661" s="393"/>
      <c r="N661" s="366">
        <v>553</v>
      </c>
      <c r="P661" s="373"/>
    </row>
    <row r="662" spans="1:16" s="384" customFormat="1" ht="18" customHeight="1">
      <c r="A662" s="306">
        <v>655</v>
      </c>
      <c r="B662" s="380"/>
      <c r="C662" s="344"/>
      <c r="D662" s="432" t="s">
        <v>583</v>
      </c>
      <c r="E662" s="1258">
        <v>553</v>
      </c>
      <c r="F662" s="375">
        <v>553</v>
      </c>
      <c r="G662" s="1264">
        <v>553</v>
      </c>
      <c r="H662" s="381"/>
      <c r="I662" s="385"/>
      <c r="J662" s="386"/>
      <c r="K662" s="386"/>
      <c r="L662" s="386"/>
      <c r="M662" s="386"/>
      <c r="N662" s="387"/>
      <c r="P662" s="351"/>
    </row>
    <row r="663" spans="1:16" s="394" customFormat="1" ht="18" customHeight="1">
      <c r="A663" s="306">
        <v>656</v>
      </c>
      <c r="B663" s="392"/>
      <c r="C663" s="371"/>
      <c r="D663" s="429" t="s">
        <v>198</v>
      </c>
      <c r="E663" s="347"/>
      <c r="F663" s="382"/>
      <c r="G663" s="1267"/>
      <c r="H663" s="395"/>
      <c r="I663" s="382">
        <f>SUM(J663:N663)</f>
        <v>553</v>
      </c>
      <c r="J663" s="393"/>
      <c r="K663" s="393"/>
      <c r="L663" s="393"/>
      <c r="M663" s="393"/>
      <c r="N663" s="417">
        <v>553</v>
      </c>
      <c r="P663" s="373"/>
    </row>
    <row r="664" spans="1:16" s="394" customFormat="1" ht="18" customHeight="1">
      <c r="A664" s="306">
        <v>657</v>
      </c>
      <c r="B664" s="392"/>
      <c r="C664" s="371"/>
      <c r="D664" s="379" t="s">
        <v>765</v>
      </c>
      <c r="E664" s="347"/>
      <c r="F664" s="382"/>
      <c r="G664" s="1267"/>
      <c r="H664" s="395"/>
      <c r="I664" s="430">
        <f>SUM(J664:N664)</f>
        <v>553</v>
      </c>
      <c r="J664" s="365"/>
      <c r="K664" s="365"/>
      <c r="L664" s="365"/>
      <c r="M664" s="365"/>
      <c r="N664" s="431">
        <v>553</v>
      </c>
      <c r="P664" s="373"/>
    </row>
    <row r="665" spans="1:16" s="394" customFormat="1" ht="18" customHeight="1">
      <c r="A665" s="306">
        <v>658</v>
      </c>
      <c r="B665" s="392"/>
      <c r="C665" s="371"/>
      <c r="D665" s="379" t="s">
        <v>1022</v>
      </c>
      <c r="E665" s="347"/>
      <c r="F665" s="382"/>
      <c r="G665" s="1267"/>
      <c r="H665" s="395"/>
      <c r="I665" s="166">
        <f>SUM(J665:Q665)</f>
        <v>553</v>
      </c>
      <c r="J665" s="393"/>
      <c r="K665" s="393"/>
      <c r="L665" s="393"/>
      <c r="M665" s="393"/>
      <c r="N665" s="366">
        <v>553</v>
      </c>
      <c r="P665" s="373"/>
    </row>
    <row r="666" spans="1:16" s="384" customFormat="1" ht="18" customHeight="1">
      <c r="A666" s="306">
        <v>659</v>
      </c>
      <c r="B666" s="380"/>
      <c r="C666" s="344"/>
      <c r="D666" s="432" t="s">
        <v>584</v>
      </c>
      <c r="E666" s="1258">
        <v>553</v>
      </c>
      <c r="F666" s="375">
        <v>553</v>
      </c>
      <c r="G666" s="1264">
        <v>553</v>
      </c>
      <c r="H666" s="381"/>
      <c r="I666" s="385"/>
      <c r="J666" s="386"/>
      <c r="K666" s="386"/>
      <c r="L666" s="386"/>
      <c r="M666" s="386"/>
      <c r="N666" s="387"/>
      <c r="P666" s="351"/>
    </row>
    <row r="667" spans="1:16" s="394" customFormat="1" ht="18" customHeight="1">
      <c r="A667" s="306">
        <v>660</v>
      </c>
      <c r="B667" s="392"/>
      <c r="C667" s="371"/>
      <c r="D667" s="429" t="s">
        <v>198</v>
      </c>
      <c r="E667" s="347"/>
      <c r="F667" s="382"/>
      <c r="G667" s="1267"/>
      <c r="H667" s="395"/>
      <c r="I667" s="382">
        <f>SUM(J667:N667)</f>
        <v>553</v>
      </c>
      <c r="J667" s="393"/>
      <c r="K667" s="393"/>
      <c r="L667" s="393"/>
      <c r="M667" s="393"/>
      <c r="N667" s="417">
        <v>553</v>
      </c>
      <c r="P667" s="373"/>
    </row>
    <row r="668" spans="1:16" s="394" customFormat="1" ht="18" customHeight="1">
      <c r="A668" s="306">
        <v>661</v>
      </c>
      <c r="B668" s="392"/>
      <c r="C668" s="371"/>
      <c r="D668" s="379" t="s">
        <v>765</v>
      </c>
      <c r="E668" s="347"/>
      <c r="F668" s="382"/>
      <c r="G668" s="1267"/>
      <c r="H668" s="395"/>
      <c r="I668" s="430">
        <f>SUM(J668:N668)</f>
        <v>553</v>
      </c>
      <c r="J668" s="365"/>
      <c r="K668" s="365"/>
      <c r="L668" s="365"/>
      <c r="M668" s="365"/>
      <c r="N668" s="431">
        <v>553</v>
      </c>
      <c r="P668" s="373"/>
    </row>
    <row r="669" spans="1:16" s="394" customFormat="1" ht="18" customHeight="1">
      <c r="A669" s="306">
        <v>662</v>
      </c>
      <c r="B669" s="392"/>
      <c r="C669" s="371"/>
      <c r="D669" s="379" t="s">
        <v>1022</v>
      </c>
      <c r="E669" s="347"/>
      <c r="F669" s="382"/>
      <c r="G669" s="1267"/>
      <c r="H669" s="395"/>
      <c r="I669" s="166">
        <f>SUM(J669:Q669)</f>
        <v>553</v>
      </c>
      <c r="J669" s="393"/>
      <c r="K669" s="393"/>
      <c r="L669" s="393"/>
      <c r="M669" s="393"/>
      <c r="N669" s="366">
        <v>553</v>
      </c>
      <c r="P669" s="373"/>
    </row>
    <row r="670" spans="1:16" s="384" customFormat="1" ht="18" customHeight="1">
      <c r="A670" s="306">
        <v>663</v>
      </c>
      <c r="B670" s="380"/>
      <c r="C670" s="344"/>
      <c r="D670" s="432" t="s">
        <v>585</v>
      </c>
      <c r="E670" s="1258">
        <v>553</v>
      </c>
      <c r="F670" s="375">
        <v>553</v>
      </c>
      <c r="G670" s="1264">
        <v>553</v>
      </c>
      <c r="H670" s="381"/>
      <c r="I670" s="385"/>
      <c r="J670" s="386"/>
      <c r="K670" s="386"/>
      <c r="L670" s="386"/>
      <c r="M670" s="386"/>
      <c r="N670" s="387"/>
      <c r="P670" s="351"/>
    </row>
    <row r="671" spans="1:16" s="394" customFormat="1" ht="18" customHeight="1">
      <c r="A671" s="306">
        <v>664</v>
      </c>
      <c r="B671" s="392"/>
      <c r="C671" s="371"/>
      <c r="D671" s="429" t="s">
        <v>198</v>
      </c>
      <c r="E671" s="347"/>
      <c r="F671" s="382"/>
      <c r="G671" s="1267"/>
      <c r="H671" s="395"/>
      <c r="I671" s="382">
        <f>SUM(J671:N671)</f>
        <v>553</v>
      </c>
      <c r="J671" s="393"/>
      <c r="K671" s="393"/>
      <c r="L671" s="393"/>
      <c r="M671" s="393"/>
      <c r="N671" s="417">
        <v>553</v>
      </c>
      <c r="P671" s="373"/>
    </row>
    <row r="672" spans="1:16" s="394" customFormat="1" ht="18" customHeight="1">
      <c r="A672" s="306">
        <v>665</v>
      </c>
      <c r="B672" s="433"/>
      <c r="C672" s="371"/>
      <c r="D672" s="379" t="s">
        <v>765</v>
      </c>
      <c r="E672" s="359"/>
      <c r="F672" s="1276"/>
      <c r="G672" s="1277"/>
      <c r="H672" s="434"/>
      <c r="I672" s="430">
        <f>SUM(J672:N672)</f>
        <v>553</v>
      </c>
      <c r="J672" s="435"/>
      <c r="K672" s="435"/>
      <c r="L672" s="435"/>
      <c r="M672" s="435"/>
      <c r="N672" s="436">
        <v>553</v>
      </c>
      <c r="P672" s="373"/>
    </row>
    <row r="673" spans="1:16" s="394" customFormat="1" ht="18" customHeight="1">
      <c r="A673" s="306">
        <v>666</v>
      </c>
      <c r="B673" s="433"/>
      <c r="C673" s="371"/>
      <c r="D673" s="379" t="s">
        <v>1022</v>
      </c>
      <c r="E673" s="359"/>
      <c r="F673" s="1276"/>
      <c r="G673" s="1277"/>
      <c r="H673" s="434"/>
      <c r="I673" s="166">
        <f>SUM(J673:Q673)</f>
        <v>553</v>
      </c>
      <c r="J673" s="437"/>
      <c r="K673" s="437"/>
      <c r="L673" s="437"/>
      <c r="M673" s="437"/>
      <c r="N673" s="355">
        <v>553</v>
      </c>
      <c r="P673" s="373"/>
    </row>
    <row r="674" spans="1:16" s="442" customFormat="1" ht="18" customHeight="1">
      <c r="A674" s="306">
        <v>667</v>
      </c>
      <c r="B674" s="438"/>
      <c r="C674" s="344">
        <v>119</v>
      </c>
      <c r="D674" s="439" t="s">
        <v>586</v>
      </c>
      <c r="E674" s="1256">
        <v>381</v>
      </c>
      <c r="F674" s="1271"/>
      <c r="G674" s="1272"/>
      <c r="H674" s="339" t="s">
        <v>231</v>
      </c>
      <c r="I674" s="347"/>
      <c r="J674" s="440"/>
      <c r="K674" s="440"/>
      <c r="L674" s="356"/>
      <c r="M674" s="440"/>
      <c r="N674" s="441"/>
      <c r="P674" s="307"/>
    </row>
    <row r="675" spans="1:16" s="442" customFormat="1" ht="18" customHeight="1">
      <c r="A675" s="306">
        <v>668</v>
      </c>
      <c r="B675" s="438"/>
      <c r="C675" s="344">
        <v>120</v>
      </c>
      <c r="D675" s="439" t="s">
        <v>587</v>
      </c>
      <c r="E675" s="1256">
        <v>600</v>
      </c>
      <c r="F675" s="1271"/>
      <c r="G675" s="1272"/>
      <c r="H675" s="339" t="s">
        <v>231</v>
      </c>
      <c r="I675" s="347"/>
      <c r="J675" s="440"/>
      <c r="K675" s="440"/>
      <c r="L675" s="356"/>
      <c r="M675" s="440"/>
      <c r="N675" s="441"/>
      <c r="P675" s="307"/>
    </row>
    <row r="676" spans="1:16" s="384" customFormat="1" ht="21.75" customHeight="1">
      <c r="A676" s="306">
        <v>669</v>
      </c>
      <c r="B676" s="443"/>
      <c r="C676" s="444">
        <v>121</v>
      </c>
      <c r="D676" s="358" t="s">
        <v>588</v>
      </c>
      <c r="E676" s="1278"/>
      <c r="F676" s="375"/>
      <c r="G676" s="1279"/>
      <c r="H676" s="445" t="s">
        <v>231</v>
      </c>
      <c r="I676" s="347"/>
      <c r="J676" s="378"/>
      <c r="K676" s="378"/>
      <c r="L676" s="349"/>
      <c r="M676" s="378"/>
      <c r="N676" s="446"/>
      <c r="P676" s="351"/>
    </row>
    <row r="677" spans="1:16" s="384" customFormat="1" ht="18" customHeight="1">
      <c r="A677" s="306">
        <v>670</v>
      </c>
      <c r="B677" s="443"/>
      <c r="C677" s="444"/>
      <c r="D677" s="345" t="s">
        <v>198</v>
      </c>
      <c r="E677" s="1278"/>
      <c r="F677" s="375"/>
      <c r="G677" s="1279"/>
      <c r="H677" s="447"/>
      <c r="I677" s="347">
        <f>SUM(J677:N677)</f>
        <v>3071</v>
      </c>
      <c r="J677" s="378"/>
      <c r="K677" s="378"/>
      <c r="L677" s="349">
        <f>400+2671</f>
        <v>3071</v>
      </c>
      <c r="M677" s="378"/>
      <c r="N677" s="446"/>
      <c r="P677" s="351"/>
    </row>
    <row r="678" spans="1:16" s="384" customFormat="1" ht="18" customHeight="1">
      <c r="A678" s="306">
        <v>671</v>
      </c>
      <c r="B678" s="448"/>
      <c r="C678" s="444"/>
      <c r="D678" s="449" t="s">
        <v>765</v>
      </c>
      <c r="E678" s="1280"/>
      <c r="F678" s="1271"/>
      <c r="G678" s="1281"/>
      <c r="H678" s="445"/>
      <c r="I678" s="340">
        <f>SUM(J678:N678)</f>
        <v>3071</v>
      </c>
      <c r="J678" s="354"/>
      <c r="K678" s="354"/>
      <c r="L678" s="352">
        <v>3071</v>
      </c>
      <c r="M678" s="440"/>
      <c r="N678" s="450"/>
      <c r="P678" s="351"/>
    </row>
    <row r="679" spans="1:16" s="384" customFormat="1" ht="18" customHeight="1">
      <c r="A679" s="306">
        <v>672</v>
      </c>
      <c r="B679" s="448"/>
      <c r="C679" s="444"/>
      <c r="D679" s="451" t="s">
        <v>1022</v>
      </c>
      <c r="E679" s="1280"/>
      <c r="F679" s="1271"/>
      <c r="G679" s="1281"/>
      <c r="H679" s="445"/>
      <c r="I679" s="166">
        <f>SUM(J679:Q679)</f>
        <v>0</v>
      </c>
      <c r="J679" s="440"/>
      <c r="K679" s="440"/>
      <c r="L679" s="419"/>
      <c r="M679" s="440"/>
      <c r="N679" s="450"/>
      <c r="P679" s="351"/>
    </row>
    <row r="680" spans="1:16" s="351" customFormat="1" ht="18" customHeight="1">
      <c r="A680" s="306">
        <v>673</v>
      </c>
      <c r="B680" s="405"/>
      <c r="C680" s="344">
        <v>122</v>
      </c>
      <c r="D680" s="452" t="s">
        <v>589</v>
      </c>
      <c r="E680" s="1256">
        <v>4303</v>
      </c>
      <c r="F680" s="1256">
        <v>2276</v>
      </c>
      <c r="G680" s="1282"/>
      <c r="H680" s="445" t="s">
        <v>231</v>
      </c>
      <c r="I680" s="347"/>
      <c r="J680" s="356"/>
      <c r="K680" s="356"/>
      <c r="L680" s="356"/>
      <c r="M680" s="356"/>
      <c r="N680" s="353"/>
    </row>
    <row r="681" spans="1:16" s="307" customFormat="1" ht="22.5" customHeight="1">
      <c r="A681" s="306">
        <v>674</v>
      </c>
      <c r="B681" s="402"/>
      <c r="C681" s="344">
        <v>123</v>
      </c>
      <c r="D681" s="338" t="s">
        <v>590</v>
      </c>
      <c r="E681" s="1256">
        <v>4994</v>
      </c>
      <c r="F681" s="1256">
        <v>3653</v>
      </c>
      <c r="G681" s="1282">
        <v>7950</v>
      </c>
      <c r="H681" s="445" t="s">
        <v>231</v>
      </c>
      <c r="I681" s="347"/>
      <c r="J681" s="356"/>
      <c r="K681" s="356"/>
      <c r="L681" s="356"/>
      <c r="M681" s="356"/>
      <c r="N681" s="353"/>
      <c r="O681" s="351"/>
      <c r="P681" s="351"/>
    </row>
    <row r="682" spans="1:16" s="454" customFormat="1" ht="18" customHeight="1">
      <c r="A682" s="306">
        <v>675</v>
      </c>
      <c r="B682" s="418"/>
      <c r="C682" s="371"/>
      <c r="D682" s="345" t="s">
        <v>198</v>
      </c>
      <c r="E682" s="1256"/>
      <c r="F682" s="1256"/>
      <c r="G682" s="1282"/>
      <c r="H682" s="453"/>
      <c r="I682" s="347">
        <f>SUM(J682:N682)</f>
        <v>4752</v>
      </c>
      <c r="J682" s="419"/>
      <c r="K682" s="419"/>
      <c r="L682" s="419">
        <f>2000+2752</f>
        <v>4752</v>
      </c>
      <c r="M682" s="419"/>
      <c r="N682" s="403"/>
      <c r="O682" s="373"/>
      <c r="P682" s="373"/>
    </row>
    <row r="683" spans="1:16" s="454" customFormat="1" ht="18" customHeight="1">
      <c r="A683" s="306">
        <v>676</v>
      </c>
      <c r="B683" s="418"/>
      <c r="C683" s="371"/>
      <c r="D683" s="163" t="s">
        <v>765</v>
      </c>
      <c r="E683" s="1256"/>
      <c r="F683" s="1256"/>
      <c r="G683" s="1282"/>
      <c r="H683" s="453"/>
      <c r="I683" s="340">
        <f>SUM(J683:N683)</f>
        <v>4901</v>
      </c>
      <c r="J683" s="352"/>
      <c r="K683" s="352"/>
      <c r="L683" s="352">
        <v>4901</v>
      </c>
      <c r="M683" s="419"/>
      <c r="N683" s="403"/>
      <c r="O683" s="373"/>
      <c r="P683" s="373"/>
    </row>
    <row r="684" spans="1:16" s="454" customFormat="1" ht="18" customHeight="1">
      <c r="A684" s="306">
        <v>677</v>
      </c>
      <c r="B684" s="418"/>
      <c r="C684" s="371"/>
      <c r="D684" s="165" t="s">
        <v>1021</v>
      </c>
      <c r="E684" s="1256"/>
      <c r="F684" s="1256"/>
      <c r="G684" s="1282"/>
      <c r="H684" s="453"/>
      <c r="I684" s="166">
        <f>SUM(J684:Q684)</f>
        <v>146</v>
      </c>
      <c r="J684" s="419"/>
      <c r="K684" s="419"/>
      <c r="L684" s="354">
        <v>146</v>
      </c>
      <c r="M684" s="419"/>
      <c r="N684" s="403"/>
      <c r="O684" s="373"/>
      <c r="P684" s="373"/>
    </row>
    <row r="685" spans="1:16" s="454" customFormat="1" ht="22.5" customHeight="1">
      <c r="A685" s="306">
        <v>678</v>
      </c>
      <c r="B685" s="418"/>
      <c r="C685" s="344">
        <v>124</v>
      </c>
      <c r="D685" s="338" t="s">
        <v>591</v>
      </c>
      <c r="E685" s="1256"/>
      <c r="F685" s="1256">
        <v>1200</v>
      </c>
      <c r="G685" s="1282"/>
      <c r="H685" s="445" t="s">
        <v>231</v>
      </c>
      <c r="I685" s="347"/>
      <c r="J685" s="419"/>
      <c r="K685" s="419"/>
      <c r="L685" s="419"/>
      <c r="M685" s="419"/>
      <c r="N685" s="403"/>
      <c r="O685" s="373"/>
      <c r="P685" s="373"/>
    </row>
    <row r="686" spans="1:16" s="454" customFormat="1" ht="18" customHeight="1">
      <c r="A686" s="306">
        <v>679</v>
      </c>
      <c r="B686" s="418"/>
      <c r="C686" s="371"/>
      <c r="D686" s="345" t="s">
        <v>198</v>
      </c>
      <c r="E686" s="359"/>
      <c r="F686" s="359"/>
      <c r="G686" s="1283"/>
      <c r="H686" s="453"/>
      <c r="I686" s="347">
        <f>SUM(J686:N686)</f>
        <v>1700</v>
      </c>
      <c r="J686" s="419"/>
      <c r="K686" s="419"/>
      <c r="L686" s="419">
        <f>500+1200</f>
        <v>1700</v>
      </c>
      <c r="M686" s="419"/>
      <c r="N686" s="403"/>
      <c r="O686" s="373"/>
      <c r="P686" s="373"/>
    </row>
    <row r="687" spans="1:16" s="454" customFormat="1" ht="18" customHeight="1">
      <c r="A687" s="306">
        <v>680</v>
      </c>
      <c r="B687" s="418"/>
      <c r="C687" s="371"/>
      <c r="D687" s="163" t="s">
        <v>765</v>
      </c>
      <c r="E687" s="359"/>
      <c r="F687" s="359"/>
      <c r="G687" s="1283"/>
      <c r="H687" s="453"/>
      <c r="I687" s="340">
        <f>SUM(J687:N687)</f>
        <v>1700</v>
      </c>
      <c r="J687" s="352"/>
      <c r="K687" s="352"/>
      <c r="L687" s="352">
        <v>1700</v>
      </c>
      <c r="M687" s="419"/>
      <c r="N687" s="403"/>
      <c r="O687" s="373"/>
      <c r="P687" s="373"/>
    </row>
    <row r="688" spans="1:16" s="454" customFormat="1" ht="18" customHeight="1">
      <c r="A688" s="306">
        <v>681</v>
      </c>
      <c r="B688" s="418"/>
      <c r="C688" s="371"/>
      <c r="D688" s="165" t="s">
        <v>1022</v>
      </c>
      <c r="E688" s="359"/>
      <c r="F688" s="359"/>
      <c r="G688" s="1283"/>
      <c r="H688" s="453"/>
      <c r="I688" s="166">
        <f>SUM(J688:Q688)</f>
        <v>0</v>
      </c>
      <c r="J688" s="419"/>
      <c r="K688" s="419"/>
      <c r="L688" s="419"/>
      <c r="M688" s="419"/>
      <c r="N688" s="403"/>
      <c r="O688" s="373"/>
      <c r="P688" s="373"/>
    </row>
    <row r="689" spans="1:16" s="454" customFormat="1" ht="22.5" customHeight="1">
      <c r="A689" s="306">
        <v>682</v>
      </c>
      <c r="B689" s="418"/>
      <c r="C689" s="344">
        <v>125</v>
      </c>
      <c r="D689" s="338" t="s">
        <v>592</v>
      </c>
      <c r="E689" s="1256">
        <v>210820</v>
      </c>
      <c r="F689" s="1256">
        <v>635000</v>
      </c>
      <c r="G689" s="1282">
        <v>296210</v>
      </c>
      <c r="H689" s="445" t="s">
        <v>231</v>
      </c>
      <c r="I689" s="347"/>
      <c r="J689" s="419"/>
      <c r="K689" s="419"/>
      <c r="L689" s="419"/>
      <c r="M689" s="419"/>
      <c r="N689" s="403"/>
      <c r="O689" s="373"/>
      <c r="P689" s="373"/>
    </row>
    <row r="690" spans="1:16" s="454" customFormat="1" ht="18" customHeight="1">
      <c r="A690" s="306">
        <v>683</v>
      </c>
      <c r="B690" s="418"/>
      <c r="C690" s="344"/>
      <c r="D690" s="345" t="s">
        <v>198</v>
      </c>
      <c r="E690" s="1256"/>
      <c r="F690" s="1256"/>
      <c r="G690" s="1282"/>
      <c r="H690" s="445"/>
      <c r="I690" s="347">
        <f>SUM(J690:N690)</f>
        <v>338790</v>
      </c>
      <c r="J690" s="419"/>
      <c r="K690" s="419"/>
      <c r="L690" s="419">
        <v>338790</v>
      </c>
      <c r="M690" s="419"/>
      <c r="N690" s="403"/>
      <c r="O690" s="373"/>
      <c r="P690" s="373"/>
    </row>
    <row r="691" spans="1:16" s="454" customFormat="1" ht="18" customHeight="1">
      <c r="A691" s="306">
        <v>684</v>
      </c>
      <c r="B691" s="418"/>
      <c r="C691" s="344"/>
      <c r="D691" s="163" t="s">
        <v>765</v>
      </c>
      <c r="E691" s="1256"/>
      <c r="F691" s="1256"/>
      <c r="G691" s="1282"/>
      <c r="H691" s="445"/>
      <c r="I691" s="340">
        <f>SUM(J691:N691)</f>
        <v>338790</v>
      </c>
      <c r="J691" s="352"/>
      <c r="K691" s="352"/>
      <c r="L691" s="352">
        <v>338790</v>
      </c>
      <c r="M691" s="419"/>
      <c r="N691" s="403"/>
      <c r="O691" s="373"/>
      <c r="P691" s="373"/>
    </row>
    <row r="692" spans="1:16" s="454" customFormat="1" ht="18" customHeight="1">
      <c r="A692" s="306">
        <v>685</v>
      </c>
      <c r="B692" s="418"/>
      <c r="C692" s="344"/>
      <c r="D692" s="165" t="s">
        <v>1022</v>
      </c>
      <c r="E692" s="1256"/>
      <c r="F692" s="1256"/>
      <c r="G692" s="1282"/>
      <c r="H692" s="445"/>
      <c r="I692" s="166">
        <f>SUM(J692:Q692)</f>
        <v>338790</v>
      </c>
      <c r="J692" s="419"/>
      <c r="K692" s="419"/>
      <c r="L692" s="354">
        <v>338790</v>
      </c>
      <c r="M692" s="419"/>
      <c r="N692" s="403"/>
      <c r="O692" s="373"/>
      <c r="P692" s="373"/>
    </row>
    <row r="693" spans="1:16" s="373" customFormat="1" ht="18" customHeight="1">
      <c r="A693" s="306">
        <v>686</v>
      </c>
      <c r="B693" s="370"/>
      <c r="C693" s="344">
        <v>126</v>
      </c>
      <c r="D693" s="452" t="s">
        <v>593</v>
      </c>
      <c r="E693" s="1256">
        <v>6300</v>
      </c>
      <c r="F693" s="1256"/>
      <c r="G693" s="1282"/>
      <c r="H693" s="447" t="s">
        <v>231</v>
      </c>
      <c r="I693" s="347"/>
      <c r="J693" s="349"/>
      <c r="K693" s="349"/>
      <c r="L693" s="349"/>
      <c r="M693" s="349"/>
      <c r="N693" s="360"/>
    </row>
    <row r="694" spans="1:16" s="373" customFormat="1" ht="35.25" customHeight="1">
      <c r="A694" s="306">
        <v>687</v>
      </c>
      <c r="B694" s="370"/>
      <c r="C694" s="420">
        <v>127</v>
      </c>
      <c r="D694" s="338" t="s">
        <v>594</v>
      </c>
      <c r="E694" s="1258">
        <v>997</v>
      </c>
      <c r="F694" s="1258">
        <v>1000</v>
      </c>
      <c r="G694" s="1284">
        <v>997</v>
      </c>
      <c r="H694" s="447" t="s">
        <v>231</v>
      </c>
      <c r="I694" s="347"/>
      <c r="J694" s="349"/>
      <c r="K694" s="349"/>
      <c r="L694" s="349"/>
      <c r="M694" s="349"/>
      <c r="N694" s="360"/>
    </row>
    <row r="695" spans="1:16" s="373" customFormat="1" ht="18" customHeight="1">
      <c r="A695" s="306">
        <v>688</v>
      </c>
      <c r="B695" s="370"/>
      <c r="C695" s="371"/>
      <c r="D695" s="345" t="s">
        <v>198</v>
      </c>
      <c r="E695" s="1258"/>
      <c r="F695" s="1258"/>
      <c r="G695" s="1284"/>
      <c r="H695" s="447"/>
      <c r="I695" s="347">
        <f>SUM(J695:N695)</f>
        <v>1000</v>
      </c>
      <c r="J695" s="349"/>
      <c r="K695" s="349"/>
      <c r="L695" s="419">
        <v>1000</v>
      </c>
      <c r="M695" s="349"/>
      <c r="N695" s="360"/>
    </row>
    <row r="696" spans="1:16" s="373" customFormat="1" ht="18" customHeight="1">
      <c r="A696" s="306">
        <v>689</v>
      </c>
      <c r="B696" s="370"/>
      <c r="C696" s="371"/>
      <c r="D696" s="163" t="s">
        <v>765</v>
      </c>
      <c r="E696" s="1258"/>
      <c r="F696" s="1258"/>
      <c r="G696" s="1284"/>
      <c r="H696" s="447"/>
      <c r="I696" s="340">
        <f>SUM(J696:N696)</f>
        <v>1000</v>
      </c>
      <c r="J696" s="362"/>
      <c r="K696" s="362"/>
      <c r="L696" s="352">
        <v>1000</v>
      </c>
      <c r="M696" s="349"/>
      <c r="N696" s="360"/>
    </row>
    <row r="697" spans="1:16" s="373" customFormat="1" ht="18" customHeight="1">
      <c r="A697" s="306">
        <v>690</v>
      </c>
      <c r="B697" s="370"/>
      <c r="C697" s="371"/>
      <c r="D697" s="165" t="s">
        <v>1022</v>
      </c>
      <c r="E697" s="1258"/>
      <c r="F697" s="1258"/>
      <c r="G697" s="1284"/>
      <c r="H697" s="447"/>
      <c r="I697" s="166">
        <f>SUM(J697:Q697)</f>
        <v>985</v>
      </c>
      <c r="J697" s="349"/>
      <c r="K697" s="349"/>
      <c r="L697" s="364">
        <v>985</v>
      </c>
      <c r="M697" s="349"/>
      <c r="N697" s="360"/>
    </row>
    <row r="698" spans="1:16" s="307" customFormat="1" ht="22.5" customHeight="1">
      <c r="A698" s="306">
        <v>691</v>
      </c>
      <c r="B698" s="343"/>
      <c r="C698" s="344">
        <v>128</v>
      </c>
      <c r="D698" s="358" t="s">
        <v>595</v>
      </c>
      <c r="E698" s="1258"/>
      <c r="F698" s="1258">
        <v>1210</v>
      </c>
      <c r="G698" s="1284"/>
      <c r="H698" s="447" t="s">
        <v>231</v>
      </c>
      <c r="I698" s="367"/>
      <c r="J698" s="368"/>
      <c r="K698" s="368"/>
      <c r="L698" s="368"/>
      <c r="M698" s="368"/>
      <c r="N698" s="369"/>
      <c r="O698" s="351"/>
      <c r="P698" s="351"/>
    </row>
    <row r="699" spans="1:16" s="307" customFormat="1" ht="18" customHeight="1">
      <c r="A699" s="306">
        <v>692</v>
      </c>
      <c r="B699" s="343"/>
      <c r="C699" s="344"/>
      <c r="D699" s="345" t="s">
        <v>198</v>
      </c>
      <c r="E699" s="1258"/>
      <c r="F699" s="1258"/>
      <c r="G699" s="1284"/>
      <c r="H699" s="447"/>
      <c r="I699" s="347">
        <f>SUM(J699:N699)</f>
        <v>2010</v>
      </c>
      <c r="J699" s="368"/>
      <c r="K699" s="368"/>
      <c r="L699" s="396">
        <f>800+1210</f>
        <v>2010</v>
      </c>
      <c r="M699" s="368"/>
      <c r="N699" s="369"/>
      <c r="O699" s="351"/>
      <c r="P699" s="351"/>
    </row>
    <row r="700" spans="1:16" s="307" customFormat="1" ht="18" customHeight="1">
      <c r="A700" s="306">
        <v>693</v>
      </c>
      <c r="B700" s="343"/>
      <c r="C700" s="344"/>
      <c r="D700" s="163" t="s">
        <v>765</v>
      </c>
      <c r="E700" s="1258"/>
      <c r="F700" s="1258"/>
      <c r="G700" s="1284"/>
      <c r="H700" s="447"/>
      <c r="I700" s="340">
        <f>SUM(J700:N700)</f>
        <v>2010</v>
      </c>
      <c r="J700" s="421"/>
      <c r="K700" s="421"/>
      <c r="L700" s="398">
        <v>2010</v>
      </c>
      <c r="M700" s="368"/>
      <c r="N700" s="369"/>
      <c r="O700" s="351"/>
      <c r="P700" s="351"/>
    </row>
    <row r="701" spans="1:16" s="307" customFormat="1" ht="18" customHeight="1">
      <c r="A701" s="306">
        <v>694</v>
      </c>
      <c r="B701" s="343"/>
      <c r="C701" s="344"/>
      <c r="D701" s="165" t="s">
        <v>1022</v>
      </c>
      <c r="E701" s="1258"/>
      <c r="F701" s="1258"/>
      <c r="G701" s="1284"/>
      <c r="H701" s="447"/>
      <c r="I701" s="166">
        <f>SUM(J701:Q701)</f>
        <v>0</v>
      </c>
      <c r="J701" s="368"/>
      <c r="K701" s="368"/>
      <c r="L701" s="396"/>
      <c r="M701" s="368"/>
      <c r="N701" s="369"/>
      <c r="O701" s="351"/>
      <c r="P701" s="351"/>
    </row>
    <row r="702" spans="1:16" s="307" customFormat="1" ht="18" customHeight="1">
      <c r="A702" s="306">
        <v>695</v>
      </c>
      <c r="B702" s="343"/>
      <c r="C702" s="344">
        <v>129</v>
      </c>
      <c r="D702" s="439" t="s">
        <v>596</v>
      </c>
      <c r="E702" s="1258"/>
      <c r="F702" s="1258"/>
      <c r="G702" s="1284"/>
      <c r="H702" s="447" t="s">
        <v>231</v>
      </c>
      <c r="I702" s="367"/>
      <c r="J702" s="368"/>
      <c r="K702" s="368"/>
      <c r="L702" s="368"/>
      <c r="M702" s="368"/>
      <c r="N702" s="369"/>
      <c r="O702" s="351"/>
      <c r="P702" s="351"/>
    </row>
    <row r="703" spans="1:16" ht="18" customHeight="1">
      <c r="A703" s="306">
        <v>696</v>
      </c>
      <c r="B703" s="455"/>
      <c r="C703" s="344">
        <v>130</v>
      </c>
      <c r="D703" s="439" t="s">
        <v>597</v>
      </c>
      <c r="E703" s="1258"/>
      <c r="F703" s="1258"/>
      <c r="G703" s="1282"/>
      <c r="H703" s="456" t="s">
        <v>231</v>
      </c>
      <c r="I703" s="457"/>
      <c r="J703" s="458"/>
      <c r="K703" s="458"/>
      <c r="L703" s="458"/>
      <c r="M703" s="458"/>
      <c r="N703" s="459"/>
    </row>
    <row r="704" spans="1:16" ht="22.5" customHeight="1">
      <c r="A704" s="306">
        <v>697</v>
      </c>
      <c r="B704" s="455"/>
      <c r="C704" s="344">
        <v>131</v>
      </c>
      <c r="D704" s="338" t="s">
        <v>11</v>
      </c>
      <c r="E704" s="1258">
        <v>25929</v>
      </c>
      <c r="F704" s="1258">
        <v>38265</v>
      </c>
      <c r="G704" s="1282">
        <v>19787</v>
      </c>
      <c r="H704" s="456" t="s">
        <v>231</v>
      </c>
      <c r="I704" s="457"/>
      <c r="J704" s="458"/>
      <c r="K704" s="458"/>
      <c r="L704" s="458"/>
      <c r="M704" s="458"/>
      <c r="N704" s="459"/>
    </row>
    <row r="705" spans="1:16" ht="18" customHeight="1">
      <c r="A705" s="306">
        <v>698</v>
      </c>
      <c r="B705" s="455"/>
      <c r="C705" s="344"/>
      <c r="D705" s="345" t="s">
        <v>198</v>
      </c>
      <c r="E705" s="1258"/>
      <c r="F705" s="1258"/>
      <c r="G705" s="1282"/>
      <c r="H705" s="456"/>
      <c r="I705" s="347">
        <f>SUM(J705:N705)</f>
        <v>76522</v>
      </c>
      <c r="J705" s="458"/>
      <c r="K705" s="458"/>
      <c r="L705" s="460">
        <v>76522</v>
      </c>
      <c r="M705" s="457"/>
      <c r="N705" s="461"/>
    </row>
    <row r="706" spans="1:16" ht="18" customHeight="1">
      <c r="A706" s="306">
        <v>699</v>
      </c>
      <c r="B706" s="455"/>
      <c r="C706" s="344"/>
      <c r="D706" s="163" t="s">
        <v>765</v>
      </c>
      <c r="E706" s="1258"/>
      <c r="F706" s="1258"/>
      <c r="G706" s="1282"/>
      <c r="H706" s="456"/>
      <c r="I706" s="340">
        <f>SUM(J706:N706)</f>
        <v>99092</v>
      </c>
      <c r="J706" s="462"/>
      <c r="K706" s="462"/>
      <c r="L706" s="463">
        <v>99092</v>
      </c>
      <c r="M706" s="457"/>
      <c r="N706" s="461"/>
    </row>
    <row r="707" spans="1:16" ht="18" customHeight="1">
      <c r="A707" s="306">
        <v>700</v>
      </c>
      <c r="B707" s="455"/>
      <c r="C707" s="344"/>
      <c r="D707" s="165" t="s">
        <v>1021</v>
      </c>
      <c r="E707" s="1258"/>
      <c r="F707" s="1258"/>
      <c r="G707" s="1282"/>
      <c r="H707" s="456"/>
      <c r="I707" s="166">
        <f>SUM(J707:Q707)</f>
        <v>28689</v>
      </c>
      <c r="J707" s="458"/>
      <c r="K707" s="458"/>
      <c r="L707" s="464">
        <v>28689</v>
      </c>
      <c r="M707" s="457"/>
      <c r="N707" s="461"/>
    </row>
    <row r="708" spans="1:16" ht="18" customHeight="1">
      <c r="A708" s="306">
        <v>701</v>
      </c>
      <c r="B708" s="455"/>
      <c r="C708" s="344">
        <v>132</v>
      </c>
      <c r="D708" s="465" t="s">
        <v>598</v>
      </c>
      <c r="E708" s="1258">
        <v>994</v>
      </c>
      <c r="F708" s="1258"/>
      <c r="G708" s="1282"/>
      <c r="H708" s="456" t="s">
        <v>231</v>
      </c>
      <c r="I708" s="457"/>
      <c r="J708" s="458"/>
      <c r="K708" s="458"/>
      <c r="L708" s="458"/>
      <c r="M708" s="458"/>
      <c r="N708" s="459"/>
    </row>
    <row r="709" spans="1:16" ht="18" customHeight="1">
      <c r="A709" s="306">
        <v>702</v>
      </c>
      <c r="B709" s="455"/>
      <c r="C709" s="344">
        <v>133</v>
      </c>
      <c r="D709" s="439" t="s">
        <v>599</v>
      </c>
      <c r="E709" s="1258">
        <v>318</v>
      </c>
      <c r="F709" s="1258"/>
      <c r="G709" s="1282"/>
      <c r="H709" s="456" t="s">
        <v>80</v>
      </c>
      <c r="I709" s="457"/>
      <c r="J709" s="458"/>
      <c r="K709" s="458"/>
      <c r="L709" s="458"/>
      <c r="M709" s="458"/>
      <c r="N709" s="459"/>
    </row>
    <row r="710" spans="1:16" s="454" customFormat="1" ht="22.5" customHeight="1">
      <c r="A710" s="306">
        <v>703</v>
      </c>
      <c r="B710" s="418"/>
      <c r="C710" s="344">
        <v>134</v>
      </c>
      <c r="D710" s="358" t="s">
        <v>600</v>
      </c>
      <c r="E710" s="1256">
        <v>2500</v>
      </c>
      <c r="F710" s="1256">
        <v>2000</v>
      </c>
      <c r="G710" s="1282">
        <v>2000</v>
      </c>
      <c r="H710" s="445" t="s">
        <v>231</v>
      </c>
      <c r="I710" s="347"/>
      <c r="J710" s="419"/>
      <c r="K710" s="419"/>
      <c r="L710" s="419"/>
      <c r="M710" s="419"/>
      <c r="N710" s="403"/>
      <c r="O710" s="373"/>
      <c r="P710" s="373"/>
    </row>
    <row r="711" spans="1:16" s="454" customFormat="1" ht="18" customHeight="1">
      <c r="A711" s="306">
        <v>704</v>
      </c>
      <c r="B711" s="418"/>
      <c r="C711" s="344"/>
      <c r="D711" s="345" t="s">
        <v>198</v>
      </c>
      <c r="E711" s="1256"/>
      <c r="F711" s="1256"/>
      <c r="G711" s="1282"/>
      <c r="H711" s="445"/>
      <c r="I711" s="347">
        <f>SUM(J711:N711)</f>
        <v>2000</v>
      </c>
      <c r="J711" s="419"/>
      <c r="K711" s="419"/>
      <c r="L711" s="419">
        <v>2000</v>
      </c>
      <c r="M711" s="419"/>
      <c r="N711" s="403"/>
      <c r="O711" s="373"/>
      <c r="P711" s="373"/>
    </row>
    <row r="712" spans="1:16" s="454" customFormat="1" ht="18" customHeight="1">
      <c r="A712" s="306">
        <v>705</v>
      </c>
      <c r="B712" s="418"/>
      <c r="C712" s="344"/>
      <c r="D712" s="163" t="s">
        <v>765</v>
      </c>
      <c r="E712" s="1256"/>
      <c r="F712" s="1256"/>
      <c r="G712" s="1282"/>
      <c r="H712" s="445"/>
      <c r="I712" s="340">
        <f>SUM(J712:N712)</f>
        <v>2000</v>
      </c>
      <c r="J712" s="352"/>
      <c r="K712" s="352"/>
      <c r="L712" s="352">
        <v>0</v>
      </c>
      <c r="M712" s="352"/>
      <c r="N712" s="404">
        <v>2000</v>
      </c>
      <c r="O712" s="373"/>
      <c r="P712" s="373"/>
    </row>
    <row r="713" spans="1:16" s="454" customFormat="1" ht="18" customHeight="1">
      <c r="A713" s="306">
        <v>706</v>
      </c>
      <c r="B713" s="418"/>
      <c r="C713" s="344"/>
      <c r="D713" s="165" t="s">
        <v>1021</v>
      </c>
      <c r="E713" s="1256"/>
      <c r="F713" s="1256"/>
      <c r="G713" s="1282"/>
      <c r="H713" s="445"/>
      <c r="I713" s="166">
        <f>SUM(J713:Q713)</f>
        <v>2000</v>
      </c>
      <c r="J713" s="419"/>
      <c r="K713" s="419"/>
      <c r="L713" s="354"/>
      <c r="M713" s="354"/>
      <c r="N713" s="355">
        <v>2000</v>
      </c>
      <c r="O713" s="373"/>
      <c r="P713" s="373"/>
    </row>
    <row r="714" spans="1:16" s="351" customFormat="1" ht="22.5" customHeight="1">
      <c r="A714" s="306">
        <v>707</v>
      </c>
      <c r="B714" s="343"/>
      <c r="C714" s="344">
        <v>135</v>
      </c>
      <c r="D714" s="358" t="s">
        <v>601</v>
      </c>
      <c r="E714" s="1258"/>
      <c r="F714" s="1258"/>
      <c r="G714" s="1284"/>
      <c r="H714" s="447" t="s">
        <v>231</v>
      </c>
      <c r="I714" s="347"/>
      <c r="J714" s="348"/>
      <c r="K714" s="348"/>
      <c r="L714" s="348"/>
      <c r="M714" s="348"/>
      <c r="N714" s="350"/>
    </row>
    <row r="715" spans="1:16" s="351" customFormat="1" ht="18" customHeight="1">
      <c r="A715" s="306">
        <v>708</v>
      </c>
      <c r="B715" s="343"/>
      <c r="C715" s="344"/>
      <c r="D715" s="345" t="s">
        <v>198</v>
      </c>
      <c r="E715" s="1258">
        <v>3291</v>
      </c>
      <c r="F715" s="1258">
        <v>5949</v>
      </c>
      <c r="G715" s="1284">
        <v>10581</v>
      </c>
      <c r="H715" s="447"/>
      <c r="I715" s="347">
        <f>SUM(J715:N715)</f>
        <v>17713</v>
      </c>
      <c r="J715" s="348"/>
      <c r="K715" s="348"/>
      <c r="L715" s="349">
        <v>17713</v>
      </c>
      <c r="M715" s="349"/>
      <c r="N715" s="360"/>
    </row>
    <row r="716" spans="1:16" s="351" customFormat="1" ht="18" customHeight="1">
      <c r="A716" s="306">
        <v>709</v>
      </c>
      <c r="B716" s="343"/>
      <c r="C716" s="344"/>
      <c r="D716" s="163" t="s">
        <v>765</v>
      </c>
      <c r="E716" s="1258"/>
      <c r="F716" s="1258"/>
      <c r="G716" s="1284"/>
      <c r="H716" s="447"/>
      <c r="I716" s="340">
        <f>SUM(J716:N716)</f>
        <v>37838</v>
      </c>
      <c r="J716" s="362">
        <v>873</v>
      </c>
      <c r="K716" s="362">
        <v>354</v>
      </c>
      <c r="L716" s="362">
        <v>22493</v>
      </c>
      <c r="M716" s="362"/>
      <c r="N716" s="363">
        <v>14118</v>
      </c>
    </row>
    <row r="717" spans="1:16" s="351" customFormat="1" ht="18" customHeight="1">
      <c r="A717" s="306">
        <v>710</v>
      </c>
      <c r="B717" s="466"/>
      <c r="C717" s="344"/>
      <c r="D717" s="165" t="s">
        <v>1021</v>
      </c>
      <c r="E717" s="1258"/>
      <c r="F717" s="1258"/>
      <c r="G717" s="1284"/>
      <c r="H717" s="447"/>
      <c r="I717" s="166">
        <f>SUM(J717:Q717)</f>
        <v>22520</v>
      </c>
      <c r="J717" s="364">
        <v>872</v>
      </c>
      <c r="K717" s="364">
        <v>293</v>
      </c>
      <c r="L717" s="364">
        <v>7238</v>
      </c>
      <c r="M717" s="349"/>
      <c r="N717" s="366">
        <v>14117</v>
      </c>
    </row>
    <row r="718" spans="1:16" s="351" customFormat="1" ht="18" customHeight="1">
      <c r="A718" s="306">
        <v>711</v>
      </c>
      <c r="B718" s="466"/>
      <c r="C718" s="344">
        <v>136</v>
      </c>
      <c r="D718" s="465" t="s">
        <v>602</v>
      </c>
      <c r="E718" s="1258">
        <v>8090</v>
      </c>
      <c r="F718" s="1258"/>
      <c r="G718" s="1284">
        <v>5864</v>
      </c>
      <c r="H718" s="447" t="s">
        <v>80</v>
      </c>
      <c r="I718" s="347"/>
      <c r="J718" s="348"/>
      <c r="K718" s="348"/>
      <c r="L718" s="348"/>
      <c r="M718" s="348"/>
      <c r="N718" s="350"/>
    </row>
    <row r="719" spans="1:16" s="407" customFormat="1" ht="18" customHeight="1">
      <c r="A719" s="306">
        <v>712</v>
      </c>
      <c r="B719" s="467"/>
      <c r="C719" s="344">
        <v>137</v>
      </c>
      <c r="D719" s="439" t="s">
        <v>603</v>
      </c>
      <c r="E719" s="1256"/>
      <c r="F719" s="1256"/>
      <c r="G719" s="1282"/>
      <c r="H719" s="445" t="s">
        <v>80</v>
      </c>
      <c r="I719" s="347"/>
      <c r="J719" s="356"/>
      <c r="K719" s="356"/>
      <c r="L719" s="356"/>
      <c r="M719" s="356"/>
      <c r="N719" s="353"/>
      <c r="O719" s="406"/>
      <c r="P719" s="351"/>
    </row>
    <row r="720" spans="1:16" s="307" customFormat="1" ht="22.5" customHeight="1">
      <c r="A720" s="306">
        <v>713</v>
      </c>
      <c r="B720" s="468"/>
      <c r="C720" s="344">
        <v>138</v>
      </c>
      <c r="D720" s="469" t="s">
        <v>604</v>
      </c>
      <c r="E720" s="1258"/>
      <c r="F720" s="1258"/>
      <c r="G720" s="1284"/>
      <c r="H720" s="447" t="s">
        <v>231</v>
      </c>
      <c r="I720" s="347"/>
      <c r="J720" s="348"/>
      <c r="K720" s="348"/>
      <c r="L720" s="348"/>
      <c r="M720" s="348"/>
      <c r="N720" s="350"/>
      <c r="P720" s="351"/>
    </row>
    <row r="721" spans="1:16" s="307" customFormat="1" ht="18" customHeight="1">
      <c r="A721" s="306">
        <v>714</v>
      </c>
      <c r="B721" s="470"/>
      <c r="C721" s="344"/>
      <c r="D721" s="345" t="s">
        <v>198</v>
      </c>
      <c r="E721" s="1258"/>
      <c r="F721" s="1258">
        <v>70000</v>
      </c>
      <c r="G721" s="1282">
        <v>105000</v>
      </c>
      <c r="H721" s="445"/>
      <c r="I721" s="347">
        <f>SUM(J721:N721)</f>
        <v>105000</v>
      </c>
      <c r="J721" s="356"/>
      <c r="K721" s="356"/>
      <c r="L721" s="419">
        <f>70000+35000</f>
        <v>105000</v>
      </c>
      <c r="M721" s="356"/>
      <c r="N721" s="353"/>
      <c r="P721" s="351"/>
    </row>
    <row r="722" spans="1:16" s="307" customFormat="1" ht="18" customHeight="1">
      <c r="A722" s="306">
        <v>715</v>
      </c>
      <c r="B722" s="470"/>
      <c r="C722" s="344"/>
      <c r="D722" s="163" t="s">
        <v>765</v>
      </c>
      <c r="E722" s="1258"/>
      <c r="F722" s="1258"/>
      <c r="G722" s="1282"/>
      <c r="H722" s="445"/>
      <c r="I722" s="340">
        <f>SUM(J722:N722)</f>
        <v>75281</v>
      </c>
      <c r="J722" s="341"/>
      <c r="K722" s="341"/>
      <c r="L722" s="352">
        <v>75281</v>
      </c>
      <c r="M722" s="356"/>
      <c r="N722" s="353"/>
      <c r="P722" s="351"/>
    </row>
    <row r="723" spans="1:16" s="307" customFormat="1" ht="18" customHeight="1">
      <c r="A723" s="306">
        <v>716</v>
      </c>
      <c r="B723" s="470"/>
      <c r="C723" s="344"/>
      <c r="D723" s="165" t="s">
        <v>1021</v>
      </c>
      <c r="E723" s="1258"/>
      <c r="F723" s="1258"/>
      <c r="G723" s="1282"/>
      <c r="H723" s="445"/>
      <c r="I723" s="166">
        <f>SUM(J723:Q723)</f>
        <v>40281</v>
      </c>
      <c r="J723" s="356"/>
      <c r="K723" s="356"/>
      <c r="L723" s="354">
        <v>40281</v>
      </c>
      <c r="M723" s="356"/>
      <c r="N723" s="353"/>
      <c r="P723" s="351"/>
    </row>
    <row r="724" spans="1:16" s="351" customFormat="1" ht="18" customHeight="1">
      <c r="A724" s="306">
        <v>717</v>
      </c>
      <c r="B724" s="467"/>
      <c r="C724" s="344">
        <v>139</v>
      </c>
      <c r="D724" s="452" t="s">
        <v>605</v>
      </c>
      <c r="E724" s="1258"/>
      <c r="F724" s="1258"/>
      <c r="G724" s="1282">
        <v>2400</v>
      </c>
      <c r="H724" s="445" t="s">
        <v>231</v>
      </c>
      <c r="I724" s="347"/>
      <c r="J724" s="356"/>
      <c r="K724" s="356"/>
      <c r="L724" s="356"/>
      <c r="M724" s="356"/>
      <c r="N724" s="353"/>
    </row>
    <row r="725" spans="1:16" s="384" customFormat="1" ht="18" customHeight="1">
      <c r="A725" s="306">
        <v>718</v>
      </c>
      <c r="B725" s="448"/>
      <c r="C725" s="344">
        <v>140</v>
      </c>
      <c r="D725" s="439" t="s">
        <v>606</v>
      </c>
      <c r="E725" s="1256"/>
      <c r="F725" s="1271"/>
      <c r="G725" s="1281"/>
      <c r="H725" s="445" t="s">
        <v>231</v>
      </c>
      <c r="I725" s="347"/>
      <c r="J725" s="440"/>
      <c r="K725" s="440"/>
      <c r="L725" s="356"/>
      <c r="M725" s="440"/>
      <c r="N725" s="441"/>
      <c r="P725" s="351"/>
    </row>
    <row r="726" spans="1:16" s="384" customFormat="1" ht="22.5" customHeight="1">
      <c r="A726" s="306">
        <v>719</v>
      </c>
      <c r="B726" s="448"/>
      <c r="C726" s="344">
        <v>141</v>
      </c>
      <c r="D726" s="358" t="s">
        <v>607</v>
      </c>
      <c r="E726" s="1256"/>
      <c r="F726" s="1271"/>
      <c r="G726" s="1281"/>
      <c r="H726" s="445" t="s">
        <v>231</v>
      </c>
      <c r="I726" s="347"/>
      <c r="J726" s="440"/>
      <c r="K726" s="440"/>
      <c r="L726" s="356"/>
      <c r="M726" s="440"/>
      <c r="N726" s="441"/>
      <c r="P726" s="351"/>
    </row>
    <row r="727" spans="1:16" s="384" customFormat="1" ht="18" customHeight="1">
      <c r="A727" s="306">
        <v>720</v>
      </c>
      <c r="B727" s="448"/>
      <c r="C727" s="344"/>
      <c r="D727" s="345" t="s">
        <v>198</v>
      </c>
      <c r="E727" s="1256"/>
      <c r="F727" s="1271">
        <v>25000</v>
      </c>
      <c r="G727" s="1281">
        <v>19455</v>
      </c>
      <c r="H727" s="445"/>
      <c r="I727" s="347">
        <f>SUM(J727:N727)</f>
        <v>20000</v>
      </c>
      <c r="J727" s="440"/>
      <c r="K727" s="440"/>
      <c r="L727" s="419"/>
      <c r="M727" s="440"/>
      <c r="N727" s="403">
        <v>20000</v>
      </c>
      <c r="P727" s="351"/>
    </row>
    <row r="728" spans="1:16" s="384" customFormat="1" ht="18" customHeight="1">
      <c r="A728" s="306">
        <v>721</v>
      </c>
      <c r="B728" s="448"/>
      <c r="C728" s="344"/>
      <c r="D728" s="163" t="s">
        <v>765</v>
      </c>
      <c r="E728" s="1256"/>
      <c r="F728" s="1271"/>
      <c r="G728" s="1281"/>
      <c r="H728" s="445"/>
      <c r="I728" s="340">
        <f>SUM(J728:N728)</f>
        <v>20000</v>
      </c>
      <c r="J728" s="354"/>
      <c r="K728" s="354"/>
      <c r="L728" s="352"/>
      <c r="M728" s="354"/>
      <c r="N728" s="471">
        <v>20000</v>
      </c>
      <c r="P728" s="351"/>
    </row>
    <row r="729" spans="1:16" s="384" customFormat="1" ht="18" customHeight="1">
      <c r="A729" s="306">
        <v>722</v>
      </c>
      <c r="B729" s="448"/>
      <c r="C729" s="344"/>
      <c r="D729" s="165" t="s">
        <v>1022</v>
      </c>
      <c r="E729" s="1256"/>
      <c r="F729" s="1271"/>
      <c r="G729" s="1281"/>
      <c r="H729" s="445"/>
      <c r="I729" s="166">
        <f>SUM(J729:Q729)</f>
        <v>19868</v>
      </c>
      <c r="J729" s="440"/>
      <c r="K729" s="440"/>
      <c r="L729" s="419"/>
      <c r="M729" s="440"/>
      <c r="N729" s="1409">
        <v>19868</v>
      </c>
      <c r="P729" s="351"/>
    </row>
    <row r="730" spans="1:16" s="384" customFormat="1" ht="18" customHeight="1">
      <c r="A730" s="306">
        <v>723</v>
      </c>
      <c r="B730" s="443"/>
      <c r="C730" s="344">
        <v>142</v>
      </c>
      <c r="D730" s="439" t="s">
        <v>608</v>
      </c>
      <c r="E730" s="1258"/>
      <c r="F730" s="375"/>
      <c r="G730" s="1284">
        <v>1000</v>
      </c>
      <c r="H730" s="445" t="s">
        <v>231</v>
      </c>
      <c r="I730" s="347"/>
      <c r="J730" s="378"/>
      <c r="K730" s="378"/>
      <c r="L730" s="349"/>
      <c r="M730" s="378"/>
      <c r="N730" s="446"/>
      <c r="P730" s="351"/>
    </row>
    <row r="731" spans="1:16" s="384" customFormat="1" ht="18" customHeight="1">
      <c r="A731" s="306">
        <v>724</v>
      </c>
      <c r="B731" s="443"/>
      <c r="C731" s="344">
        <v>143</v>
      </c>
      <c r="D731" s="472" t="s">
        <v>609</v>
      </c>
      <c r="E731" s="1278"/>
      <c r="F731" s="375"/>
      <c r="G731" s="1284">
        <v>1500</v>
      </c>
      <c r="H731" s="445" t="s">
        <v>231</v>
      </c>
      <c r="I731" s="347"/>
      <c r="J731" s="378"/>
      <c r="K731" s="378"/>
      <c r="L731" s="349"/>
      <c r="M731" s="378"/>
      <c r="N731" s="446"/>
      <c r="P731" s="351"/>
    </row>
    <row r="732" spans="1:16" s="384" customFormat="1" ht="18" customHeight="1">
      <c r="A732" s="306">
        <v>725</v>
      </c>
      <c r="B732" s="443"/>
      <c r="C732" s="344">
        <v>144</v>
      </c>
      <c r="D732" s="439" t="s">
        <v>610</v>
      </c>
      <c r="E732" s="1278"/>
      <c r="F732" s="375"/>
      <c r="G732" s="1284">
        <v>15000</v>
      </c>
      <c r="H732" s="445" t="s">
        <v>231</v>
      </c>
      <c r="I732" s="347"/>
      <c r="J732" s="378"/>
      <c r="K732" s="378"/>
      <c r="L732" s="349"/>
      <c r="M732" s="378"/>
      <c r="N732" s="446"/>
      <c r="P732" s="351"/>
    </row>
    <row r="733" spans="1:16" s="384" customFormat="1" ht="21.75" customHeight="1">
      <c r="A733" s="306">
        <v>726</v>
      </c>
      <c r="B733" s="443"/>
      <c r="C733" s="344">
        <v>145</v>
      </c>
      <c r="D733" s="358" t="s">
        <v>611</v>
      </c>
      <c r="E733" s="1278"/>
      <c r="F733" s="375"/>
      <c r="G733" s="1284">
        <v>6000</v>
      </c>
      <c r="H733" s="445" t="s">
        <v>231</v>
      </c>
      <c r="I733" s="347"/>
      <c r="J733" s="378"/>
      <c r="K733" s="378"/>
      <c r="L733" s="349"/>
      <c r="M733" s="378"/>
      <c r="N733" s="446"/>
      <c r="P733" s="351"/>
    </row>
    <row r="734" spans="1:16" s="384" customFormat="1" ht="18" customHeight="1">
      <c r="A734" s="306">
        <v>727</v>
      </c>
      <c r="B734" s="443"/>
      <c r="C734" s="344"/>
      <c r="D734" s="473" t="s">
        <v>198</v>
      </c>
      <c r="E734" s="1258"/>
      <c r="F734" s="375"/>
      <c r="G734" s="1284"/>
      <c r="H734" s="445"/>
      <c r="I734" s="347">
        <f>SUM(J734:N734)</f>
        <v>10000</v>
      </c>
      <c r="J734" s="378"/>
      <c r="K734" s="378"/>
      <c r="L734" s="349"/>
      <c r="M734" s="378"/>
      <c r="N734" s="474">
        <v>10000</v>
      </c>
      <c r="P734" s="351"/>
    </row>
    <row r="735" spans="1:16" s="384" customFormat="1" ht="18" customHeight="1">
      <c r="A735" s="306">
        <v>728</v>
      </c>
      <c r="B735" s="443"/>
      <c r="C735" s="344"/>
      <c r="D735" s="163" t="s">
        <v>765</v>
      </c>
      <c r="E735" s="1258"/>
      <c r="F735" s="375"/>
      <c r="G735" s="1284"/>
      <c r="H735" s="445"/>
      <c r="I735" s="340">
        <f>SUM(J735:N735)</f>
        <v>6400</v>
      </c>
      <c r="J735" s="364"/>
      <c r="K735" s="364"/>
      <c r="L735" s="362"/>
      <c r="M735" s="364"/>
      <c r="N735" s="475">
        <v>6400</v>
      </c>
      <c r="P735" s="351"/>
    </row>
    <row r="736" spans="1:16" s="384" customFormat="1" ht="18" customHeight="1">
      <c r="A736" s="306">
        <v>729</v>
      </c>
      <c r="B736" s="443"/>
      <c r="C736" s="344"/>
      <c r="D736" s="165" t="s">
        <v>1021</v>
      </c>
      <c r="E736" s="1258"/>
      <c r="F736" s="375"/>
      <c r="G736" s="1284"/>
      <c r="H736" s="445"/>
      <c r="I736" s="166">
        <f>SUM(J736:Q736)</f>
        <v>6400</v>
      </c>
      <c r="J736" s="378"/>
      <c r="K736" s="378"/>
      <c r="L736" s="349"/>
      <c r="M736" s="378"/>
      <c r="N736" s="476">
        <v>6400</v>
      </c>
      <c r="P736" s="351"/>
    </row>
    <row r="737" spans="1:16" s="384" customFormat="1" ht="21.75" customHeight="1">
      <c r="A737" s="306">
        <v>730</v>
      </c>
      <c r="B737" s="443"/>
      <c r="C737" s="344">
        <v>146</v>
      </c>
      <c r="D737" s="477" t="s">
        <v>612</v>
      </c>
      <c r="E737" s="1258"/>
      <c r="F737" s="375"/>
      <c r="G737" s="1284">
        <v>1650</v>
      </c>
      <c r="H737" s="445" t="s">
        <v>231</v>
      </c>
      <c r="I737" s="347"/>
      <c r="J737" s="378"/>
      <c r="K737" s="378"/>
      <c r="L737" s="349"/>
      <c r="M737" s="378"/>
      <c r="N737" s="446"/>
      <c r="P737" s="351"/>
    </row>
    <row r="738" spans="1:16" s="384" customFormat="1" ht="18" customHeight="1">
      <c r="A738" s="306">
        <v>731</v>
      </c>
      <c r="B738" s="443"/>
      <c r="C738" s="344"/>
      <c r="D738" s="473" t="s">
        <v>198</v>
      </c>
      <c r="E738" s="1258"/>
      <c r="F738" s="375"/>
      <c r="G738" s="1279"/>
      <c r="H738" s="445"/>
      <c r="I738" s="347">
        <f>SUM(J738:N738)</f>
        <v>1650</v>
      </c>
      <c r="J738" s="378"/>
      <c r="K738" s="378"/>
      <c r="L738" s="349"/>
      <c r="M738" s="378"/>
      <c r="N738" s="474">
        <v>1650</v>
      </c>
      <c r="P738" s="351"/>
    </row>
    <row r="739" spans="1:16" s="384" customFormat="1" ht="18" customHeight="1">
      <c r="A739" s="306">
        <v>732</v>
      </c>
      <c r="B739" s="443"/>
      <c r="C739" s="344"/>
      <c r="D739" s="163" t="s">
        <v>765</v>
      </c>
      <c r="E739" s="1258"/>
      <c r="F739" s="375"/>
      <c r="G739" s="1279"/>
      <c r="H739" s="445"/>
      <c r="I739" s="340">
        <f>SUM(J739:N739)</f>
        <v>1650</v>
      </c>
      <c r="J739" s="364"/>
      <c r="K739" s="364"/>
      <c r="L739" s="362"/>
      <c r="M739" s="364"/>
      <c r="N739" s="475">
        <v>1650</v>
      </c>
      <c r="P739" s="351"/>
    </row>
    <row r="740" spans="1:16" s="384" customFormat="1" ht="18" customHeight="1">
      <c r="A740" s="306">
        <v>733</v>
      </c>
      <c r="B740" s="443"/>
      <c r="C740" s="344"/>
      <c r="D740" s="165" t="s">
        <v>1022</v>
      </c>
      <c r="E740" s="1258"/>
      <c r="F740" s="375"/>
      <c r="G740" s="1279"/>
      <c r="H740" s="445"/>
      <c r="I740" s="166">
        <f>SUM(J740:Q740)</f>
        <v>1650</v>
      </c>
      <c r="J740" s="378"/>
      <c r="K740" s="378"/>
      <c r="L740" s="349"/>
      <c r="M740" s="378"/>
      <c r="N740" s="476">
        <v>1650</v>
      </c>
      <c r="P740" s="351"/>
    </row>
    <row r="741" spans="1:16" s="384" customFormat="1" ht="21.75" customHeight="1">
      <c r="A741" s="306">
        <v>734</v>
      </c>
      <c r="B741" s="443"/>
      <c r="C741" s="344">
        <v>147</v>
      </c>
      <c r="D741" s="477" t="s">
        <v>613</v>
      </c>
      <c r="E741" s="1258"/>
      <c r="F741" s="375"/>
      <c r="G741" s="1279"/>
      <c r="H741" s="445" t="s">
        <v>80</v>
      </c>
      <c r="I741" s="347"/>
      <c r="J741" s="378"/>
      <c r="K741" s="378"/>
      <c r="L741" s="349"/>
      <c r="M741" s="378"/>
      <c r="N741" s="446"/>
      <c r="P741" s="351"/>
    </row>
    <row r="742" spans="1:16" s="384" customFormat="1" ht="18" customHeight="1">
      <c r="A742" s="306">
        <v>735</v>
      </c>
      <c r="B742" s="443"/>
      <c r="C742" s="344"/>
      <c r="D742" s="473" t="s">
        <v>198</v>
      </c>
      <c r="E742" s="1258"/>
      <c r="F742" s="375"/>
      <c r="G742" s="1279"/>
      <c r="H742" s="445"/>
      <c r="I742" s="347">
        <f>SUM(J742:N742)</f>
        <v>43000</v>
      </c>
      <c r="J742" s="378"/>
      <c r="K742" s="378"/>
      <c r="L742" s="349">
        <f>30000+13000</f>
        <v>43000</v>
      </c>
      <c r="M742" s="478"/>
      <c r="N742" s="446"/>
      <c r="P742" s="351"/>
    </row>
    <row r="743" spans="1:16" s="384" customFormat="1" ht="18" customHeight="1">
      <c r="A743" s="306">
        <v>736</v>
      </c>
      <c r="B743" s="443"/>
      <c r="C743" s="344"/>
      <c r="D743" s="163" t="s">
        <v>765</v>
      </c>
      <c r="E743" s="1258"/>
      <c r="F743" s="375"/>
      <c r="G743" s="1279"/>
      <c r="H743" s="445"/>
      <c r="I743" s="340">
        <f>SUM(J743:N743)</f>
        <v>95676</v>
      </c>
      <c r="J743" s="364"/>
      <c r="K743" s="364"/>
      <c r="L743" s="362">
        <v>95676</v>
      </c>
      <c r="M743" s="478"/>
      <c r="N743" s="446"/>
      <c r="P743" s="351"/>
    </row>
    <row r="744" spans="1:16" s="384" customFormat="1" ht="18" customHeight="1">
      <c r="A744" s="306">
        <v>737</v>
      </c>
      <c r="B744" s="443"/>
      <c r="C744" s="344"/>
      <c r="D744" s="165" t="s">
        <v>1021</v>
      </c>
      <c r="E744" s="1258"/>
      <c r="F744" s="375"/>
      <c r="G744" s="1279"/>
      <c r="H744" s="445"/>
      <c r="I744" s="166">
        <f>SUM(J744:Q744)</f>
        <v>1940</v>
      </c>
      <c r="J744" s="378"/>
      <c r="K744" s="378"/>
      <c r="L744" s="364">
        <v>1940</v>
      </c>
      <c r="M744" s="478"/>
      <c r="N744" s="446"/>
      <c r="P744" s="351"/>
    </row>
    <row r="745" spans="1:16" s="384" customFormat="1" ht="21.75" customHeight="1">
      <c r="A745" s="306">
        <v>738</v>
      </c>
      <c r="B745" s="443"/>
      <c r="C745" s="344">
        <v>148</v>
      </c>
      <c r="D745" s="477" t="s">
        <v>614</v>
      </c>
      <c r="E745" s="1258"/>
      <c r="F745" s="375"/>
      <c r="G745" s="1279"/>
      <c r="H745" s="445" t="s">
        <v>231</v>
      </c>
      <c r="I745" s="347"/>
      <c r="J745" s="378"/>
      <c r="K745" s="378"/>
      <c r="L745" s="349"/>
      <c r="M745" s="378"/>
      <c r="N745" s="446"/>
      <c r="P745" s="351"/>
    </row>
    <row r="746" spans="1:16" s="384" customFormat="1" ht="18" customHeight="1">
      <c r="A746" s="306">
        <v>739</v>
      </c>
      <c r="B746" s="443"/>
      <c r="C746" s="344"/>
      <c r="D746" s="473" t="s">
        <v>198</v>
      </c>
      <c r="E746" s="1258"/>
      <c r="F746" s="375"/>
      <c r="G746" s="1279"/>
      <c r="H746" s="445"/>
      <c r="I746" s="347">
        <f>SUM(J746:N746)</f>
        <v>20500</v>
      </c>
      <c r="J746" s="378"/>
      <c r="K746" s="378"/>
      <c r="L746" s="349">
        <f>10000+10500</f>
        <v>20500</v>
      </c>
      <c r="M746" s="378"/>
      <c r="N746" s="446"/>
      <c r="P746" s="351"/>
    </row>
    <row r="747" spans="1:16" s="384" customFormat="1" ht="18" customHeight="1">
      <c r="A747" s="306">
        <v>740</v>
      </c>
      <c r="B747" s="443"/>
      <c r="C747" s="344"/>
      <c r="D747" s="163" t="s">
        <v>765</v>
      </c>
      <c r="E747" s="1258"/>
      <c r="F747" s="375"/>
      <c r="G747" s="1279"/>
      <c r="H747" s="445"/>
      <c r="I747" s="340">
        <f>SUM(J747:N747)</f>
        <v>20500</v>
      </c>
      <c r="J747" s="364"/>
      <c r="K747" s="364"/>
      <c r="L747" s="362">
        <v>20500</v>
      </c>
      <c r="M747" s="378"/>
      <c r="N747" s="446"/>
      <c r="P747" s="351"/>
    </row>
    <row r="748" spans="1:16" s="384" customFormat="1" ht="18" customHeight="1">
      <c r="A748" s="306">
        <v>741</v>
      </c>
      <c r="B748" s="443"/>
      <c r="C748" s="344"/>
      <c r="D748" s="165" t="s">
        <v>1022</v>
      </c>
      <c r="E748" s="1258"/>
      <c r="F748" s="375"/>
      <c r="G748" s="1279"/>
      <c r="H748" s="445"/>
      <c r="I748" s="166">
        <f>SUM(J748:Q748)</f>
        <v>20320</v>
      </c>
      <c r="J748" s="378"/>
      <c r="K748" s="378"/>
      <c r="L748" s="364">
        <v>20320</v>
      </c>
      <c r="M748" s="378"/>
      <c r="N748" s="446"/>
      <c r="P748" s="351"/>
    </row>
    <row r="749" spans="1:16" s="384" customFormat="1" ht="21.75" customHeight="1">
      <c r="A749" s="306">
        <v>742</v>
      </c>
      <c r="B749" s="443"/>
      <c r="C749" s="344">
        <v>149</v>
      </c>
      <c r="D749" s="477" t="s">
        <v>615</v>
      </c>
      <c r="E749" s="1258"/>
      <c r="F749" s="375"/>
      <c r="G749" s="1279"/>
      <c r="H749" s="445" t="s">
        <v>231</v>
      </c>
      <c r="I749" s="347"/>
      <c r="J749" s="378"/>
      <c r="K749" s="378"/>
      <c r="L749" s="349"/>
      <c r="M749" s="378"/>
      <c r="N749" s="446"/>
      <c r="P749" s="351"/>
    </row>
    <row r="750" spans="1:16" s="384" customFormat="1" ht="18" customHeight="1">
      <c r="A750" s="306">
        <v>743</v>
      </c>
      <c r="B750" s="443"/>
      <c r="C750" s="344"/>
      <c r="D750" s="473" t="s">
        <v>198</v>
      </c>
      <c r="E750" s="1258"/>
      <c r="F750" s="375"/>
      <c r="G750" s="1279"/>
      <c r="H750" s="445"/>
      <c r="I750" s="347">
        <f>SUM(J750:N750)</f>
        <v>5000</v>
      </c>
      <c r="J750" s="378"/>
      <c r="K750" s="378"/>
      <c r="L750" s="349">
        <v>5000</v>
      </c>
      <c r="M750" s="378"/>
      <c r="N750" s="446"/>
      <c r="P750" s="351"/>
    </row>
    <row r="751" spans="1:16" s="384" customFormat="1" ht="18" customHeight="1">
      <c r="A751" s="306">
        <v>744</v>
      </c>
      <c r="B751" s="443"/>
      <c r="C751" s="344"/>
      <c r="D751" s="163" t="s">
        <v>765</v>
      </c>
      <c r="E751" s="1258"/>
      <c r="F751" s="375"/>
      <c r="G751" s="1279"/>
      <c r="H751" s="445"/>
      <c r="I751" s="340">
        <f>SUM(J751:N751)</f>
        <v>10000</v>
      </c>
      <c r="J751" s="364"/>
      <c r="K751" s="364"/>
      <c r="L751" s="362">
        <v>10000</v>
      </c>
      <c r="M751" s="378"/>
      <c r="N751" s="446"/>
      <c r="P751" s="351"/>
    </row>
    <row r="752" spans="1:16" s="384" customFormat="1" ht="18" customHeight="1">
      <c r="A752" s="306">
        <v>745</v>
      </c>
      <c r="B752" s="443"/>
      <c r="C752" s="344"/>
      <c r="D752" s="165" t="s">
        <v>1021</v>
      </c>
      <c r="E752" s="1258"/>
      <c r="F752" s="375"/>
      <c r="G752" s="1279"/>
      <c r="H752" s="445"/>
      <c r="I752" s="166">
        <f>SUM(J752:Q752)</f>
        <v>9167</v>
      </c>
      <c r="J752" s="378"/>
      <c r="K752" s="378"/>
      <c r="L752" s="364">
        <v>9167</v>
      </c>
      <c r="M752" s="378"/>
      <c r="N752" s="446"/>
      <c r="P752" s="351"/>
    </row>
    <row r="753" spans="1:16" s="384" customFormat="1" ht="21.75" customHeight="1">
      <c r="A753" s="306">
        <v>746</v>
      </c>
      <c r="B753" s="443"/>
      <c r="C753" s="344">
        <v>150</v>
      </c>
      <c r="D753" s="477" t="s">
        <v>616</v>
      </c>
      <c r="E753" s="1258"/>
      <c r="F753" s="375"/>
      <c r="G753" s="1284">
        <v>1500</v>
      </c>
      <c r="H753" s="445" t="s">
        <v>231</v>
      </c>
      <c r="I753" s="347"/>
      <c r="J753" s="378"/>
      <c r="K753" s="378"/>
      <c r="L753" s="349"/>
      <c r="M753" s="378"/>
      <c r="N753" s="446"/>
      <c r="P753" s="351"/>
    </row>
    <row r="754" spans="1:16" s="384" customFormat="1" ht="18" customHeight="1">
      <c r="A754" s="306">
        <v>747</v>
      </c>
      <c r="B754" s="443"/>
      <c r="C754" s="344"/>
      <c r="D754" s="473" t="s">
        <v>198</v>
      </c>
      <c r="E754" s="1258"/>
      <c r="F754" s="375"/>
      <c r="G754" s="1279"/>
      <c r="H754" s="445"/>
      <c r="I754" s="347">
        <f>SUM(J754:N754)</f>
        <v>3000</v>
      </c>
      <c r="J754" s="378"/>
      <c r="K754" s="378"/>
      <c r="L754" s="349"/>
      <c r="M754" s="378"/>
      <c r="N754" s="474">
        <v>3000</v>
      </c>
      <c r="P754" s="351"/>
    </row>
    <row r="755" spans="1:16" s="384" customFormat="1" ht="18" customHeight="1">
      <c r="A755" s="306">
        <v>748</v>
      </c>
      <c r="B755" s="443"/>
      <c r="C755" s="344"/>
      <c r="D755" s="163" t="s">
        <v>765</v>
      </c>
      <c r="E755" s="1258"/>
      <c r="F755" s="375"/>
      <c r="G755" s="1279"/>
      <c r="H755" s="445"/>
      <c r="I755" s="340">
        <f>SUM(J755:N755)</f>
        <v>3000</v>
      </c>
      <c r="J755" s="364"/>
      <c r="K755" s="364"/>
      <c r="L755" s="362"/>
      <c r="M755" s="364"/>
      <c r="N755" s="475">
        <v>3000</v>
      </c>
      <c r="P755" s="351"/>
    </row>
    <row r="756" spans="1:16" s="384" customFormat="1" ht="18" customHeight="1">
      <c r="A756" s="306">
        <v>749</v>
      </c>
      <c r="B756" s="443"/>
      <c r="C756" s="344"/>
      <c r="D756" s="165" t="s">
        <v>1022</v>
      </c>
      <c r="E756" s="1258"/>
      <c r="F756" s="375"/>
      <c r="G756" s="1279"/>
      <c r="H756" s="445"/>
      <c r="I756" s="166">
        <f>SUM(J756:Q756)</f>
        <v>3000</v>
      </c>
      <c r="J756" s="378"/>
      <c r="K756" s="378"/>
      <c r="L756" s="349"/>
      <c r="M756" s="378"/>
      <c r="N756" s="476">
        <v>3000</v>
      </c>
      <c r="P756" s="351"/>
    </row>
    <row r="757" spans="1:16" s="384" customFormat="1" ht="21.75" customHeight="1">
      <c r="A757" s="306">
        <v>750</v>
      </c>
      <c r="B757" s="443"/>
      <c r="C757" s="344">
        <v>151</v>
      </c>
      <c r="D757" s="477" t="s">
        <v>15</v>
      </c>
      <c r="E757" s="1258"/>
      <c r="F757" s="375"/>
      <c r="G757" s="1279"/>
      <c r="H757" s="445" t="s">
        <v>231</v>
      </c>
      <c r="I757" s="347"/>
      <c r="J757" s="378"/>
      <c r="K757" s="378"/>
      <c r="L757" s="349"/>
      <c r="M757" s="378"/>
      <c r="N757" s="446"/>
      <c r="P757" s="351"/>
    </row>
    <row r="758" spans="1:16" s="384" customFormat="1" ht="18" customHeight="1">
      <c r="A758" s="306">
        <v>751</v>
      </c>
      <c r="B758" s="443"/>
      <c r="C758" s="344"/>
      <c r="D758" s="473" t="s">
        <v>198</v>
      </c>
      <c r="E758" s="1258"/>
      <c r="F758" s="375"/>
      <c r="G758" s="1279"/>
      <c r="H758" s="447"/>
      <c r="I758" s="347">
        <f>SUM(J758:N758)</f>
        <v>14705</v>
      </c>
      <c r="J758" s="378"/>
      <c r="K758" s="378"/>
      <c r="L758" s="349">
        <v>14705</v>
      </c>
      <c r="M758" s="378"/>
      <c r="N758" s="446"/>
      <c r="P758" s="351"/>
    </row>
    <row r="759" spans="1:16" s="384" customFormat="1" ht="18" customHeight="1">
      <c r="A759" s="306">
        <v>752</v>
      </c>
      <c r="B759" s="443"/>
      <c r="C759" s="344"/>
      <c r="D759" s="163" t="s">
        <v>765</v>
      </c>
      <c r="E759" s="1258"/>
      <c r="F759" s="375"/>
      <c r="G759" s="1279"/>
      <c r="H759" s="445"/>
      <c r="I759" s="340">
        <f>SUM(J759:N759)</f>
        <v>0</v>
      </c>
      <c r="J759" s="364"/>
      <c r="K759" s="364"/>
      <c r="L759" s="362">
        <v>0</v>
      </c>
      <c r="M759" s="378"/>
      <c r="N759" s="446"/>
      <c r="P759" s="351"/>
    </row>
    <row r="760" spans="1:16" s="384" customFormat="1" ht="18" customHeight="1">
      <c r="A760" s="306">
        <v>753</v>
      </c>
      <c r="B760" s="443"/>
      <c r="C760" s="344"/>
      <c r="D760" s="165" t="s">
        <v>1021</v>
      </c>
      <c r="E760" s="1258"/>
      <c r="F760" s="375"/>
      <c r="G760" s="1279"/>
      <c r="H760" s="445"/>
      <c r="I760" s="166">
        <f>SUM(J760:Q760)</f>
        <v>0</v>
      </c>
      <c r="J760" s="378"/>
      <c r="K760" s="378"/>
      <c r="L760" s="364"/>
      <c r="M760" s="378"/>
      <c r="N760" s="446"/>
      <c r="P760" s="351"/>
    </row>
    <row r="761" spans="1:16" s="384" customFormat="1" ht="21.75" customHeight="1">
      <c r="A761" s="306">
        <v>754</v>
      </c>
      <c r="B761" s="443"/>
      <c r="C761" s="344">
        <v>152</v>
      </c>
      <c r="D761" s="477" t="s">
        <v>617</v>
      </c>
      <c r="E761" s="1258"/>
      <c r="F761" s="375"/>
      <c r="G761" s="1279"/>
      <c r="H761" s="445" t="s">
        <v>231</v>
      </c>
      <c r="I761" s="347"/>
      <c r="J761" s="378"/>
      <c r="K761" s="378"/>
      <c r="L761" s="349"/>
      <c r="M761" s="378"/>
      <c r="N761" s="446"/>
      <c r="P761" s="351"/>
    </row>
    <row r="762" spans="1:16" s="384" customFormat="1" ht="18" customHeight="1">
      <c r="A762" s="306">
        <v>755</v>
      </c>
      <c r="B762" s="443"/>
      <c r="C762" s="344"/>
      <c r="D762" s="473" t="s">
        <v>198</v>
      </c>
      <c r="E762" s="1258"/>
      <c r="F762" s="375"/>
      <c r="G762" s="1279"/>
      <c r="H762" s="447"/>
      <c r="I762" s="347">
        <f>SUM(J762:N762)</f>
        <v>11695</v>
      </c>
      <c r="J762" s="378"/>
      <c r="K762" s="378"/>
      <c r="L762" s="349"/>
      <c r="M762" s="378"/>
      <c r="N762" s="474">
        <v>11695</v>
      </c>
      <c r="P762" s="351"/>
    </row>
    <row r="763" spans="1:16" s="384" customFormat="1" ht="18" customHeight="1">
      <c r="A763" s="306">
        <v>756</v>
      </c>
      <c r="B763" s="443"/>
      <c r="C763" s="344"/>
      <c r="D763" s="163" t="s">
        <v>765</v>
      </c>
      <c r="E763" s="1258"/>
      <c r="F763" s="375"/>
      <c r="G763" s="1279"/>
      <c r="H763" s="445"/>
      <c r="I763" s="340">
        <f>SUM(J763:N763)</f>
        <v>11695</v>
      </c>
      <c r="J763" s="364"/>
      <c r="K763" s="364"/>
      <c r="L763" s="362"/>
      <c r="M763" s="364"/>
      <c r="N763" s="475">
        <v>11695</v>
      </c>
      <c r="P763" s="351"/>
    </row>
    <row r="764" spans="1:16" s="384" customFormat="1" ht="18" customHeight="1">
      <c r="A764" s="306">
        <v>757</v>
      </c>
      <c r="B764" s="443"/>
      <c r="C764" s="344"/>
      <c r="D764" s="165" t="s">
        <v>1022</v>
      </c>
      <c r="E764" s="1258"/>
      <c r="F764" s="375"/>
      <c r="G764" s="1279"/>
      <c r="H764" s="445"/>
      <c r="I764" s="166">
        <f>SUM(J764:Q764)</f>
        <v>11695</v>
      </c>
      <c r="J764" s="378"/>
      <c r="K764" s="378"/>
      <c r="L764" s="349"/>
      <c r="M764" s="378"/>
      <c r="N764" s="476">
        <v>11695</v>
      </c>
      <c r="P764" s="351"/>
    </row>
    <row r="765" spans="1:16" s="384" customFormat="1" ht="21.75" customHeight="1">
      <c r="A765" s="306">
        <v>758</v>
      </c>
      <c r="B765" s="443"/>
      <c r="C765" s="344">
        <v>153</v>
      </c>
      <c r="D765" s="477" t="s">
        <v>618</v>
      </c>
      <c r="E765" s="1258"/>
      <c r="F765" s="375"/>
      <c r="G765" s="1279"/>
      <c r="H765" s="445" t="s">
        <v>231</v>
      </c>
      <c r="I765" s="347"/>
      <c r="J765" s="378"/>
      <c r="K765" s="378"/>
      <c r="L765" s="349"/>
      <c r="M765" s="378"/>
      <c r="N765" s="446"/>
      <c r="P765" s="351"/>
    </row>
    <row r="766" spans="1:16" s="384" customFormat="1" ht="18" customHeight="1">
      <c r="A766" s="306">
        <v>759</v>
      </c>
      <c r="B766" s="443"/>
      <c r="C766" s="344"/>
      <c r="D766" s="473" t="s">
        <v>198</v>
      </c>
      <c r="E766" s="1258"/>
      <c r="F766" s="375"/>
      <c r="G766" s="1279"/>
      <c r="H766" s="447"/>
      <c r="I766" s="347">
        <f>SUM(J766:N766)</f>
        <v>10000</v>
      </c>
      <c r="J766" s="378"/>
      <c r="K766" s="378"/>
      <c r="L766" s="349">
        <v>10000</v>
      </c>
      <c r="M766" s="378"/>
      <c r="N766" s="446"/>
      <c r="P766" s="351"/>
    </row>
    <row r="767" spans="1:16" s="384" customFormat="1" ht="18" customHeight="1">
      <c r="A767" s="306">
        <v>760</v>
      </c>
      <c r="B767" s="443"/>
      <c r="C767" s="344"/>
      <c r="D767" s="163" t="s">
        <v>765</v>
      </c>
      <c r="E767" s="1258"/>
      <c r="F767" s="375"/>
      <c r="G767" s="1279"/>
      <c r="H767" s="445"/>
      <c r="I767" s="340">
        <f>SUM(J767:N767)</f>
        <v>5215</v>
      </c>
      <c r="J767" s="364"/>
      <c r="K767" s="364"/>
      <c r="L767" s="362">
        <v>5215</v>
      </c>
      <c r="M767" s="378"/>
      <c r="N767" s="446"/>
      <c r="P767" s="351"/>
    </row>
    <row r="768" spans="1:16" s="384" customFormat="1" ht="18" customHeight="1">
      <c r="A768" s="306">
        <v>761</v>
      </c>
      <c r="B768" s="443"/>
      <c r="C768" s="344"/>
      <c r="D768" s="165" t="s">
        <v>1021</v>
      </c>
      <c r="E768" s="1258"/>
      <c r="F768" s="375"/>
      <c r="G768" s="1279"/>
      <c r="H768" s="445"/>
      <c r="I768" s="166">
        <f>SUM(J768:Q768)</f>
        <v>5215</v>
      </c>
      <c r="J768" s="378"/>
      <c r="K768" s="378"/>
      <c r="L768" s="364">
        <v>5215</v>
      </c>
      <c r="M768" s="378"/>
      <c r="N768" s="446"/>
      <c r="P768" s="351"/>
    </row>
    <row r="769" spans="1:16" s="384" customFormat="1" ht="21.75" customHeight="1">
      <c r="A769" s="306">
        <v>762</v>
      </c>
      <c r="B769" s="443"/>
      <c r="C769" s="344">
        <v>154</v>
      </c>
      <c r="D769" s="477" t="s">
        <v>619</v>
      </c>
      <c r="E769" s="1258"/>
      <c r="F769" s="375"/>
      <c r="G769" s="1279"/>
      <c r="H769" s="445" t="s">
        <v>231</v>
      </c>
      <c r="I769" s="347"/>
      <c r="J769" s="378"/>
      <c r="K769" s="378"/>
      <c r="L769" s="349"/>
      <c r="M769" s="378"/>
      <c r="N769" s="446"/>
      <c r="P769" s="351"/>
    </row>
    <row r="770" spans="1:16" s="384" customFormat="1" ht="18" customHeight="1">
      <c r="A770" s="306">
        <v>763</v>
      </c>
      <c r="B770" s="443"/>
      <c r="C770" s="344"/>
      <c r="D770" s="473" t="s">
        <v>198</v>
      </c>
      <c r="E770" s="1258"/>
      <c r="F770" s="375"/>
      <c r="G770" s="1279"/>
      <c r="H770" s="447"/>
      <c r="I770" s="347">
        <f>SUM(J770:N770)</f>
        <v>1700</v>
      </c>
      <c r="J770" s="378"/>
      <c r="K770" s="378"/>
      <c r="L770" s="349">
        <v>1700</v>
      </c>
      <c r="M770" s="378"/>
      <c r="N770" s="446"/>
      <c r="P770" s="351"/>
    </row>
    <row r="771" spans="1:16" s="384" customFormat="1" ht="18" customHeight="1">
      <c r="A771" s="306">
        <v>764</v>
      </c>
      <c r="B771" s="443"/>
      <c r="C771" s="344"/>
      <c r="D771" s="163" t="s">
        <v>765</v>
      </c>
      <c r="E771" s="1258"/>
      <c r="F771" s="375"/>
      <c r="G771" s="1279"/>
      <c r="H771" s="445"/>
      <c r="I771" s="340">
        <f>SUM(J771:N771)</f>
        <v>0</v>
      </c>
      <c r="J771" s="364"/>
      <c r="K771" s="364"/>
      <c r="L771" s="362">
        <v>0</v>
      </c>
      <c r="M771" s="364"/>
      <c r="N771" s="475">
        <v>0</v>
      </c>
      <c r="P771" s="351"/>
    </row>
    <row r="772" spans="1:16" s="384" customFormat="1" ht="18" customHeight="1">
      <c r="A772" s="306">
        <v>765</v>
      </c>
      <c r="B772" s="443"/>
      <c r="C772" s="344"/>
      <c r="D772" s="165" t="s">
        <v>1021</v>
      </c>
      <c r="E772" s="1258"/>
      <c r="F772" s="375"/>
      <c r="G772" s="1279"/>
      <c r="H772" s="445"/>
      <c r="I772" s="166">
        <f>SUM(J772:Q772)</f>
        <v>0</v>
      </c>
      <c r="J772" s="378"/>
      <c r="K772" s="378"/>
      <c r="L772" s="361"/>
      <c r="M772" s="364"/>
      <c r="N772" s="476"/>
      <c r="P772" s="351"/>
    </row>
    <row r="773" spans="1:16" s="384" customFormat="1" ht="21.75" customHeight="1">
      <c r="A773" s="306">
        <v>766</v>
      </c>
      <c r="B773" s="443"/>
      <c r="C773" s="344">
        <v>155</v>
      </c>
      <c r="D773" s="477" t="s">
        <v>620</v>
      </c>
      <c r="E773" s="1258"/>
      <c r="F773" s="375"/>
      <c r="G773" s="1279"/>
      <c r="H773" s="445" t="s">
        <v>231</v>
      </c>
      <c r="I773" s="347"/>
      <c r="J773" s="378"/>
      <c r="K773" s="378"/>
      <c r="L773" s="349"/>
      <c r="M773" s="378"/>
      <c r="N773" s="446"/>
      <c r="P773" s="351"/>
    </row>
    <row r="774" spans="1:16" s="384" customFormat="1" ht="18" customHeight="1">
      <c r="A774" s="306">
        <v>767</v>
      </c>
      <c r="B774" s="443"/>
      <c r="C774" s="344"/>
      <c r="D774" s="473" t="s">
        <v>198</v>
      </c>
      <c r="E774" s="1258"/>
      <c r="F774" s="375"/>
      <c r="G774" s="1279"/>
      <c r="H774" s="447"/>
      <c r="I774" s="347">
        <f>SUM(J774:N774)</f>
        <v>500</v>
      </c>
      <c r="J774" s="378"/>
      <c r="K774" s="378"/>
      <c r="L774" s="349">
        <v>500</v>
      </c>
      <c r="M774" s="378"/>
      <c r="N774" s="446"/>
      <c r="P774" s="351"/>
    </row>
    <row r="775" spans="1:16" s="384" customFormat="1" ht="18" customHeight="1">
      <c r="A775" s="306">
        <v>768</v>
      </c>
      <c r="B775" s="443"/>
      <c r="C775" s="344"/>
      <c r="D775" s="163" t="s">
        <v>765</v>
      </c>
      <c r="E775" s="1258"/>
      <c r="F775" s="375"/>
      <c r="G775" s="1279"/>
      <c r="H775" s="447"/>
      <c r="I775" s="340">
        <f>SUM(J775:N775)</f>
        <v>500</v>
      </c>
      <c r="J775" s="365">
        <v>95</v>
      </c>
      <c r="K775" s="365">
        <v>40</v>
      </c>
      <c r="L775" s="362">
        <v>365</v>
      </c>
      <c r="M775" s="378"/>
      <c r="N775" s="446"/>
      <c r="P775" s="351"/>
    </row>
    <row r="776" spans="1:16" s="384" customFormat="1" ht="18" customHeight="1">
      <c r="A776" s="306">
        <v>769</v>
      </c>
      <c r="B776" s="443"/>
      <c r="C776" s="344"/>
      <c r="D776" s="165" t="s">
        <v>1021</v>
      </c>
      <c r="E776" s="1258"/>
      <c r="F776" s="375"/>
      <c r="G776" s="1279"/>
      <c r="H776" s="447"/>
      <c r="I776" s="166">
        <f>SUM(J776:Q776)</f>
        <v>466</v>
      </c>
      <c r="J776" s="364">
        <v>95</v>
      </c>
      <c r="K776" s="364">
        <v>40</v>
      </c>
      <c r="L776" s="364">
        <v>331</v>
      </c>
      <c r="M776" s="378"/>
      <c r="N776" s="446"/>
      <c r="P776" s="351"/>
    </row>
    <row r="777" spans="1:16" s="384" customFormat="1" ht="33.75" customHeight="1">
      <c r="A777" s="306">
        <v>770</v>
      </c>
      <c r="B777" s="443"/>
      <c r="C777" s="420">
        <v>156</v>
      </c>
      <c r="D777" s="479" t="s">
        <v>621</v>
      </c>
      <c r="E777" s="1258"/>
      <c r="F777" s="375"/>
      <c r="G777" s="1279"/>
      <c r="H777" s="480" t="s">
        <v>231</v>
      </c>
      <c r="I777" s="347"/>
      <c r="J777" s="378"/>
      <c r="K777" s="378"/>
      <c r="L777" s="349"/>
      <c r="M777" s="378"/>
      <c r="N777" s="446"/>
      <c r="P777" s="351"/>
    </row>
    <row r="778" spans="1:16" s="384" customFormat="1" ht="18" customHeight="1">
      <c r="A778" s="306">
        <v>771</v>
      </c>
      <c r="B778" s="443"/>
      <c r="C778" s="344"/>
      <c r="D778" s="481" t="s">
        <v>198</v>
      </c>
      <c r="E778" s="1258"/>
      <c r="F778" s="375"/>
      <c r="G778" s="1279"/>
      <c r="H778" s="447"/>
      <c r="I778" s="347">
        <f>SUM(J778:N778)</f>
        <v>22300</v>
      </c>
      <c r="J778" s="378"/>
      <c r="K778" s="378"/>
      <c r="L778" s="349">
        <v>22300</v>
      </c>
      <c r="M778" s="378"/>
      <c r="N778" s="446"/>
      <c r="P778" s="351"/>
    </row>
    <row r="779" spans="1:16" s="384" customFormat="1" ht="18" customHeight="1">
      <c r="A779" s="306">
        <v>772</v>
      </c>
      <c r="B779" s="443"/>
      <c r="C779" s="344"/>
      <c r="D779" s="163" t="s">
        <v>765</v>
      </c>
      <c r="E779" s="1258"/>
      <c r="F779" s="375"/>
      <c r="G779" s="1279"/>
      <c r="H779" s="445"/>
      <c r="I779" s="340">
        <f>SUM(J779:N779)</f>
        <v>22300</v>
      </c>
      <c r="J779" s="364"/>
      <c r="K779" s="364"/>
      <c r="L779" s="362">
        <v>22300</v>
      </c>
      <c r="M779" s="378"/>
      <c r="N779" s="446"/>
      <c r="P779" s="351"/>
    </row>
    <row r="780" spans="1:16" s="384" customFormat="1" ht="18" customHeight="1">
      <c r="A780" s="306">
        <v>773</v>
      </c>
      <c r="B780" s="443"/>
      <c r="C780" s="344"/>
      <c r="D780" s="165" t="s">
        <v>1022</v>
      </c>
      <c r="E780" s="1258"/>
      <c r="F780" s="375"/>
      <c r="G780" s="1279"/>
      <c r="H780" s="445"/>
      <c r="I780" s="166">
        <f>SUM(J780:Q780)</f>
        <v>0</v>
      </c>
      <c r="J780" s="378"/>
      <c r="K780" s="378"/>
      <c r="L780" s="349"/>
      <c r="M780" s="378"/>
      <c r="N780" s="446"/>
      <c r="P780" s="351"/>
    </row>
    <row r="781" spans="1:16" s="384" customFormat="1" ht="21.75" customHeight="1">
      <c r="A781" s="306">
        <v>774</v>
      </c>
      <c r="B781" s="443"/>
      <c r="C781" s="344">
        <v>157</v>
      </c>
      <c r="D781" s="479" t="s">
        <v>622</v>
      </c>
      <c r="E781" s="1258"/>
      <c r="F781" s="375"/>
      <c r="G781" s="1279"/>
      <c r="H781" s="445" t="s">
        <v>231</v>
      </c>
      <c r="I781" s="347"/>
      <c r="J781" s="378"/>
      <c r="K781" s="378"/>
      <c r="L781" s="349"/>
      <c r="M781" s="378"/>
      <c r="N781" s="446"/>
      <c r="P781" s="351"/>
    </row>
    <row r="782" spans="1:16" s="384" customFormat="1" ht="18" customHeight="1">
      <c r="A782" s="306">
        <v>775</v>
      </c>
      <c r="B782" s="443"/>
      <c r="C782" s="344"/>
      <c r="D782" s="481" t="s">
        <v>198</v>
      </c>
      <c r="E782" s="1258"/>
      <c r="F782" s="375"/>
      <c r="G782" s="1279"/>
      <c r="H782" s="447"/>
      <c r="I782" s="347">
        <f>SUM(J782:N782)</f>
        <v>500</v>
      </c>
      <c r="J782" s="378"/>
      <c r="K782" s="378"/>
      <c r="L782" s="349"/>
      <c r="M782" s="378"/>
      <c r="N782" s="474">
        <v>500</v>
      </c>
      <c r="P782" s="351"/>
    </row>
    <row r="783" spans="1:16" s="384" customFormat="1" ht="18" customHeight="1">
      <c r="A783" s="306">
        <v>776</v>
      </c>
      <c r="B783" s="443"/>
      <c r="C783" s="344"/>
      <c r="D783" s="163" t="s">
        <v>765</v>
      </c>
      <c r="E783" s="1258"/>
      <c r="F783" s="375"/>
      <c r="G783" s="1279"/>
      <c r="H783" s="445"/>
      <c r="I783" s="340">
        <f>SUM(J783:N783)</f>
        <v>900</v>
      </c>
      <c r="J783" s="364"/>
      <c r="K783" s="364"/>
      <c r="L783" s="362"/>
      <c r="M783" s="364"/>
      <c r="N783" s="475">
        <v>900</v>
      </c>
      <c r="P783" s="351"/>
    </row>
    <row r="784" spans="1:16" s="384" customFormat="1" ht="18" customHeight="1">
      <c r="A784" s="306">
        <v>777</v>
      </c>
      <c r="B784" s="443"/>
      <c r="C784" s="344"/>
      <c r="D784" s="165" t="s">
        <v>1021</v>
      </c>
      <c r="E784" s="1258"/>
      <c r="F784" s="375"/>
      <c r="G784" s="1279"/>
      <c r="H784" s="445"/>
      <c r="I784" s="166">
        <f>SUM(J784:Q784)</f>
        <v>900</v>
      </c>
      <c r="J784" s="378"/>
      <c r="K784" s="378"/>
      <c r="L784" s="349"/>
      <c r="M784" s="378"/>
      <c r="N784" s="476">
        <v>900</v>
      </c>
      <c r="P784" s="351"/>
    </row>
    <row r="785" spans="1:16" s="384" customFormat="1" ht="21.75" customHeight="1">
      <c r="A785" s="306">
        <v>778</v>
      </c>
      <c r="B785" s="443"/>
      <c r="C785" s="344">
        <v>158</v>
      </c>
      <c r="D785" s="479" t="s">
        <v>623</v>
      </c>
      <c r="E785" s="1258"/>
      <c r="F785" s="375"/>
      <c r="G785" s="1279"/>
      <c r="H785" s="445" t="s">
        <v>231</v>
      </c>
      <c r="I785" s="347"/>
      <c r="J785" s="378"/>
      <c r="K785" s="378"/>
      <c r="L785" s="349"/>
      <c r="M785" s="378"/>
      <c r="N785" s="474"/>
      <c r="P785" s="351"/>
    </row>
    <row r="786" spans="1:16" s="384" customFormat="1" ht="18" customHeight="1">
      <c r="A786" s="306">
        <v>779</v>
      </c>
      <c r="B786" s="443"/>
      <c r="C786" s="344"/>
      <c r="D786" s="481" t="s">
        <v>198</v>
      </c>
      <c r="E786" s="1258"/>
      <c r="F786" s="375"/>
      <c r="G786" s="1279"/>
      <c r="H786" s="447"/>
      <c r="I786" s="347">
        <f>SUM(J786:N786)</f>
        <v>20000</v>
      </c>
      <c r="J786" s="378"/>
      <c r="K786" s="378"/>
      <c r="L786" s="349"/>
      <c r="M786" s="378"/>
      <c r="N786" s="474">
        <v>20000</v>
      </c>
      <c r="P786" s="351"/>
    </row>
    <row r="787" spans="1:16" s="384" customFormat="1" ht="18" customHeight="1">
      <c r="A787" s="306">
        <v>780</v>
      </c>
      <c r="B787" s="443"/>
      <c r="C787" s="344"/>
      <c r="D787" s="163" t="s">
        <v>765</v>
      </c>
      <c r="E787" s="1258"/>
      <c r="F787" s="375"/>
      <c r="G787" s="1279"/>
      <c r="H787" s="445"/>
      <c r="I787" s="340">
        <f>SUM(J787:N787)</f>
        <v>20000</v>
      </c>
      <c r="J787" s="364"/>
      <c r="K787" s="364"/>
      <c r="L787" s="362"/>
      <c r="M787" s="364"/>
      <c r="N787" s="475">
        <v>20000</v>
      </c>
      <c r="P787" s="351"/>
    </row>
    <row r="788" spans="1:16" s="384" customFormat="1" ht="18" customHeight="1">
      <c r="A788" s="306">
        <v>781</v>
      </c>
      <c r="B788" s="443"/>
      <c r="C788" s="344"/>
      <c r="D788" s="165" t="s">
        <v>1022</v>
      </c>
      <c r="E788" s="1258"/>
      <c r="F788" s="375"/>
      <c r="G788" s="1279"/>
      <c r="H788" s="445"/>
      <c r="I788" s="166">
        <f>SUM(J788:Q788)</f>
        <v>20000</v>
      </c>
      <c r="J788" s="378"/>
      <c r="K788" s="378"/>
      <c r="L788" s="349"/>
      <c r="M788" s="378"/>
      <c r="N788" s="476">
        <v>20000</v>
      </c>
      <c r="P788" s="351"/>
    </row>
    <row r="789" spans="1:16" s="384" customFormat="1" ht="21.75" customHeight="1">
      <c r="A789" s="306">
        <v>782</v>
      </c>
      <c r="B789" s="443"/>
      <c r="C789" s="344">
        <v>159</v>
      </c>
      <c r="D789" s="479" t="s">
        <v>624</v>
      </c>
      <c r="E789" s="1258"/>
      <c r="F789" s="375"/>
      <c r="G789" s="1279"/>
      <c r="H789" s="445" t="s">
        <v>231</v>
      </c>
      <c r="I789" s="347"/>
      <c r="J789" s="378"/>
      <c r="K789" s="378"/>
      <c r="L789" s="349"/>
      <c r="M789" s="378"/>
      <c r="N789" s="474"/>
      <c r="P789" s="351"/>
    </row>
    <row r="790" spans="1:16" s="384" customFormat="1" ht="18" customHeight="1">
      <c r="A790" s="306">
        <v>783</v>
      </c>
      <c r="B790" s="443"/>
      <c r="C790" s="344"/>
      <c r="D790" s="481" t="s">
        <v>198</v>
      </c>
      <c r="E790" s="1258"/>
      <c r="F790" s="375"/>
      <c r="G790" s="1279"/>
      <c r="H790" s="447"/>
      <c r="I790" s="347">
        <f>SUM(J790:N790)</f>
        <v>1000</v>
      </c>
      <c r="J790" s="378"/>
      <c r="K790" s="378"/>
      <c r="L790" s="349"/>
      <c r="M790" s="378"/>
      <c r="N790" s="474">
        <v>1000</v>
      </c>
      <c r="P790" s="351"/>
    </row>
    <row r="791" spans="1:16" s="384" customFormat="1" ht="18" customHeight="1">
      <c r="A791" s="306">
        <v>784</v>
      </c>
      <c r="B791" s="443"/>
      <c r="C791" s="344"/>
      <c r="D791" s="163" t="s">
        <v>765</v>
      </c>
      <c r="E791" s="1258"/>
      <c r="F791" s="375"/>
      <c r="G791" s="1279"/>
      <c r="H791" s="445"/>
      <c r="I791" s="340">
        <f>SUM(J791:N791)</f>
        <v>1000</v>
      </c>
      <c r="J791" s="364"/>
      <c r="K791" s="364"/>
      <c r="L791" s="362"/>
      <c r="M791" s="364"/>
      <c r="N791" s="475">
        <v>1000</v>
      </c>
      <c r="P791" s="351"/>
    </row>
    <row r="792" spans="1:16" s="384" customFormat="1" ht="18" customHeight="1">
      <c r="A792" s="306">
        <v>785</v>
      </c>
      <c r="B792" s="443"/>
      <c r="C792" s="344"/>
      <c r="D792" s="165" t="s">
        <v>1022</v>
      </c>
      <c r="E792" s="1258"/>
      <c r="F792" s="375"/>
      <c r="G792" s="1279"/>
      <c r="H792" s="445"/>
      <c r="I792" s="166">
        <f>SUM(J792:Q792)</f>
        <v>1000</v>
      </c>
      <c r="J792" s="378"/>
      <c r="K792" s="378"/>
      <c r="L792" s="349"/>
      <c r="M792" s="378"/>
      <c r="N792" s="476">
        <v>1000</v>
      </c>
      <c r="P792" s="351"/>
    </row>
    <row r="793" spans="1:16" s="384" customFormat="1" ht="21.75" customHeight="1">
      <c r="A793" s="306">
        <v>786</v>
      </c>
      <c r="B793" s="443"/>
      <c r="C793" s="344">
        <v>160</v>
      </c>
      <c r="D793" s="479" t="s">
        <v>625</v>
      </c>
      <c r="E793" s="1258"/>
      <c r="F793" s="375"/>
      <c r="G793" s="1279"/>
      <c r="H793" s="445" t="s">
        <v>231</v>
      </c>
      <c r="I793" s="164"/>
      <c r="J793" s="378"/>
      <c r="K793" s="378"/>
      <c r="L793" s="349"/>
      <c r="M793" s="378"/>
      <c r="N793" s="474"/>
      <c r="P793" s="351"/>
    </row>
    <row r="794" spans="1:16" s="384" customFormat="1" ht="18" customHeight="1">
      <c r="A794" s="306">
        <v>787</v>
      </c>
      <c r="B794" s="443"/>
      <c r="C794" s="344"/>
      <c r="D794" s="481" t="s">
        <v>198</v>
      </c>
      <c r="E794" s="1258"/>
      <c r="F794" s="375"/>
      <c r="G794" s="1279"/>
      <c r="H794" s="447"/>
      <c r="I794" s="347">
        <f>SUM(J794:N794)</f>
        <v>350</v>
      </c>
      <c r="J794" s="378"/>
      <c r="K794" s="378"/>
      <c r="L794" s="349"/>
      <c r="M794" s="378"/>
      <c r="N794" s="474">
        <v>350</v>
      </c>
      <c r="P794" s="351"/>
    </row>
    <row r="795" spans="1:16" s="384" customFormat="1" ht="18" customHeight="1">
      <c r="A795" s="306">
        <v>788</v>
      </c>
      <c r="B795" s="443"/>
      <c r="C795" s="344"/>
      <c r="D795" s="163" t="s">
        <v>765</v>
      </c>
      <c r="E795" s="1258"/>
      <c r="F795" s="375"/>
      <c r="G795" s="1279"/>
      <c r="H795" s="447"/>
      <c r="I795" s="340">
        <f>SUM(J795:N795)</f>
        <v>0</v>
      </c>
      <c r="J795" s="365"/>
      <c r="K795" s="365"/>
      <c r="L795" s="362"/>
      <c r="M795" s="365"/>
      <c r="N795" s="475">
        <v>0</v>
      </c>
      <c r="P795" s="351"/>
    </row>
    <row r="796" spans="1:16" s="384" customFormat="1" ht="18" customHeight="1">
      <c r="A796" s="306">
        <v>789</v>
      </c>
      <c r="B796" s="443"/>
      <c r="C796" s="344"/>
      <c r="D796" s="165" t="s">
        <v>1021</v>
      </c>
      <c r="E796" s="1258"/>
      <c r="F796" s="375"/>
      <c r="G796" s="1279"/>
      <c r="H796" s="447"/>
      <c r="I796" s="166">
        <f>SUM(J796:Q796)</f>
        <v>0</v>
      </c>
      <c r="J796" s="378"/>
      <c r="K796" s="378"/>
      <c r="L796" s="349"/>
      <c r="M796" s="378"/>
      <c r="N796" s="366"/>
      <c r="P796" s="351"/>
    </row>
    <row r="797" spans="1:16" s="384" customFormat="1" ht="21.75" customHeight="1">
      <c r="A797" s="306">
        <v>790</v>
      </c>
      <c r="B797" s="443"/>
      <c r="C797" s="344">
        <v>161</v>
      </c>
      <c r="D797" s="477" t="s">
        <v>626</v>
      </c>
      <c r="E797" s="1258"/>
      <c r="F797" s="375"/>
      <c r="G797" s="1279"/>
      <c r="H797" s="447" t="s">
        <v>231</v>
      </c>
      <c r="I797" s="347"/>
      <c r="J797" s="378"/>
      <c r="K797" s="378"/>
      <c r="L797" s="349"/>
      <c r="M797" s="378"/>
      <c r="N797" s="360"/>
      <c r="P797" s="351"/>
    </row>
    <row r="798" spans="1:16" s="384" customFormat="1" ht="18" customHeight="1">
      <c r="A798" s="306">
        <v>791</v>
      </c>
      <c r="B798" s="483"/>
      <c r="C798" s="484"/>
      <c r="D798" s="485" t="s">
        <v>198</v>
      </c>
      <c r="E798" s="1258"/>
      <c r="F798" s="1285"/>
      <c r="G798" s="1286"/>
      <c r="H798" s="486"/>
      <c r="I798" s="487">
        <f>SUM(J798:N798)</f>
        <v>5000</v>
      </c>
      <c r="J798" s="488"/>
      <c r="K798" s="488"/>
      <c r="L798" s="489">
        <v>5000</v>
      </c>
      <c r="M798" s="488"/>
      <c r="N798" s="490"/>
      <c r="P798" s="351"/>
    </row>
    <row r="799" spans="1:16" s="384" customFormat="1" ht="18" customHeight="1">
      <c r="A799" s="306">
        <v>792</v>
      </c>
      <c r="B799" s="483"/>
      <c r="C799" s="484"/>
      <c r="D799" s="163" t="s">
        <v>765</v>
      </c>
      <c r="E799" s="1258"/>
      <c r="F799" s="1285"/>
      <c r="G799" s="1286"/>
      <c r="H799" s="486"/>
      <c r="I799" s="491">
        <f>SUM(J799:N799)</f>
        <v>5000</v>
      </c>
      <c r="J799" s="492"/>
      <c r="K799" s="492"/>
      <c r="L799" s="493">
        <v>0</v>
      </c>
      <c r="M799" s="492"/>
      <c r="N799" s="494">
        <v>5000</v>
      </c>
      <c r="P799" s="351"/>
    </row>
    <row r="800" spans="1:16" s="384" customFormat="1" ht="18" customHeight="1">
      <c r="A800" s="306">
        <v>793</v>
      </c>
      <c r="B800" s="443"/>
      <c r="C800" s="344"/>
      <c r="D800" s="451" t="s">
        <v>1021</v>
      </c>
      <c r="E800" s="1258"/>
      <c r="F800" s="375"/>
      <c r="G800" s="1279"/>
      <c r="H800" s="447"/>
      <c r="I800" s="166">
        <f>SUM(J800:Q800)</f>
        <v>5000</v>
      </c>
      <c r="J800" s="364"/>
      <c r="K800" s="364"/>
      <c r="L800" s="364"/>
      <c r="M800" s="364"/>
      <c r="N800" s="366">
        <v>5000</v>
      </c>
      <c r="P800" s="351"/>
    </row>
    <row r="801" spans="1:16" s="384" customFormat="1" ht="22.5" customHeight="1">
      <c r="A801" s="306">
        <v>794</v>
      </c>
      <c r="B801" s="483"/>
      <c r="C801" s="344">
        <v>163</v>
      </c>
      <c r="D801" s="477" t="s">
        <v>627</v>
      </c>
      <c r="E801" s="1287"/>
      <c r="F801" s="1285"/>
      <c r="G801" s="1286"/>
      <c r="H801" s="486" t="s">
        <v>231</v>
      </c>
      <c r="I801" s="169"/>
      <c r="J801" s="495"/>
      <c r="K801" s="495"/>
      <c r="L801" s="493"/>
      <c r="M801" s="488"/>
      <c r="N801" s="490"/>
      <c r="P801" s="351"/>
    </row>
    <row r="802" spans="1:16" s="384" customFormat="1" ht="18" customHeight="1">
      <c r="A802" s="306">
        <v>795</v>
      </c>
      <c r="B802" s="483"/>
      <c r="C802" s="344"/>
      <c r="D802" s="163" t="s">
        <v>765</v>
      </c>
      <c r="E802" s="1287"/>
      <c r="F802" s="1285"/>
      <c r="G802" s="1286"/>
      <c r="H802" s="486"/>
      <c r="I802" s="169">
        <f>SUM(J802:Q802)</f>
        <v>1500</v>
      </c>
      <c r="J802" s="495"/>
      <c r="K802" s="495"/>
      <c r="L802" s="493">
        <v>1500</v>
      </c>
      <c r="M802" s="488"/>
      <c r="N802" s="490"/>
      <c r="P802" s="351"/>
    </row>
    <row r="803" spans="1:16" s="384" customFormat="1" ht="18" customHeight="1">
      <c r="A803" s="306">
        <v>796</v>
      </c>
      <c r="B803" s="483"/>
      <c r="C803" s="344"/>
      <c r="D803" s="451" t="s">
        <v>1021</v>
      </c>
      <c r="E803" s="1287"/>
      <c r="F803" s="1285"/>
      <c r="G803" s="1286"/>
      <c r="H803" s="486"/>
      <c r="I803" s="166">
        <f>SUM(J803:Q803)</f>
        <v>1021</v>
      </c>
      <c r="J803" s="495"/>
      <c r="K803" s="495"/>
      <c r="L803" s="492">
        <v>1021</v>
      </c>
      <c r="M803" s="488"/>
      <c r="N803" s="490"/>
      <c r="P803" s="351"/>
    </row>
    <row r="804" spans="1:16" s="384" customFormat="1" ht="22.5" customHeight="1">
      <c r="A804" s="306">
        <v>797</v>
      </c>
      <c r="B804" s="483"/>
      <c r="C804" s="344">
        <v>164</v>
      </c>
      <c r="D804" s="477" t="s">
        <v>628</v>
      </c>
      <c r="E804" s="1287"/>
      <c r="F804" s="1285"/>
      <c r="G804" s="1286"/>
      <c r="H804" s="486" t="s">
        <v>231</v>
      </c>
      <c r="I804" s="169"/>
      <c r="J804" s="495"/>
      <c r="K804" s="495"/>
      <c r="L804" s="493"/>
      <c r="M804" s="488"/>
      <c r="N804" s="490"/>
      <c r="P804" s="351"/>
    </row>
    <row r="805" spans="1:16" s="384" customFormat="1" ht="18" customHeight="1">
      <c r="A805" s="306">
        <v>798</v>
      </c>
      <c r="B805" s="483"/>
      <c r="C805" s="344"/>
      <c r="D805" s="163" t="s">
        <v>765</v>
      </c>
      <c r="E805" s="1287"/>
      <c r="F805" s="1285"/>
      <c r="G805" s="1286"/>
      <c r="H805" s="486"/>
      <c r="I805" s="169">
        <f>SUM(J805:Q805)</f>
        <v>19100</v>
      </c>
      <c r="J805" s="495"/>
      <c r="K805" s="495"/>
      <c r="L805" s="493">
        <v>19100</v>
      </c>
      <c r="M805" s="488"/>
      <c r="N805" s="490"/>
      <c r="P805" s="351"/>
    </row>
    <row r="806" spans="1:16" s="384" customFormat="1" ht="18" customHeight="1">
      <c r="A806" s="306">
        <v>799</v>
      </c>
      <c r="B806" s="483"/>
      <c r="C806" s="344"/>
      <c r="D806" s="451" t="s">
        <v>1021</v>
      </c>
      <c r="E806" s="1287"/>
      <c r="F806" s="1285"/>
      <c r="G806" s="1286"/>
      <c r="H806" s="486"/>
      <c r="I806" s="166">
        <f>SUM(J806:Q806)</f>
        <v>18999</v>
      </c>
      <c r="J806" s="495"/>
      <c r="K806" s="495"/>
      <c r="L806" s="492">
        <v>18999</v>
      </c>
      <c r="M806" s="488"/>
      <c r="N806" s="490"/>
      <c r="P806" s="351"/>
    </row>
    <row r="807" spans="1:16" s="384" customFormat="1" ht="21.75" customHeight="1">
      <c r="A807" s="306">
        <v>800</v>
      </c>
      <c r="B807" s="483"/>
      <c r="C807" s="344">
        <v>165</v>
      </c>
      <c r="D807" s="477" t="s">
        <v>629</v>
      </c>
      <c r="E807" s="1287"/>
      <c r="F807" s="1285"/>
      <c r="G807" s="1286"/>
      <c r="H807" s="486" t="s">
        <v>231</v>
      </c>
      <c r="I807" s="169"/>
      <c r="J807" s="495"/>
      <c r="K807" s="495"/>
      <c r="L807" s="493"/>
      <c r="M807" s="488"/>
      <c r="N807" s="490"/>
      <c r="P807" s="351"/>
    </row>
    <row r="808" spans="1:16" s="384" customFormat="1" ht="18" customHeight="1">
      <c r="A808" s="306">
        <v>801</v>
      </c>
      <c r="B808" s="483"/>
      <c r="C808" s="344"/>
      <c r="D808" s="163" t="s">
        <v>765</v>
      </c>
      <c r="E808" s="1287"/>
      <c r="F808" s="1285"/>
      <c r="G808" s="1286"/>
      <c r="H808" s="486"/>
      <c r="I808" s="169">
        <f>SUM(J808:Q808)</f>
        <v>2500</v>
      </c>
      <c r="J808" s="495"/>
      <c r="K808" s="495"/>
      <c r="L808" s="493"/>
      <c r="M808" s="488"/>
      <c r="N808" s="490">
        <v>2500</v>
      </c>
      <c r="P808" s="351"/>
    </row>
    <row r="809" spans="1:16" s="384" customFormat="1" ht="18" customHeight="1">
      <c r="A809" s="306">
        <v>802</v>
      </c>
      <c r="B809" s="483"/>
      <c r="C809" s="344"/>
      <c r="D809" s="451" t="s">
        <v>1021</v>
      </c>
      <c r="E809" s="1287"/>
      <c r="F809" s="1285"/>
      <c r="G809" s="1286"/>
      <c r="H809" s="486"/>
      <c r="I809" s="166">
        <f>SUM(J809:Q809)</f>
        <v>2500</v>
      </c>
      <c r="J809" s="495"/>
      <c r="K809" s="495"/>
      <c r="L809" s="493"/>
      <c r="M809" s="488"/>
      <c r="N809" s="496">
        <v>2500</v>
      </c>
      <c r="P809" s="351"/>
    </row>
    <row r="810" spans="1:16" s="384" customFormat="1" ht="22.5" customHeight="1">
      <c r="A810" s="306">
        <v>803</v>
      </c>
      <c r="B810" s="483"/>
      <c r="C810" s="344">
        <v>166</v>
      </c>
      <c r="D810" s="477" t="s">
        <v>630</v>
      </c>
      <c r="E810" s="1287"/>
      <c r="F810" s="1285"/>
      <c r="G810" s="1286"/>
      <c r="H810" s="486" t="s">
        <v>231</v>
      </c>
      <c r="I810" s="169"/>
      <c r="J810" s="495"/>
      <c r="K810" s="495"/>
      <c r="L810" s="493"/>
      <c r="M810" s="488"/>
      <c r="N810" s="490"/>
      <c r="P810" s="351"/>
    </row>
    <row r="811" spans="1:16" s="384" customFormat="1" ht="18" customHeight="1">
      <c r="A811" s="306">
        <v>804</v>
      </c>
      <c r="B811" s="483"/>
      <c r="C811" s="344"/>
      <c r="D811" s="163" t="s">
        <v>765</v>
      </c>
      <c r="E811" s="1287"/>
      <c r="F811" s="1285"/>
      <c r="G811" s="1286"/>
      <c r="H811" s="486"/>
      <c r="I811" s="169">
        <f>SUM(J811:Q811)</f>
        <v>2000</v>
      </c>
      <c r="J811" s="495"/>
      <c r="K811" s="495"/>
      <c r="L811" s="493"/>
      <c r="M811" s="488"/>
      <c r="N811" s="494">
        <v>2000</v>
      </c>
      <c r="P811" s="351"/>
    </row>
    <row r="812" spans="1:16" s="384" customFormat="1" ht="18" customHeight="1">
      <c r="A812" s="306">
        <v>805</v>
      </c>
      <c r="B812" s="483"/>
      <c r="C812" s="344"/>
      <c r="D812" s="451" t="s">
        <v>1021</v>
      </c>
      <c r="E812" s="1287"/>
      <c r="F812" s="1285"/>
      <c r="G812" s="1286"/>
      <c r="H812" s="486"/>
      <c r="I812" s="166">
        <f>SUM(J812:Q812)</f>
        <v>0</v>
      </c>
      <c r="J812" s="495"/>
      <c r="K812" s="495"/>
      <c r="L812" s="493"/>
      <c r="M812" s="488"/>
      <c r="N812" s="496"/>
      <c r="P812" s="351"/>
    </row>
    <row r="813" spans="1:16" s="384" customFormat="1" ht="22.5" customHeight="1">
      <c r="A813" s="306">
        <v>806</v>
      </c>
      <c r="B813" s="483"/>
      <c r="C813" s="344">
        <v>167</v>
      </c>
      <c r="D813" s="477" t="s">
        <v>631</v>
      </c>
      <c r="E813" s="1287"/>
      <c r="F813" s="1285"/>
      <c r="G813" s="1286"/>
      <c r="H813" s="486" t="s">
        <v>231</v>
      </c>
      <c r="I813" s="169"/>
      <c r="J813" s="495"/>
      <c r="K813" s="495"/>
      <c r="L813" s="493"/>
      <c r="M813" s="488"/>
      <c r="N813" s="490"/>
      <c r="P813" s="351"/>
    </row>
    <row r="814" spans="1:16" s="384" customFormat="1" ht="18" customHeight="1">
      <c r="A814" s="306">
        <v>807</v>
      </c>
      <c r="B814" s="483"/>
      <c r="C814" s="344"/>
      <c r="D814" s="163" t="s">
        <v>765</v>
      </c>
      <c r="E814" s="1287"/>
      <c r="F814" s="1285"/>
      <c r="G814" s="1286"/>
      <c r="H814" s="486"/>
      <c r="I814" s="169">
        <f>SUM(J814:Q814)</f>
        <v>4000</v>
      </c>
      <c r="J814" s="495"/>
      <c r="K814" s="495"/>
      <c r="L814" s="493"/>
      <c r="M814" s="488"/>
      <c r="N814" s="494">
        <v>4000</v>
      </c>
      <c r="P814" s="351"/>
    </row>
    <row r="815" spans="1:16" s="384" customFormat="1" ht="18" customHeight="1">
      <c r="A815" s="306">
        <v>808</v>
      </c>
      <c r="B815" s="483"/>
      <c r="C815" s="344"/>
      <c r="D815" s="451" t="s">
        <v>1021</v>
      </c>
      <c r="E815" s="1287"/>
      <c r="F815" s="1285"/>
      <c r="G815" s="1286"/>
      <c r="H815" s="486"/>
      <c r="I815" s="166">
        <f>SUM(J815:Q815)</f>
        <v>4000</v>
      </c>
      <c r="J815" s="495"/>
      <c r="K815" s="495"/>
      <c r="L815" s="493"/>
      <c r="M815" s="488"/>
      <c r="N815" s="496">
        <v>4000</v>
      </c>
      <c r="P815" s="351"/>
    </row>
    <row r="816" spans="1:16" s="384" customFormat="1" ht="22.5" customHeight="1">
      <c r="A816" s="306">
        <v>809</v>
      </c>
      <c r="B816" s="443"/>
      <c r="C816" s="344">
        <v>168</v>
      </c>
      <c r="D816" s="477" t="s">
        <v>632</v>
      </c>
      <c r="E816" s="1258"/>
      <c r="F816" s="375"/>
      <c r="G816" s="1288"/>
      <c r="H816" s="447" t="s">
        <v>231</v>
      </c>
      <c r="I816" s="164"/>
      <c r="J816" s="478"/>
      <c r="K816" s="478"/>
      <c r="L816" s="497"/>
      <c r="M816" s="478"/>
      <c r="N816" s="475"/>
      <c r="P816" s="351"/>
    </row>
    <row r="817" spans="1:16" s="384" customFormat="1" ht="18" customHeight="1">
      <c r="A817" s="306">
        <v>810</v>
      </c>
      <c r="B817" s="443"/>
      <c r="C817" s="344"/>
      <c r="D817" s="163" t="s">
        <v>765</v>
      </c>
      <c r="E817" s="1258"/>
      <c r="F817" s="375"/>
      <c r="G817" s="1288"/>
      <c r="H817" s="447"/>
      <c r="I817" s="169">
        <f>SUM(J817:Q817)</f>
        <v>6000</v>
      </c>
      <c r="J817" s="478"/>
      <c r="K817" s="478"/>
      <c r="L817" s="497">
        <v>6000</v>
      </c>
      <c r="M817" s="478"/>
      <c r="N817" s="494"/>
      <c r="P817" s="351"/>
    </row>
    <row r="818" spans="1:16" s="384" customFormat="1" ht="18" customHeight="1">
      <c r="A818" s="306">
        <v>811</v>
      </c>
      <c r="B818" s="443"/>
      <c r="C818" s="344"/>
      <c r="D818" s="165" t="s">
        <v>1021</v>
      </c>
      <c r="E818" s="1258"/>
      <c r="F818" s="375"/>
      <c r="G818" s="1288"/>
      <c r="H818" s="447"/>
      <c r="I818" s="166">
        <f>SUM(J818:Q818)</f>
        <v>0</v>
      </c>
      <c r="J818" s="478"/>
      <c r="K818" s="478"/>
      <c r="L818" s="498"/>
      <c r="M818" s="478"/>
      <c r="N818" s="496"/>
      <c r="P818" s="351"/>
    </row>
    <row r="819" spans="1:16" s="384" customFormat="1" ht="22.5" customHeight="1">
      <c r="A819" s="306">
        <v>812</v>
      </c>
      <c r="B819" s="443"/>
      <c r="C819" s="344">
        <v>169</v>
      </c>
      <c r="D819" s="477" t="s">
        <v>633</v>
      </c>
      <c r="E819" s="1258"/>
      <c r="F819" s="375"/>
      <c r="G819" s="1288"/>
      <c r="H819" s="447" t="s">
        <v>231</v>
      </c>
      <c r="I819" s="169"/>
      <c r="J819" s="478"/>
      <c r="K819" s="478"/>
      <c r="L819" s="497"/>
      <c r="M819" s="478"/>
      <c r="N819" s="494"/>
      <c r="P819" s="351"/>
    </row>
    <row r="820" spans="1:16" s="384" customFormat="1" ht="18" customHeight="1">
      <c r="A820" s="306">
        <v>813</v>
      </c>
      <c r="B820" s="443"/>
      <c r="C820" s="344"/>
      <c r="D820" s="163" t="s">
        <v>765</v>
      </c>
      <c r="E820" s="1258"/>
      <c r="F820" s="375"/>
      <c r="G820" s="1288"/>
      <c r="H820" s="447"/>
      <c r="I820" s="169">
        <f>SUM(J820:Q820)</f>
        <v>248</v>
      </c>
      <c r="J820" s="478"/>
      <c r="K820" s="478"/>
      <c r="L820" s="497">
        <v>248</v>
      </c>
      <c r="M820" s="478"/>
      <c r="N820" s="494"/>
      <c r="P820" s="351"/>
    </row>
    <row r="821" spans="1:16" s="384" customFormat="1" ht="18" customHeight="1">
      <c r="A821" s="306">
        <v>814</v>
      </c>
      <c r="B821" s="443"/>
      <c r="C821" s="344"/>
      <c r="D821" s="165" t="s">
        <v>1021</v>
      </c>
      <c r="E821" s="1258"/>
      <c r="F821" s="375"/>
      <c r="G821" s="1288"/>
      <c r="H821" s="447"/>
      <c r="I821" s="166">
        <f>SUM(J821:Q821)</f>
        <v>248</v>
      </c>
      <c r="J821" s="478"/>
      <c r="K821" s="478"/>
      <c r="L821" s="498">
        <v>248</v>
      </c>
      <c r="M821" s="478"/>
      <c r="N821" s="475"/>
      <c r="P821" s="351"/>
    </row>
    <row r="822" spans="1:16" s="384" customFormat="1" ht="22.5" customHeight="1">
      <c r="A822" s="306">
        <v>815</v>
      </c>
      <c r="B822" s="483"/>
      <c r="C822" s="344">
        <v>170</v>
      </c>
      <c r="D822" s="477" t="s">
        <v>634</v>
      </c>
      <c r="E822" s="1287"/>
      <c r="F822" s="1285"/>
      <c r="G822" s="1289"/>
      <c r="H822" s="486" t="s">
        <v>231</v>
      </c>
      <c r="I822" s="169"/>
      <c r="J822" s="488"/>
      <c r="K822" s="488"/>
      <c r="L822" s="493"/>
      <c r="M822" s="488"/>
      <c r="N822" s="494"/>
      <c r="P822" s="351"/>
    </row>
    <row r="823" spans="1:16" s="384" customFormat="1" ht="18" customHeight="1">
      <c r="A823" s="306">
        <v>816</v>
      </c>
      <c r="B823" s="483"/>
      <c r="C823" s="344"/>
      <c r="D823" s="163" t="s">
        <v>765</v>
      </c>
      <c r="E823" s="1287"/>
      <c r="F823" s="1285"/>
      <c r="G823" s="1289"/>
      <c r="H823" s="486"/>
      <c r="I823" s="169">
        <f>SUM(J823:Q823)</f>
        <v>1000</v>
      </c>
      <c r="J823" s="488"/>
      <c r="K823" s="488"/>
      <c r="L823" s="493"/>
      <c r="M823" s="488"/>
      <c r="N823" s="494">
        <v>1000</v>
      </c>
      <c r="P823" s="351"/>
    </row>
    <row r="824" spans="1:16" s="384" customFormat="1" ht="18" customHeight="1">
      <c r="A824" s="306">
        <v>817</v>
      </c>
      <c r="B824" s="483"/>
      <c r="C824" s="344"/>
      <c r="D824" s="165" t="s">
        <v>1021</v>
      </c>
      <c r="E824" s="1287"/>
      <c r="F824" s="1285"/>
      <c r="G824" s="1289"/>
      <c r="H824" s="486"/>
      <c r="I824" s="166">
        <f>SUM(J824:Q824)</f>
        <v>1000</v>
      </c>
      <c r="J824" s="488"/>
      <c r="K824" s="488"/>
      <c r="L824" s="493"/>
      <c r="M824" s="488"/>
      <c r="N824" s="496">
        <v>1000</v>
      </c>
      <c r="P824" s="351"/>
    </row>
    <row r="825" spans="1:16" s="384" customFormat="1" ht="22.5" customHeight="1">
      <c r="A825" s="306">
        <v>818</v>
      </c>
      <c r="B825" s="483"/>
      <c r="C825" s="344">
        <v>171</v>
      </c>
      <c r="D825" s="477" t="s">
        <v>635</v>
      </c>
      <c r="E825" s="1287"/>
      <c r="F825" s="1285"/>
      <c r="G825" s="1289"/>
      <c r="H825" s="486" t="s">
        <v>231</v>
      </c>
      <c r="I825" s="169"/>
      <c r="J825" s="488"/>
      <c r="K825" s="488"/>
      <c r="L825" s="493"/>
      <c r="M825" s="488"/>
      <c r="N825" s="494"/>
      <c r="P825" s="351"/>
    </row>
    <row r="826" spans="1:16" s="384" customFormat="1" ht="18" customHeight="1">
      <c r="A826" s="306">
        <v>819</v>
      </c>
      <c r="B826" s="483"/>
      <c r="C826" s="344"/>
      <c r="D826" s="163" t="s">
        <v>765</v>
      </c>
      <c r="E826" s="1287"/>
      <c r="F826" s="1285"/>
      <c r="G826" s="1289"/>
      <c r="H826" s="486"/>
      <c r="I826" s="169">
        <f>SUM(J826:Q826)</f>
        <v>1500</v>
      </c>
      <c r="J826" s="488"/>
      <c r="K826" s="488"/>
      <c r="L826" s="493"/>
      <c r="M826" s="488"/>
      <c r="N826" s="494">
        <v>1500</v>
      </c>
      <c r="P826" s="351"/>
    </row>
    <row r="827" spans="1:16" s="384" customFormat="1" ht="18" customHeight="1">
      <c r="A827" s="306">
        <v>820</v>
      </c>
      <c r="B827" s="483"/>
      <c r="C827" s="344"/>
      <c r="D827" s="165" t="s">
        <v>1021</v>
      </c>
      <c r="E827" s="1287"/>
      <c r="F827" s="1285"/>
      <c r="G827" s="1289"/>
      <c r="H827" s="486"/>
      <c r="I827" s="166">
        <f>SUM(J827:Q827)</f>
        <v>1500</v>
      </c>
      <c r="J827" s="488"/>
      <c r="K827" s="488"/>
      <c r="L827" s="493"/>
      <c r="M827" s="488"/>
      <c r="N827" s="496">
        <v>1500</v>
      </c>
      <c r="P827" s="351"/>
    </row>
    <row r="828" spans="1:16" s="384" customFormat="1" ht="22.5" customHeight="1">
      <c r="A828" s="306">
        <v>821</v>
      </c>
      <c r="B828" s="443"/>
      <c r="C828" s="344">
        <v>172</v>
      </c>
      <c r="D828" s="482" t="s">
        <v>636</v>
      </c>
      <c r="E828" s="1258"/>
      <c r="F828" s="375"/>
      <c r="G828" s="1288"/>
      <c r="H828" s="447" t="s">
        <v>231</v>
      </c>
      <c r="I828" s="164"/>
      <c r="J828" s="478"/>
      <c r="K828" s="478"/>
      <c r="L828" s="497"/>
      <c r="M828" s="478"/>
      <c r="N828" s="475"/>
      <c r="P828" s="351"/>
    </row>
    <row r="829" spans="1:16" s="384" customFormat="1" ht="18" customHeight="1">
      <c r="A829" s="306">
        <v>822</v>
      </c>
      <c r="B829" s="443"/>
      <c r="C829" s="344"/>
      <c r="D829" s="163" t="s">
        <v>765</v>
      </c>
      <c r="E829" s="1258"/>
      <c r="F829" s="375"/>
      <c r="G829" s="1288"/>
      <c r="H829" s="447"/>
      <c r="I829" s="169">
        <f>SUM(J829:Q829)</f>
        <v>4000</v>
      </c>
      <c r="J829" s="478"/>
      <c r="K829" s="478"/>
      <c r="L829" s="497">
        <v>4000</v>
      </c>
      <c r="M829" s="478"/>
      <c r="N829" s="475"/>
      <c r="P829" s="351"/>
    </row>
    <row r="830" spans="1:16" s="384" customFormat="1" ht="18" customHeight="1">
      <c r="A830" s="306">
        <v>823</v>
      </c>
      <c r="B830" s="443"/>
      <c r="C830" s="344"/>
      <c r="D830" s="165" t="s">
        <v>1021</v>
      </c>
      <c r="E830" s="1258"/>
      <c r="F830" s="375"/>
      <c r="G830" s="1288"/>
      <c r="H830" s="447"/>
      <c r="I830" s="166">
        <f>SUM(J830:Q830)</f>
        <v>0</v>
      </c>
      <c r="J830" s="478"/>
      <c r="K830" s="478"/>
      <c r="L830" s="498"/>
      <c r="M830" s="478"/>
      <c r="N830" s="475"/>
      <c r="P830" s="351"/>
    </row>
    <row r="831" spans="1:16" s="384" customFormat="1" ht="22.5" customHeight="1">
      <c r="A831" s="306">
        <v>824</v>
      </c>
      <c r="B831" s="483"/>
      <c r="C831" s="484">
        <v>173</v>
      </c>
      <c r="D831" s="482" t="s">
        <v>637</v>
      </c>
      <c r="E831" s="1287"/>
      <c r="F831" s="1285"/>
      <c r="G831" s="1289"/>
      <c r="H831" s="486" t="s">
        <v>231</v>
      </c>
      <c r="I831" s="169"/>
      <c r="J831" s="488"/>
      <c r="K831" s="488"/>
      <c r="L831" s="493"/>
      <c r="M831" s="488"/>
      <c r="N831" s="494"/>
      <c r="P831" s="351"/>
    </row>
    <row r="832" spans="1:16" s="384" customFormat="1" ht="18" customHeight="1">
      <c r="A832" s="306">
        <v>825</v>
      </c>
      <c r="B832" s="483"/>
      <c r="C832" s="484"/>
      <c r="D832" s="163" t="s">
        <v>765</v>
      </c>
      <c r="E832" s="1287"/>
      <c r="F832" s="1285"/>
      <c r="G832" s="1289"/>
      <c r="H832" s="486"/>
      <c r="I832" s="169">
        <f>SUM(J832:Q832)</f>
        <v>2500</v>
      </c>
      <c r="J832" s="488"/>
      <c r="K832" s="488"/>
      <c r="L832" s="493">
        <v>2500</v>
      </c>
      <c r="M832" s="488"/>
      <c r="N832" s="494"/>
      <c r="P832" s="351"/>
    </row>
    <row r="833" spans="1:16" s="384" customFormat="1" ht="18" customHeight="1">
      <c r="A833" s="306">
        <v>826</v>
      </c>
      <c r="B833" s="483"/>
      <c r="C833" s="484"/>
      <c r="D833" s="165" t="s">
        <v>1021</v>
      </c>
      <c r="E833" s="1287"/>
      <c r="F833" s="1285"/>
      <c r="G833" s="1289"/>
      <c r="H833" s="486"/>
      <c r="I833" s="166">
        <f>SUM(J833:Q833)</f>
        <v>2401</v>
      </c>
      <c r="J833" s="488"/>
      <c r="K833" s="488"/>
      <c r="L833" s="492">
        <v>2401</v>
      </c>
      <c r="M833" s="488"/>
      <c r="N833" s="494"/>
      <c r="P833" s="351"/>
    </row>
    <row r="834" spans="1:16" s="384" customFormat="1" ht="22.5" customHeight="1">
      <c r="A834" s="306">
        <v>827</v>
      </c>
      <c r="B834" s="483"/>
      <c r="C834" s="484">
        <v>174</v>
      </c>
      <c r="D834" s="482" t="s">
        <v>638</v>
      </c>
      <c r="E834" s="1287"/>
      <c r="F834" s="1285"/>
      <c r="G834" s="1289"/>
      <c r="H834" s="486" t="s">
        <v>231</v>
      </c>
      <c r="I834" s="169"/>
      <c r="J834" s="488"/>
      <c r="K834" s="488"/>
      <c r="L834" s="493"/>
      <c r="M834" s="488"/>
      <c r="N834" s="494"/>
      <c r="P834" s="351"/>
    </row>
    <row r="835" spans="1:16" s="384" customFormat="1" ht="18" customHeight="1">
      <c r="A835" s="306">
        <v>828</v>
      </c>
      <c r="B835" s="483"/>
      <c r="C835" s="484"/>
      <c r="D835" s="163" t="s">
        <v>765</v>
      </c>
      <c r="E835" s="1287"/>
      <c r="F835" s="1285"/>
      <c r="G835" s="1289"/>
      <c r="H835" s="486"/>
      <c r="I835" s="169">
        <f>SUM(J835:Q835)</f>
        <v>1000</v>
      </c>
      <c r="J835" s="488"/>
      <c r="K835" s="488"/>
      <c r="L835" s="493"/>
      <c r="M835" s="488"/>
      <c r="N835" s="494">
        <v>1000</v>
      </c>
      <c r="P835" s="351"/>
    </row>
    <row r="836" spans="1:16" s="384" customFormat="1" ht="18" customHeight="1">
      <c r="A836" s="306">
        <v>829</v>
      </c>
      <c r="B836" s="483"/>
      <c r="C836" s="484"/>
      <c r="D836" s="165" t="s">
        <v>1021</v>
      </c>
      <c r="E836" s="1287"/>
      <c r="F836" s="1285"/>
      <c r="G836" s="1289"/>
      <c r="H836" s="486"/>
      <c r="I836" s="166">
        <f>SUM(J836:Q836)</f>
        <v>1000</v>
      </c>
      <c r="J836" s="488"/>
      <c r="K836" s="488"/>
      <c r="L836" s="493"/>
      <c r="M836" s="488"/>
      <c r="N836" s="496">
        <v>1000</v>
      </c>
      <c r="P836" s="351"/>
    </row>
    <row r="837" spans="1:16" s="384" customFormat="1" ht="22.5" customHeight="1">
      <c r="A837" s="306">
        <v>830</v>
      </c>
      <c r="B837" s="483"/>
      <c r="C837" s="484">
        <v>175</v>
      </c>
      <c r="D837" s="482" t="s">
        <v>639</v>
      </c>
      <c r="E837" s="1287"/>
      <c r="F837" s="1285"/>
      <c r="G837" s="1289"/>
      <c r="H837" s="486" t="s">
        <v>231</v>
      </c>
      <c r="I837" s="169"/>
      <c r="J837" s="488"/>
      <c r="K837" s="488"/>
      <c r="L837" s="493"/>
      <c r="M837" s="488"/>
      <c r="N837" s="494"/>
      <c r="P837" s="351"/>
    </row>
    <row r="838" spans="1:16" s="384" customFormat="1" ht="18" customHeight="1">
      <c r="A838" s="306">
        <v>831</v>
      </c>
      <c r="B838" s="483"/>
      <c r="C838" s="484"/>
      <c r="D838" s="163" t="s">
        <v>765</v>
      </c>
      <c r="E838" s="1287"/>
      <c r="F838" s="1285"/>
      <c r="G838" s="1289"/>
      <c r="H838" s="486"/>
      <c r="I838" s="169">
        <f>SUM(J838:Q838)</f>
        <v>10000</v>
      </c>
      <c r="J838" s="488"/>
      <c r="K838" s="488"/>
      <c r="L838" s="493"/>
      <c r="M838" s="488"/>
      <c r="N838" s="494">
        <v>10000</v>
      </c>
      <c r="P838" s="351"/>
    </row>
    <row r="839" spans="1:16" s="384" customFormat="1" ht="18" customHeight="1">
      <c r="A839" s="306">
        <v>832</v>
      </c>
      <c r="B839" s="483"/>
      <c r="C839" s="484"/>
      <c r="D839" s="165" t="s">
        <v>1021</v>
      </c>
      <c r="E839" s="1287"/>
      <c r="F839" s="1285"/>
      <c r="G839" s="1289"/>
      <c r="H839" s="486"/>
      <c r="I839" s="166">
        <f>SUM(J839:Q839)</f>
        <v>10000</v>
      </c>
      <c r="J839" s="488"/>
      <c r="K839" s="488"/>
      <c r="L839" s="493"/>
      <c r="M839" s="488"/>
      <c r="N839" s="496">
        <v>10000</v>
      </c>
      <c r="P839" s="351"/>
    </row>
    <row r="840" spans="1:16" s="384" customFormat="1" ht="22.5" customHeight="1">
      <c r="A840" s="306">
        <v>833</v>
      </c>
      <c r="B840" s="483"/>
      <c r="C840" s="484">
        <v>176</v>
      </c>
      <c r="D840" s="482" t="s">
        <v>640</v>
      </c>
      <c r="E840" s="1287"/>
      <c r="F840" s="1285"/>
      <c r="G840" s="1289"/>
      <c r="H840" s="486" t="s">
        <v>231</v>
      </c>
      <c r="I840" s="169"/>
      <c r="J840" s="488"/>
      <c r="K840" s="488"/>
      <c r="L840" s="493"/>
      <c r="M840" s="488"/>
      <c r="N840" s="494"/>
      <c r="P840" s="351"/>
    </row>
    <row r="841" spans="1:16" s="384" customFormat="1" ht="18" customHeight="1">
      <c r="A841" s="306">
        <v>834</v>
      </c>
      <c r="B841" s="483"/>
      <c r="C841" s="484"/>
      <c r="D841" s="163" t="s">
        <v>765</v>
      </c>
      <c r="E841" s="1287"/>
      <c r="F841" s="1285"/>
      <c r="G841" s="1289"/>
      <c r="H841" s="486"/>
      <c r="I841" s="169">
        <f>SUM(J841:Q841)</f>
        <v>5060</v>
      </c>
      <c r="J841" s="488"/>
      <c r="K841" s="488"/>
      <c r="L841" s="493"/>
      <c r="M841" s="488"/>
      <c r="N841" s="494">
        <v>5060</v>
      </c>
      <c r="P841" s="351"/>
    </row>
    <row r="842" spans="1:16" s="384" customFormat="1" ht="18" customHeight="1">
      <c r="A842" s="306">
        <v>835</v>
      </c>
      <c r="B842" s="483"/>
      <c r="C842" s="484"/>
      <c r="D842" s="165" t="s">
        <v>1021</v>
      </c>
      <c r="E842" s="1287"/>
      <c r="F842" s="1285"/>
      <c r="G842" s="1289"/>
      <c r="H842" s="486"/>
      <c r="I842" s="166">
        <f>SUM(J842:Q842)</f>
        <v>5035</v>
      </c>
      <c r="J842" s="488"/>
      <c r="K842" s="488"/>
      <c r="L842" s="493"/>
      <c r="M842" s="488"/>
      <c r="N842" s="496">
        <v>5035</v>
      </c>
      <c r="P842" s="351"/>
    </row>
    <row r="843" spans="1:16" s="384" customFormat="1" ht="22.5" customHeight="1">
      <c r="A843" s="306">
        <v>836</v>
      </c>
      <c r="B843" s="443"/>
      <c r="C843" s="344">
        <v>177</v>
      </c>
      <c r="D843" s="482" t="s">
        <v>641</v>
      </c>
      <c r="E843" s="1258"/>
      <c r="F843" s="375"/>
      <c r="G843" s="1288"/>
      <c r="H843" s="447" t="s">
        <v>231</v>
      </c>
      <c r="I843" s="164"/>
      <c r="J843" s="478"/>
      <c r="K843" s="478"/>
      <c r="L843" s="497"/>
      <c r="M843" s="478"/>
      <c r="N843" s="475"/>
      <c r="P843" s="351"/>
    </row>
    <row r="844" spans="1:16" s="384" customFormat="1" ht="18" customHeight="1">
      <c r="A844" s="306">
        <v>837</v>
      </c>
      <c r="B844" s="443"/>
      <c r="C844" s="344"/>
      <c r="D844" s="163" t="s">
        <v>765</v>
      </c>
      <c r="E844" s="1258"/>
      <c r="F844" s="375"/>
      <c r="G844" s="1288"/>
      <c r="H844" s="447"/>
      <c r="I844" s="169">
        <f>SUM(J844:Q844)</f>
        <v>5000</v>
      </c>
      <c r="J844" s="478"/>
      <c r="K844" s="478"/>
      <c r="L844" s="497">
        <v>5000</v>
      </c>
      <c r="M844" s="478"/>
      <c r="N844" s="494"/>
      <c r="P844" s="351"/>
    </row>
    <row r="845" spans="1:16" s="384" customFormat="1" ht="18" customHeight="1">
      <c r="A845" s="306">
        <v>838</v>
      </c>
      <c r="B845" s="443"/>
      <c r="C845" s="344"/>
      <c r="D845" s="165" t="s">
        <v>1021</v>
      </c>
      <c r="E845" s="1258"/>
      <c r="F845" s="375"/>
      <c r="G845" s="1288"/>
      <c r="H845" s="447"/>
      <c r="I845" s="166">
        <f>SUM(J845:Q845)</f>
        <v>0</v>
      </c>
      <c r="J845" s="478"/>
      <c r="K845" s="478"/>
      <c r="L845" s="498"/>
      <c r="M845" s="478"/>
      <c r="N845" s="496"/>
      <c r="P845" s="351"/>
    </row>
    <row r="846" spans="1:16" s="384" customFormat="1" ht="22.5" customHeight="1">
      <c r="A846" s="306">
        <v>839</v>
      </c>
      <c r="B846" s="443"/>
      <c r="C846" s="344">
        <v>178</v>
      </c>
      <c r="D846" s="482" t="s">
        <v>642</v>
      </c>
      <c r="E846" s="1258"/>
      <c r="F846" s="375"/>
      <c r="G846" s="1288"/>
      <c r="H846" s="447" t="s">
        <v>231</v>
      </c>
      <c r="I846" s="169"/>
      <c r="J846" s="478"/>
      <c r="K846" s="478"/>
      <c r="L846" s="497"/>
      <c r="M846" s="478"/>
      <c r="N846" s="494"/>
      <c r="P846" s="351"/>
    </row>
    <row r="847" spans="1:16" s="384" customFormat="1" ht="18" customHeight="1">
      <c r="A847" s="306">
        <v>840</v>
      </c>
      <c r="B847" s="443"/>
      <c r="C847" s="344"/>
      <c r="D847" s="163" t="s">
        <v>765</v>
      </c>
      <c r="E847" s="1258"/>
      <c r="F847" s="375"/>
      <c r="G847" s="1288"/>
      <c r="H847" s="447"/>
      <c r="I847" s="169">
        <f>SUM(J847:Q847)</f>
        <v>200</v>
      </c>
      <c r="J847" s="478"/>
      <c r="K847" s="478"/>
      <c r="L847" s="497"/>
      <c r="M847" s="478"/>
      <c r="N847" s="494">
        <v>200</v>
      </c>
      <c r="P847" s="351"/>
    </row>
    <row r="848" spans="1:16" s="384" customFormat="1" ht="18" customHeight="1">
      <c r="A848" s="306">
        <v>841</v>
      </c>
      <c r="B848" s="443"/>
      <c r="C848" s="344"/>
      <c r="D848" s="165" t="s">
        <v>1021</v>
      </c>
      <c r="E848" s="1258"/>
      <c r="F848" s="375"/>
      <c r="G848" s="1288"/>
      <c r="H848" s="447"/>
      <c r="I848" s="166">
        <f>SUM(J848:Q848)</f>
        <v>200</v>
      </c>
      <c r="J848" s="478"/>
      <c r="K848" s="478"/>
      <c r="L848" s="497"/>
      <c r="M848" s="478"/>
      <c r="N848" s="496">
        <v>200</v>
      </c>
      <c r="P848" s="351"/>
    </row>
    <row r="849" spans="1:16" s="384" customFormat="1" ht="22.5" customHeight="1">
      <c r="A849" s="306">
        <v>842</v>
      </c>
      <c r="B849" s="483"/>
      <c r="C849" s="484">
        <v>179</v>
      </c>
      <c r="D849" s="499" t="s">
        <v>17</v>
      </c>
      <c r="E849" s="1287"/>
      <c r="F849" s="1285"/>
      <c r="G849" s="1289"/>
      <c r="H849" s="486" t="s">
        <v>231</v>
      </c>
      <c r="I849" s="169"/>
      <c r="J849" s="488"/>
      <c r="K849" s="488"/>
      <c r="L849" s="493"/>
      <c r="M849" s="488"/>
      <c r="N849" s="494"/>
      <c r="P849" s="351"/>
    </row>
    <row r="850" spans="1:16" s="384" customFormat="1" ht="18" customHeight="1">
      <c r="A850" s="306">
        <v>843</v>
      </c>
      <c r="B850" s="483"/>
      <c r="C850" s="484"/>
      <c r="D850" s="163" t="s">
        <v>765</v>
      </c>
      <c r="E850" s="1287"/>
      <c r="F850" s="1285"/>
      <c r="G850" s="1289"/>
      <c r="H850" s="486"/>
      <c r="I850" s="169">
        <f>SUM(J850:Q850)</f>
        <v>25945</v>
      </c>
      <c r="J850" s="488"/>
      <c r="K850" s="488"/>
      <c r="L850" s="493">
        <v>25945</v>
      </c>
      <c r="M850" s="488"/>
      <c r="N850" s="494"/>
      <c r="P850" s="351"/>
    </row>
    <row r="851" spans="1:16" s="384" customFormat="1" ht="18" customHeight="1">
      <c r="A851" s="306">
        <v>844</v>
      </c>
      <c r="B851" s="443"/>
      <c r="C851" s="344"/>
      <c r="D851" s="165" t="s">
        <v>1022</v>
      </c>
      <c r="E851" s="1258"/>
      <c r="F851" s="375"/>
      <c r="G851" s="1288"/>
      <c r="H851" s="447"/>
      <c r="I851" s="166">
        <f>SUM(J851:Q851)</f>
        <v>0</v>
      </c>
      <c r="J851" s="478"/>
      <c r="K851" s="478"/>
      <c r="L851" s="498"/>
      <c r="M851" s="478"/>
      <c r="N851" s="496"/>
      <c r="P851" s="351"/>
    </row>
    <row r="852" spans="1:16" s="384" customFormat="1" ht="22.5" customHeight="1">
      <c r="A852" s="306">
        <v>845</v>
      </c>
      <c r="B852" s="483"/>
      <c r="C852" s="484">
        <v>180</v>
      </c>
      <c r="D852" s="499" t="s">
        <v>643</v>
      </c>
      <c r="E852" s="1287"/>
      <c r="F852" s="1285"/>
      <c r="G852" s="1289"/>
      <c r="H852" s="486" t="s">
        <v>231</v>
      </c>
      <c r="I852" s="169"/>
      <c r="J852" s="488"/>
      <c r="K852" s="488"/>
      <c r="L852" s="493"/>
      <c r="M852" s="488"/>
      <c r="N852" s="494"/>
      <c r="P852" s="351"/>
    </row>
    <row r="853" spans="1:16" s="384" customFormat="1" ht="18" customHeight="1">
      <c r="A853" s="306">
        <v>846</v>
      </c>
      <c r="B853" s="483"/>
      <c r="C853" s="484"/>
      <c r="D853" s="170" t="s">
        <v>765</v>
      </c>
      <c r="E853" s="1287"/>
      <c r="F853" s="1285"/>
      <c r="G853" s="1289"/>
      <c r="H853" s="486"/>
      <c r="I853" s="169">
        <f>SUM(J853:Q853)</f>
        <v>31000</v>
      </c>
      <c r="J853" s="488"/>
      <c r="K853" s="488"/>
      <c r="L853" s="493">
        <v>31000</v>
      </c>
      <c r="M853" s="488"/>
      <c r="N853" s="494"/>
      <c r="P853" s="351"/>
    </row>
    <row r="854" spans="1:16" s="384" customFormat="1" ht="18" customHeight="1" thickBot="1">
      <c r="A854" s="306">
        <v>847</v>
      </c>
      <c r="B854" s="500"/>
      <c r="C854" s="501"/>
      <c r="D854" s="1303" t="s">
        <v>1021</v>
      </c>
      <c r="E854" s="1290"/>
      <c r="F854" s="1291"/>
      <c r="G854" s="1292"/>
      <c r="H854" s="502"/>
      <c r="I854" s="1304">
        <f>SUM(J854:Q854)</f>
        <v>0</v>
      </c>
      <c r="J854" s="503"/>
      <c r="K854" s="503"/>
      <c r="L854" s="1317"/>
      <c r="M854" s="503"/>
      <c r="N854" s="504"/>
      <c r="P854" s="351"/>
    </row>
    <row r="855" spans="1:16" s="384" customFormat="1" ht="27" customHeight="1">
      <c r="A855" s="306">
        <v>848</v>
      </c>
      <c r="B855" s="505"/>
      <c r="C855" s="337"/>
      <c r="D855" s="1957" t="s">
        <v>221</v>
      </c>
      <c r="E855" s="1957"/>
      <c r="F855" s="1957"/>
      <c r="G855" s="1957"/>
      <c r="H855" s="317"/>
      <c r="I855" s="359"/>
      <c r="J855" s="506"/>
      <c r="K855" s="506"/>
      <c r="L855" s="507"/>
      <c r="M855" s="506"/>
      <c r="N855" s="508"/>
      <c r="P855" s="351"/>
    </row>
    <row r="856" spans="1:16" s="313" customFormat="1" ht="19.5" customHeight="1">
      <c r="A856" s="306">
        <v>849</v>
      </c>
      <c r="B856" s="509"/>
      <c r="C856" s="510"/>
      <c r="D856" s="511" t="s">
        <v>198</v>
      </c>
      <c r="E856" s="1293"/>
      <c r="F856" s="1293"/>
      <c r="G856" s="1294"/>
      <c r="H856" s="512"/>
      <c r="I856" s="347">
        <f>SUM(J856:N856)</f>
        <v>13911764</v>
      </c>
      <c r="J856" s="167">
        <f>J798+J794+J790+J786+J782+J778+J774+J770+J766+J762+J758+J754+J750+J746+J742+J738+J734+J727+J721+J715+J711+J705+J699+J695+J690+J686+J682+J677+J647+J643+J639+J635+J631+J627+J623+J619+J615+J611+J607+J603+J599+J595+J591+J587+J583+J579+J575+J570+J566+J562+J558+J554+J549+J545+J541+J537+J532+J528+J524+J520+J516+J512+J508+J504+J500+J496+J491+J487+J483+J479+J475+J471+J467+J463+J459+J455+J451+J447+J443+J438+J434+J429+J425+J421+J416+J412+J408+J403+J399+J395+J391+J346+J342+J338+J333+J306+J282+J278+J274+J270+J266+J261+J257+J248+J244+J239+J235+J231+J203+J198+J194+J190+J186+J136+J132+J128+J124+J120+J73+J30+J26+J22+J18+J14+J10+J651</f>
        <v>317699</v>
      </c>
      <c r="K856" s="167">
        <f>K798+K794+K790+K786+K782+K778+K774+K770+K766+K762+K758+K754+K750+K746+K742+K738+K734+K727+K721+K715+K711+K705+K699+K695+K690+K686+K682+K677+K647+K643+K639+K635+K631+K627+K623+K619+K615+K611+K607+K603+K599+K595+K591+K587+K583+K579+K575+K570+K566+K562+K558+K554+K549+K545+K541+K537+K532+K528+K524+K520+K516+K512+K508+K504+K500+K496+K491+K487+K483+K479+K475+K471+K467+K463+K459+K455+K451+K447+K443+K438+K434+K429+K425+K421+K416+K412+K408+K403+K399+K395+K391+K346+K342+K338+K333+K306+K282+K278+K274+K270+K266+K261+K257+K248+K244+K239+K235+K231+K203+K198+K194+K190+K186+K136+K132+K128+K124+K120+K73+K30+K26+K22+K18+K14+K10+K651</f>
        <v>61663</v>
      </c>
      <c r="L856" s="167">
        <f>L798+L794+L790+L786+L782+L778+L774+L770+L766+L762+L758+L754+L750+L746+L742+L738+L734+L727+L721+L715+L711+L705+L699+L695+L690+L686+L682+L677+L647+L643+L639+L635+L631+L627+L623+L619+L615+L611+L607+L603+L599+L595+L591+L587+L583+L579+L575+L570+L566+L562+L558+L554+L549+L545+L541+L537+L532+L528+L524+L520+L516+L512+L508+L504+L500+L496+L491+L487+L483+L479+L475+L471+L467+L463+L459+L455+L451+L447+L443+L438+L434+L429+L425+L421+L416+L412+L408+L403+L399+L395+L391+L346+L342+L338+L333+L306+L282+L278+L274+L270+L266+L261+L257+L248+L244+L239+L235+L231+L203+L198+L194+L190+L186+L136+L132+L128+L124+L120+L73+L30+L26+L22+L18+L14+L10+L651</f>
        <v>4343904</v>
      </c>
      <c r="M856" s="167">
        <f>M798+M794+M790+M786+M782+M778+M774+M770+M766+M762+M758+M754+M750+M746+M742+M738+M734+M727+M721+M715+M711+M705+M699+M695+M690+M686+M682+M677+M647+M643+M639+M635+M631+M627+M623+M619+M615+M611+M607+M603+M599+M595+M591+M587+M583+M579+M575+M570+M566+M562+M558+M554+M549+M545+M541+M537+M532+M528+M524+M520+M516+M512+M508+M504+M500+M496+M491+M487+M483+M479+M475+M471+M467+M463+M459+M455+M451+M447+M443+M438+M434+M429+M425+M421+M416+M412+M408+M403+M399+M395+M391+M346+M342+M338+M333+M306+M282+M278+M274+M270+M266+M261+M257+M248+M244+M239+M235+M231+M203+M198+M194+M190+M186+M136+M132+M128+M124+M120+M73+M30+M26+M22+M18+M14+M10+M651</f>
        <v>56795</v>
      </c>
      <c r="N856" s="513">
        <f>N798+N794+N790+N786+N782+N778+N774+N770+N766+N762+N758+N754+N750+N746+N742+N738+N734+N727+N721+N715+N711+N705+N699+N695+N690+N686+N682+N677+N647+N643+N639+N635+N631+N627+N623+N619+N615+N611+N607+N603+N599+N595+N591+N587+N583+N579+N575+N570+N566+N562+N558+N554+N549+N545+N541+N537+N532+N528+N524+N520+N516+N512+N508+N504+N500+N496+N491+N487+N483+N479+N475+N471+N467+N463+N459+N455+N451+N447+N443+N438+N434+N429+N425+N421+N416+N412+N408+N403+N399+N395+N391+N346+N342+N338+N333+N306+N282+N278+N274+N270+N266+N261+N257+N248+N244+N239+N235+N231+N203+N198+N194+N190+N186+N136+N132+N128+N124+N120+N73+N30+N26+N22+N18+N14+N10+N651</f>
        <v>9131703</v>
      </c>
      <c r="O856" s="314"/>
      <c r="P856" s="351"/>
    </row>
    <row r="857" spans="1:16" s="313" customFormat="1" ht="19.5" customHeight="1">
      <c r="A857" s="306">
        <v>850</v>
      </c>
      <c r="B857" s="509"/>
      <c r="C857" s="510"/>
      <c r="D857" s="170" t="s">
        <v>765</v>
      </c>
      <c r="E857" s="1293"/>
      <c r="F857" s="1293"/>
      <c r="G857" s="1294"/>
      <c r="H857" s="512"/>
      <c r="I857" s="340">
        <f>SUM(J857:N857)</f>
        <v>15551045</v>
      </c>
      <c r="J857" s="168">
        <f>J799+J795+J791+J787+J783+J779+J775+J771+J767+J763+J759+J755+J751+J747+J743+J739+J735+J728+J722+J716+J712+J706+J700+J696+J691+J687+J683+J678+J648+J644+J640+J636+J632+J628+J624+J620+J616+J612+J608+J604+J600+J596+J592+J588+J584+J580+J576+J571+J567+J563+J559+J555+J550+J546+J542+J538+J533+J529+J525+J521+J517+J513+J509+J505+J501+J497+J492+J488+J484+J480+J476+J472+J468+J464+J460+J456+J452+J448+J444+J439+J435+J430+J426+J422+J417+J413+J409+J404+J400+J396+J392+J347+J343+J339+J334+J307+J283+J279+J275+J271+J267+J262+J258+J249+J245+J240+J236+J232+J204+J199+J195+J191+J187+J137+J133+J129+J125+J121+J74+J31+J27+J23+J19+J15+J11+J652+J802+J805+J808+J811+J814+J252+J826+J823+J820+J817+J841+J838+J835+J832+J829+J844+J847+J850+J853</f>
        <v>333842</v>
      </c>
      <c r="K857" s="168">
        <f>K799+K795+K791+K787+K783+K779+K775+K771+K767+K763+K759+K755+K751+K747+K743+K739+K735+K728+K722+K716+K712+K706+K700+K696+K691+K687+K683+K678+K648+K644+K640+K636+K632+K628+K624+K620+K616+K612+K608+K604+K600+K596+K592+K588+K584+K580+K576+K571+K567+K563+K559+K555+K550+K546+K542+K538+K533+K529+K525+K521+K517+K513+K509+K505+K501+K497+K492+K488+K484+K480+K476+K472+K468+K464+K460+K456+K452+K448+K444+K439+K435+K430+K426+K422+K417+K413+K409+K404+K400+K396+K392+K347+K343+K339+K334+K307+K283+K279+K275+K271+K267+K262+K258+K249+K245+K240+K236+K232+K204+K199+K195+K191+K187+K137+K133+K129+K125+K121+K74+K31+K27+K23+K19+K15+K11+K652+K802+K805+K808+K811+K814+K252+K826+K823+K820+K817+K841+K838+K835+K832+K829+K844+K847+K850+K853</f>
        <v>66920</v>
      </c>
      <c r="L857" s="168">
        <f>L799+L795+L791+L787+L783+L779+L775+L771+L767+L763+L759+L755+L751+L747+L743+L739+L735+L728+L722+L716+L712+L706+L700+L696+L691+L687+L683+L678+L648+L644+L640+L636+L632+L628+L624+L620+L616+L612+L608+L604+L600+L596+L592+L588+L584+L580+L576+L571+L567+L563+L559+L555+L550+L546+L542+L538+L533+L529+L525+L521+L517+L513+L509+L505+L501+L497+L492+L488+L484+L480+L476+L472+L468+L464+L460+L456+L452+L448+L444+L439+L435+L430+L426+L422+L417+L413+L409+L404+L400+L396+L392+L347+L343+L339+L334+L307+L283+L279+L275+L271+L267+L262+L258+L249+L245+L240+L236+L232+L204+L199+L195+L191+L187+L137+L133+L129+L125+L121+L74+L31+L27+L23+L19+L15+L11+L652+L802+L805+L808+L811+L814+L252+L826+L823+L820+L817+L841+L838+L835+L832+L829+L844+L847+L850+L853</f>
        <v>4771729</v>
      </c>
      <c r="M857" s="168">
        <f>M799+M795+M791+M787+M783+M779+M775+M771+M767+M763+M759+M755+M751+M747+M743+M739+M735+M728+M722+M716+M712+M706+M700+M696+M691+M687+M683+M678+M648+M644+M640+M636+M632+M628+M624+M620+M616+M612+M608+M604+M600+M596+M592+M588+M584+M580+M576+M571+M567+M563+M559+M555+M550+M546+M542+M538+M533+M529+M525+M521+M517+M513+M509+M505+M501+M497+M492+M488+M484+M480+M476+M472+M468+M464+M460+M456+M452+M448+M444+M439+M435+M430+M426+M422+M417+M413+M409+M404+M400+M396+M392+M347+M343+M339+M334+M307+M283+M279+M275+M271+M267+M262+M258+M249+M245+M240+M236+M232+M204+M199+M195+M191+M187+M137+M133+M129+M125+M121+M74+M31+M27+M23+M19+M15+M11+M652+M802+M805+M808+M811+M814+M252+M826+M823+M820+M817+M841+M838+M835+M832+M829+M844+M847+M850+M853</f>
        <v>57126</v>
      </c>
      <c r="N857" s="946">
        <f>N799+N795+N791+N787+N783+N779+N775+N771+N767+N763+N759+N755+N751+N747+N743+N739+N735+N728+N722+N716+N712+N706+N700+N696+N691+N687+N683+N678+N648+N644+N640+N636+N632+N628+N624+N620+N616+N612+N608+N604+N600+N596+N592+N588+N584+N580+N576+N571+N567+N563+N559+N555+N550+N546+N542+N538+N533+N529+N525+N521+N517+N513+N509+N505+N501+N497+N492+N488+N484+N480+N476+N472+N468+N464+N460+N456+N452+N448+N444+N439+N435+N430+N426+N422+N417+N413+N409+N404+N400+N396+N392+N347+N343+N339+N334+N307+N283+N279+N275+N271+N267+N262+N258+N249+N245+N240+N236+N232+N204+N199+N195+N191+N187+N137+N133+N129+N125+N121+N74+N31+N27+N23+N19+N15+N11+N652+N802+N805+N808+N811+N814+N252+N826+N823+N820+N817+N841+N838+N835+N832+N829+N844+N847+N850+N853</f>
        <v>10321428</v>
      </c>
      <c r="O857" s="314"/>
      <c r="P857" s="351"/>
    </row>
    <row r="858" spans="1:16" s="313" customFormat="1" ht="19.5" customHeight="1" thickBot="1">
      <c r="A858" s="306">
        <v>851</v>
      </c>
      <c r="B858" s="416"/>
      <c r="C858" s="514"/>
      <c r="D858" s="451" t="s">
        <v>1022</v>
      </c>
      <c r="E858" s="515"/>
      <c r="F858" s="515"/>
      <c r="G858" s="1295"/>
      <c r="H858" s="346"/>
      <c r="I858" s="166">
        <f>SUM(J858:Q858)</f>
        <v>12605930</v>
      </c>
      <c r="J858" s="166">
        <f>J800+J796+J792+J788+J784+J780+J776+J772+J768+J764+J760+J756+J752+J748+J744+J740+J736+J729+J723+J717+J713+J707+J701+J697+J692+J688+J684+J679+J649+J645+J641+J637+J633+J629+J625+J621+J617+J613+J609+J605+J601+J597+J593+J589+J585+J581+J577+J572+J568+J564+J560+J556+J551+J547+J543+J539+J534+J530+J526+J522+J518+J514+J510+J506+J502+J498+J493+J489+J485+J481+J477+J473+J469+J465+J461+J457+J453+J449+J445+J440+J436+J431+J427+J423+J418+J414+J410+J405+J401+J397+J393+J348+J344+J340+J335+J308+J284+J280+J276+J272+J268+J263+J259+J250+J246+J241+J237+J233+J205+J200+J196+J192+J188+J138+J134+J130+J126+J122+J75+J32+J28+J24+J20+J16+J12+J653+J253+J803+J806+J809+J812+J815+J818+J821+J824+J827+J830+J833+J842+J839+J836+J845+J848+J851+J854</f>
        <v>209761</v>
      </c>
      <c r="K858" s="166">
        <f>K800+K796+K792+K788+K784+K780+K776+K772+K768+K764+K760+K756+K752+K748+K744+K740+K736+K729+K723+K717+K713+K707+K701+K697+K692+K688+K684+K679+K649+K645+K641+K637+K633+K629+K625+K621+K617+K613+K609+K605+K601+K597+K593+K589+K585+K581+K577+K572+K568+K564+K560+K556+K551+K547+K543+K539+K534+K530+K526+K522+K518+K514+K510+K506+K502+K498+K493+K489+K485+K481+K477+K473+K469+K465+K461+K457+K453+K449+K445+K440+K436+K431+K427+K423+K418+K414+K410+K405+K401+K397+K393+K348+K344+K340+K335+K308+K284+K280+K276+K272+K268+K263+K259+K250+K246+K241+K237+K233+K205+K200+K196+K192+K188+K138+K134+K130+K126+K122+K75+K32+K28+K24+K20+K16+K12+K653+K253+K803+K806+K809+K812+K815+K818+K821+K824+K827+K830+K833+K842+K839+K836+K845+K848+K851+K854</f>
        <v>26084</v>
      </c>
      <c r="L858" s="166">
        <f>L800+L796+L792+L788+L784+L780+L776+L772+L768+L764+L760+L756+L752+L748+L744+L740+L736+L729+L723+L717+L713+L707+L701+L697+L692+L688+L684+L679+L649+L645+L641+L637+L633+L629+L625+L621+L617+L613+L609+L605+L601+L597+L593+L589+L585+L581+L577+L572+L568+L564+L560+L556+L551+L547+L543+L539+L534+L530+L526+L522+L518+L514+L510+L506+L502+L498+L493+L489+L485+L481+L477+L473+L469+L465+L461+L457+L453+L449+L445+L440+L436+L431+L427+L423+L418+L414+L410+L405+L401+L397+L393+L348+L344+L340+L335+L308+L284+L280+L276+L272+L268+L263+L259+L250+L246+L241+L237+L233+L205+L200+L196+L192+L188+L138+L134+L130+L126+L122+L75+L32+L28+L24+L20+L16+L12+L653+L253+L803+L806+L809+L812+L815+L818+L821+L824+L827+L830+L833+L842+L839+L836+L845+L848+L851+L854</f>
        <v>2971561</v>
      </c>
      <c r="M858" s="166">
        <f>M800+M796+M792+M788+M784+M780+M776+M772+M768+M764+M760+M756+M752+M748+M744+M740+M736+M729+M723+M717+M713+M707+M701+M697+M692+M688+M684+M679+M649+M645+M641+M637+M633+M629+M625+M621+M617+M613+M609+M605+M601+M597+M593+M589+M585+M581+M577+M572+M568+M564+M560+M556+M551+M547+M543+M539+M534+M530+M526+M522+M518+M514+M510+M506+M502+M498+M493+M489+M485+M481+M477+M473+M469+M465+M461+M457+M453+M449+M445+M440+M436+M431+M427+M423+M418+M414+M410+M405+M401+M397+M393+M348+M344+M340+M335+M308+M284+M280+M276+M272+M268+M263+M259+M250+M246+M241+M237+M233+M205+M200+M196+M192+M188+M138+M134+M130+M126+M122+M75+M32+M28+M24+M20+M16+M12+M653+M253+M803+M806+M809+M812+M815+M818+M821+M824+M827+M830+M833+M842+M839+M836+M845+M848+M851+M854</f>
        <v>19974</v>
      </c>
      <c r="N858" s="162">
        <f>N800+N796+N792+N788+N784+N780+N776+N772+N768+N764+N760+N756+N752+N748+N744+N740+N736+N729+N723+N717+N713+N707+N701+N697+N692+N688+N684+N679+N649+N645+N641+N637+N633+N629+N625+N621+N617+N613+N609+N605+N601+N597+N593+N589+N585+N581+N577+N572+N568+N564+N560+N556+N551+N547+N543+N539+N534+N530+N526+N522+N518+N514+N510+N506+N502+N498+N493+N489+N485+N481+N477+N473+N469+N465+N461+N457+N453+N449+N445+N440+N436+N431+N427+N423+N418+N414+N410+N405+N401+N397+N393+N348+N344+N340+N335+N308+N284+N280+N276+N272+N268+N263+N259+N250+N246+N241+N237+N233+N205+N200+N196+N192+N188+N138+N134+N130+N126+N122+N75+N32+N28+N24+N20+N16+N12+N653+N253+N803+N806+N809+N812+N815+N818+N821+N824+N827+N830+N833+N842+N839+N836+N845+N848+N851+N854</f>
        <v>9378550</v>
      </c>
      <c r="O858" s="314"/>
      <c r="P858" s="351"/>
    </row>
    <row r="859" spans="1:16" s="313" customFormat="1" ht="21.75" customHeight="1" thickTop="1">
      <c r="A859" s="306">
        <v>852</v>
      </c>
      <c r="B859" s="516"/>
      <c r="C859" s="517"/>
      <c r="D859" s="518" t="s">
        <v>644</v>
      </c>
      <c r="E859" s="519"/>
      <c r="F859" s="519"/>
      <c r="G859" s="1296"/>
      <c r="H859" s="520"/>
      <c r="I859" s="521"/>
      <c r="J859" s="522"/>
      <c r="K859" s="522"/>
      <c r="L859" s="522"/>
      <c r="M859" s="522"/>
      <c r="N859" s="523"/>
      <c r="O859" s="314"/>
      <c r="P859" s="351"/>
    </row>
    <row r="860" spans="1:16" s="313" customFormat="1" ht="18" customHeight="1">
      <c r="A860" s="306">
        <v>853</v>
      </c>
      <c r="B860" s="524"/>
      <c r="C860" s="525"/>
      <c r="D860" s="473" t="s">
        <v>198</v>
      </c>
      <c r="E860" s="1297"/>
      <c r="F860" s="1297"/>
      <c r="G860" s="1298"/>
      <c r="H860" s="526"/>
      <c r="I860" s="175">
        <f>SUM(J860:N860)</f>
        <v>11088657</v>
      </c>
      <c r="J860" s="356">
        <f>J651+J647+J643+J639+J631+J627+J623+J619+J615+J611+J607+J599+J603+J595+J591+J587+J583+J570+J579+J575+J566+J562+J558+J554+J545+J541+J537+J532+J528+J524+J516+J471+J463+J459+J455+J451+J443+J416+J412+J408+J395+J391+J350+J342+J338+J270+J266+J261+J257+J58+J50+J38+J10+J742</f>
        <v>295509</v>
      </c>
      <c r="K860" s="356">
        <f>K651+K647+K643+K639+K631+K627+K623+K619+K615+K611+K607+K599+K603+K595+K591+K587+K583+K570+K579+K575+K566+K562+K558+K554+K545+K541+K537+K532+K528+K524+K516+K471+K463+K459+K455+K451+K443+K416+K412+K408+K395+K391+K350+K342+K338+K270+K266+K261+K257+K58+K50+K38+K10+K742</f>
        <v>54357</v>
      </c>
      <c r="L860" s="356">
        <f>L651+L647+L643+L639+L631+L627+L623+L619+L615+L611+L607+L599+L603+L595+L591+L587+L583+L570+L579+L575+L566+L562+L558+L554+L545+L541+L537+L532+L528+L524+L516+L471+L463+L459+L455+L451+L443+L416+L412+L408+L395+L391+L350+L342+L338+L270+L266+L261+L257+L58+L50+L38+L10+L742</f>
        <v>2630212</v>
      </c>
      <c r="M860" s="356">
        <f>M651+M647+M643+M639+M631+M627+M623+M619+M615+M611+M607+M599+M603+M595+M591+M587+M583+M570+M579+M575+M566+M562+M558+M554+M545+M541+M537+M532+M528+M524+M516+M471+M463+M459+M455+M451+M443+M416+M412+M408+M395+M391+M350+M342+M338+M270+M266+M261+M257+M58+M50+M38+M10+M742</f>
        <v>10185</v>
      </c>
      <c r="N860" s="353">
        <f>N651+N647+N643+N639+N631+N627+N623+N619+N615+N611+N607+N599+N603+N595+N591+N587+N583+N570+N579+N575+N566+N562+N558+N554+N545+N541+N537+N532+N528+N524+N516+N471+N463+N459+N455+N451+N443+N416+N412+N408+N395+N391+N350+N342+N338+N270+N266+N261+N257+N58+N50+N38+N10+N742</f>
        <v>8098394</v>
      </c>
      <c r="O860" s="527"/>
      <c r="P860" s="351"/>
    </row>
    <row r="861" spans="1:16" s="313" customFormat="1" ht="18" customHeight="1">
      <c r="A861" s="306">
        <v>854</v>
      </c>
      <c r="B861" s="524"/>
      <c r="C861" s="525"/>
      <c r="D861" s="163" t="s">
        <v>765</v>
      </c>
      <c r="E861" s="1297"/>
      <c r="F861" s="1297"/>
      <c r="G861" s="1298"/>
      <c r="H861" s="526"/>
      <c r="I861" s="173">
        <f>SUM(J861:N861)</f>
        <v>12882949</v>
      </c>
      <c r="J861" s="341">
        <f t="shared" ref="J861:M862" si="6">J652+J648+J644+J640+J632+J628+J624+J620+J616+J612+J608+J600+J604+J596+J592+J588+J584+J571+J580+J576+J567+J563+J559+J555+J546+J542+J538+J533+J529+J525+J517+J472+J464+J460+J456+J452+J444+J417+J413+J409+J396+J392+J351+J343+J339+J271+J267+J262+J258+J59+J51+J39+J11+J743</f>
        <v>296205</v>
      </c>
      <c r="K861" s="341">
        <f t="shared" si="6"/>
        <v>54816</v>
      </c>
      <c r="L861" s="341">
        <f t="shared" si="6"/>
        <v>3363584</v>
      </c>
      <c r="M861" s="341">
        <f t="shared" si="6"/>
        <v>24899</v>
      </c>
      <c r="N861" s="342">
        <f>N652+N648+N644+N640+N632+N628+N624+N620+N616+N612+N608+N600+N604+N596+N592+N588+N584+N571+N580+N576+N567+N563+N559+N555+N546+N542+N538+N533+N529+N525+N517+N472+N464+N460+N456+N452+N444+N417+N413+N409+N396+N392+N351+N343+N339+N271+N267+N262+N258+N59+N51+N39+N11+N743+3000</f>
        <v>9143445</v>
      </c>
      <c r="O861" s="527"/>
      <c r="P861" s="351"/>
    </row>
    <row r="862" spans="1:16" s="313" customFormat="1" ht="18" customHeight="1">
      <c r="A862" s="306">
        <v>855</v>
      </c>
      <c r="B862" s="524"/>
      <c r="C862" s="525"/>
      <c r="D862" s="451" t="s">
        <v>1022</v>
      </c>
      <c r="E862" s="1297"/>
      <c r="F862" s="1297"/>
      <c r="G862" s="1298"/>
      <c r="H862" s="526"/>
      <c r="I862" s="166">
        <f>SUM(J862:Q862)</f>
        <v>10510412</v>
      </c>
      <c r="J862" s="354">
        <f t="shared" si="6"/>
        <v>182958</v>
      </c>
      <c r="K862" s="354">
        <f t="shared" si="6"/>
        <v>19980</v>
      </c>
      <c r="L862" s="354">
        <f t="shared" si="6"/>
        <v>2077549</v>
      </c>
      <c r="M862" s="354">
        <f t="shared" si="6"/>
        <v>10116</v>
      </c>
      <c r="N862" s="355">
        <f>N653+N649+N645+N641+N633+N629+N625+N621+N617+N613+N609+N601+N605+N597+N593+N589+N585+N572+N581+N577+N568+N564+N560+N556+N547+N543+N539+N534+N530+N526+N518+N473+N465+N461+N457+N453+N445+N418+N414+N410+N397+N393+N352+N344+N340+N272+N268+N263+N259+N60+N52+N40+N12+N744</f>
        <v>8219809</v>
      </c>
      <c r="O862" s="527"/>
      <c r="P862" s="351"/>
    </row>
    <row r="863" spans="1:16" s="313" customFormat="1" ht="21.75" customHeight="1">
      <c r="A863" s="306">
        <v>856</v>
      </c>
      <c r="B863" s="524"/>
      <c r="C863" s="525"/>
      <c r="D863" s="528" t="s">
        <v>645</v>
      </c>
      <c r="E863" s="529"/>
      <c r="F863" s="529"/>
      <c r="G863" s="530"/>
      <c r="H863" s="526"/>
      <c r="I863" s="175"/>
      <c r="J863" s="356"/>
      <c r="K863" s="356"/>
      <c r="L863" s="356"/>
      <c r="M863" s="356"/>
      <c r="N863" s="353"/>
      <c r="O863" s="527"/>
      <c r="P863" s="351"/>
    </row>
    <row r="864" spans="1:16" s="313" customFormat="1" ht="18" customHeight="1">
      <c r="A864" s="306">
        <v>857</v>
      </c>
      <c r="B864" s="531"/>
      <c r="C864" s="532"/>
      <c r="D864" s="515" t="s">
        <v>198</v>
      </c>
      <c r="E864" s="1299"/>
      <c r="F864" s="1299"/>
      <c r="G864" s="1300"/>
      <c r="H864" s="533"/>
      <c r="I864" s="174">
        <f>SUM(J864:N864)</f>
        <v>2823107</v>
      </c>
      <c r="J864" s="534">
        <f>J794+J790+J786+J782+J778+J774+J770+J766+J762+J758+J677+J754+J750+J746+J738+J734+J727+J721+J715+J711+J705+J699+J695+J690+J686+J682+J635+J549+J520+J512+J508+J504+J500+J496+J491+J487+J483+J479+J475+J467+J447+J438+J434+J429+J425+J421+J403+J399+J387+J383+J379+J375+J371+J367+J363+J359+J355+J333+J306+J282+J278+J274+J248+J244+J239+J235+J231+J203+J198+J194+J190+J186+J136+J132+J128+J124+J73+J66+J62+J54+J46+J42+J34+J26+J22+J18+J14+J120+J798</f>
        <v>22190</v>
      </c>
      <c r="K864" s="534">
        <f>K794+K790+K786+K782+K778+K774+K770+K766+K762+K758+K677+K754+K750+K746+K738+K734+K727+K721+K715+K711+K705+K699+K695+K690+K686+K682+K635+K549+K520+K512+K508+K504+K500+K496+K491+K487+K483+K479+K475+K467+K447+K438+K434+K429+K425+K421+K403+K399+K387+K383+K379+K375+K371+K367+K363+K359+K355+K333+K306+K282+K278+K274+K248+K244+K239+K235+K231+K203+K198+K194+K190+K186+K136+K132+K128+K124+K73+K66+K62+K54+K46+K42+K34+K26+K22+K18+K14+K120+K798</f>
        <v>7306</v>
      </c>
      <c r="L864" s="534">
        <f>L794+L790+L786+L782+L778+L774+L770+L766+L762+L758+L677+L754+L750+L746+L738+L734+L727+L721+L715+L711+L705+L699+L695+L690+L686+L682+L635+L549+L520+L512+L508+L504+L500+L496+L491+L487+L483+L479+L475+L467+L447+L438+L434+L429+L425+L421+L403+L399+L387+L383+L379+L375+L371+L367+L363+L359+L355+L333+L306+L282+L278+L274+L248+L244+L239+L235+L231+L203+L198+L194+L190+L186+L136+L132+L128+L124+L73+L66+L62+L54+L46+L42+L34+L26+L22+L18+L14+L120+L798</f>
        <v>1713692</v>
      </c>
      <c r="M864" s="534">
        <f>M794+M790+M786+M782+M778+M774+M770+M766+M762+M758+M677+M754+M750+M746+M738+M734+M727+M721+M715+M711+M705+M699+M695+M690+M686+M682+M635+M549+M520+M512+M508+M504+M500+M496+M491+M487+M483+M479+M475+M467+M447+M438+M434+M429+M425+M421+M403+M399+M387+M383+M379+M375+M371+M367+M363+M359+M355+M333+M306+M282+M278+M274+M248+M244+M239+M235+M231+M203+M198+M194+M190+M186+M136+M132+M128+M124+M73+M66+M62+M54+M46+M42+M34+M26+M22+M18+M14+M120+M798</f>
        <v>46610</v>
      </c>
      <c r="N864" s="535">
        <f>N794+N790+N786+N782+N778+N774+N770+N766+N762+N758+N677+N754+N750+N746+N738+N734+N727+N721+N715+N711+N705+N699+N695+N690+N686+N682+N635+N549+N520+N512+N508+N504+N500+N496+N491+N487+N483+N479+N475+N467+N447+N438+N434+N429+N425+N421+N403+N399+N387+N383+N379+N375+N371+N367+N363+N359+N355+N333+N306+N282+N278+N274+N248+N244+N239+N235+N231+N203+N198+N194+N190+N186+N136+N132+N128+N124+N73+N66+N62+N54+N46+N42+N34+N26+N22+N18+N14+N120+N798</f>
        <v>1033309</v>
      </c>
      <c r="O864" s="314"/>
      <c r="P864" s="351"/>
    </row>
    <row r="865" spans="1:16" s="313" customFormat="1" ht="18" customHeight="1">
      <c r="A865" s="306">
        <v>858</v>
      </c>
      <c r="B865" s="531"/>
      <c r="C865" s="532"/>
      <c r="D865" s="163" t="s">
        <v>765</v>
      </c>
      <c r="E865" s="1299"/>
      <c r="F865" s="1299"/>
      <c r="G865" s="1300"/>
      <c r="H865" s="536"/>
      <c r="I865" s="171">
        <f>SUM(J865:N865)</f>
        <v>2668096</v>
      </c>
      <c r="J865" s="537">
        <f>J795+J791+J787+J783+J779+J775+J771+J767+J763+J759+J678+J755+J751+J747+J739+J735+J728+J722+J716+J712+J706+J700+J696+J691+J687+J683+J636+J550+J521+J513+J509+J505+J501+J497+J492+J488+J484+J480+J476+J468+J448+J435+J430+J426+J422+J404+J400+J388+J384+J380+J376+J372+J368+J364+J360+J356+J334+J307+J283+J279+J275+J249+J245+J240+J236+J232+J204+J199+J195+J191+J187+J137+J133+J129+J125+J74+J67+J63+J55+J47+J43+J35+J27+J23+J19+J15+J121+J799+J814+J811+J808+J805+J802+J252+J70+J826+J823+J820+J817+J841+J838+J835+J832+J829+J844+J847+J850+J853</f>
        <v>37637</v>
      </c>
      <c r="K865" s="537">
        <f>K795+K791+K787+K783+K779+K775+K771+K767+K763+K759+K678+K755+K751+K747+K739+K735+K728+K722+K716+K712+K706+K700+K696+K691+K687+K683+K636+K550+K521+K513+K509+K505+K501+K497+K492+K488+K484+K480+K476+K468+K448+K435+K430+K426+K422+K404+K400+K388+K384+K380+K376+K372+K368+K364+K360+K356+K334+K307+K283+K279+K275+K249+K245+K240+K236+K232+K204+K199+K195+K191+K187+K137+K133+K129+K125+K74+K67+K63+K55+K47+K43+K35+K27+K23+K19+K15+K121+K799+K814+K811+K808+K805+K802+K252+K70+K826+K823+K820+K817+K841+K838+K835+K832+K829+K844+K847+K850+K853</f>
        <v>12104</v>
      </c>
      <c r="L865" s="537">
        <f>L795+L791+L787+L783+L779+L775+L771+L767+L763+L759+L678+L755+L751+L747+L739+L735+L728+L722+L716+L712+L706+L700+L696+L691+L687+L683+L636+L550+L521+L513+L509+L505+L501+L497+L492+L488+L484+L480+L476+L468+L448+L435+L430+L426+L422+L404+L400+L388+L384+L380+L376+L372+L368+L364+L360+L356+L334+L307+L283+L279+L275+L249+L245+L240+L236+L232+L204+L199+L195+L191+L187+L137+L133+L129+L125+L74+L67+L63+L55+L47+L43+L35+L27+L23+L19+L15+L121+L799+L814+L811+L808+L805+L802+L252+L70+L826+L823+L820+L817+L841+L838+L835+L832+L829+L844+L847+L850+L853</f>
        <v>1408145</v>
      </c>
      <c r="M865" s="537">
        <f>M795+M791+M787+M783+M779+M775+M771+M767+M763+M759+M678+M755+M751+M747+M739+M735+M728+M722+M716+M712+M706+M700+M696+M691+M687+M683+M636+M550+M521+M513+M509+M505+M501+M497+M492+M488+M484+M480+M476+M468+M448+M435+M430+M426+M422+M404+M400+M388+M384+M380+M376+M372+M368+M364+M360+M356+M334+M307+M283+M279+M275+M249+M245+M240+M236+M232+M204+M199+M195+M191+M187+M137+M133+M129+M125+M74+M67+M63+M55+M47+M43+M35+M27+M23+M19+M15+M121+M799+M814+M811+M808+M805+M802+M252+M70+M826+M823+M820+M817+M841+M838+M835+M832+M829+M844+M847+M850+M853</f>
        <v>32227</v>
      </c>
      <c r="N865" s="947">
        <f>N795+N791+N787+N783+N779+N775+N771+N767+N763+N759+N678+N755+N751+N747+N739+N735+N728+N722+N716+N712+N706+N700+N696+N691+N687+N683+N636+N550+N521+N513+N509+N505+N501+N497+N492+N488+N484+N480+N476+N468+N448+N435+N430+N426+N422+N404+N400+N388+N384+N380+N376+N372+N368+N364+N360+N356+N334+N307+N283+N279+N275+N249+N245+N240+N236+N232+N204+N199+N195+N191+N187+N137+N133+N129+N125+N74+N67+N63+N55+N47+N43+N35+N27+N23+N19+N15+N121+N799+N814+N811+N808+N805+N802+N252+N70+N826+N823+N820+N817+N841+N838+N835+N832+N829+N844+N847+N850+N853</f>
        <v>1177983</v>
      </c>
      <c r="O865" s="314"/>
      <c r="P865" s="351"/>
    </row>
    <row r="866" spans="1:16" s="313" customFormat="1" ht="18" customHeight="1" thickBot="1">
      <c r="A866" s="306">
        <v>859</v>
      </c>
      <c r="B866" s="538"/>
      <c r="C866" s="539"/>
      <c r="D866" s="1318" t="s">
        <v>1022</v>
      </c>
      <c r="E866" s="1301"/>
      <c r="F866" s="1301"/>
      <c r="G866" s="1302"/>
      <c r="H866" s="540"/>
      <c r="I866" s="1304">
        <f>SUM(J866:Q866)</f>
        <v>2095518</v>
      </c>
      <c r="J866" s="1319">
        <f>J796+J792+J788+J784+J780+J776+J772+J768+J764+J760+J679+J756+J752+J748+J740+J736+J729+J723+J717+J713+J707+J701+J697+J692+J688+J684+J637+J551+J522+J514+J510+J506+J502+J498+J493+J489+J485+J481+J477+J469+J449+J440+J436+J431+J427+J423+J405+J401+J389+J385+J381+J377+J373+J369+J365+J361+J357+J335+J308+J284+J280+J276+J250+J246+J241+J237+J233+J205+J200+J196+J192+J188+J138+J134+J130+J126+J75+J68+J64+J56+J48+J44+J36+J28+J24+J20+J16+J122+J800+J253+J803+J806+J809+J812+J815+J71+J818+J821+J824+J827+J830+J833+J836+J839+J842+J845+J848+J851+J854</f>
        <v>26803</v>
      </c>
      <c r="K866" s="1319">
        <f>K796+K792+K788+K784+K780+K776+K772+K768+K764+K760+K679+K756+K752+K748+K740+K736+K729+K723+K717+K713+K707+K701+K697+K692+K688+K684+K637+K551+K522+K514+K510+K506+K502+K498+K493+K489+K485+K481+K477+K469+K449+K440+K436+K431+K427+K423+K405+K401+K389+K385+K381+K377+K373+K369+K365+K361+K357+K335+K308+K284+K280+K276+K250+K246+K241+K237+K233+K205+K200+K196+K192+K188+K138+K134+K130+K126+K75+K68+K64+K56+K48+K44+K36+K28+K24+K20+K16+K122+K800+K253+K803+K806+K809+K812+K815+K71+K818+K821+K824+K827+K830+K833+K836+K839+K842+K845+K848+K851+K854</f>
        <v>6104</v>
      </c>
      <c r="L866" s="1319">
        <f>L796+L792+L788+L784+L780+L776+L772+L768+L764+L760+L679+L756+L752+L748+L740+L736+L729+L723+L717+L713+L707+L701+L697+L692+L688+L684+L637+L551+L522+L514+L510+L506+L502+L498+L493+L489+L485+L481+L477+L469+L449+L440+L436+L431+L427+L423+L405+L401+L389+L385+L381+L377+L373+L369+L365+L361+L357+L335+L308+L284+L280+L276+L250+L246+L241+L237+L233+L205+L200+L196+L192+L188+L138+L134+L130+L126+L75+L68+L64+L56+L48+L44+L36+L28+L24+L20+L16+L122+L800+L253+L803+L806+L809+L812+L815+L71+L818+L821+L824+L827+L830+L833+L836+L839+L842+L845+L848+L851+L854</f>
        <v>894012</v>
      </c>
      <c r="M866" s="1319">
        <f>M796+M792+M788+M784+M780+M776+M772+M768+M764+M760+M679+M756+M752+M748+M740+M736+M729+M723+M717+M713+M707+M701+M697+M692+M688+M684+M637+M551+M522+M514+M510+M506+M502+M498+M493+M489+M485+M481+M477+M469+M449+M440+M436+M431+M427+M423+M405+M401+M389+M385+M381+M377+M373+M369+M365+M361+M357+M335+M308+M284+M280+M276+M250+M246+M241+M237+M233+M205+M200+M196+M192+M188+M138+M134+M130+M126+M75+M68+M64+M56+M48+M44+M36+M28+M24+M20+M16+M122+M800+M253+M803+M806+M809+M812+M815+M71+M818+M821+M824+M827+M830+M833+M836+M839+M842+M845+M848+M851+M854</f>
        <v>9858</v>
      </c>
      <c r="N866" s="1320">
        <f>N796+N792+N788+N784+N780+N776+N772+N768+N764+N760+N679+N756+N752+N748+N740+N736+N729+N723+N717+N713+N707+N701+N697+N692+N688+N684+N637+N551+N522+N514+N510+N506+N502+N498+N493+N489+N485+N481+N477+N469+N449+N440+N436+N431+N427+N423+N405+N401+N389+N385+N381+N377+N373+N369+N365+N361+N357+N335+N308+N284+N280+N276+N250+N246+N241+N237+N233+N205+N200+N196+N192+N188+N138+N134+N130+N126+N75+N68+N64+N56+N48+N44+N36+N28+N24+N20+N16+N122+N800+N253+N803+N806+N809+N812+N815+N71+N818+N821+N824+N827+N830+N833+N836+N839+N842+N845+N848+N851+N854</f>
        <v>1158741</v>
      </c>
      <c r="O866" s="314"/>
      <c r="P866" s="351"/>
    </row>
    <row r="867" spans="1:16" ht="18" customHeight="1">
      <c r="A867" s="541"/>
      <c r="B867" s="1958" t="s">
        <v>288</v>
      </c>
      <c r="C867" s="1958"/>
      <c r="D867" s="1958"/>
      <c r="E867" s="176"/>
      <c r="F867" s="176"/>
      <c r="G867" s="176"/>
      <c r="H867" s="28"/>
      <c r="I867" s="542"/>
      <c r="J867" s="176"/>
      <c r="K867" s="176"/>
      <c r="L867" s="176"/>
      <c r="M867" s="176"/>
      <c r="N867" s="176"/>
    </row>
    <row r="868" spans="1:16" ht="18" customHeight="1">
      <c r="A868" s="541"/>
      <c r="B868" s="543" t="s">
        <v>289</v>
      </c>
      <c r="C868" s="176"/>
      <c r="D868" s="543"/>
      <c r="E868" s="176"/>
      <c r="F868" s="176"/>
      <c r="G868" s="176"/>
      <c r="H868" s="28"/>
      <c r="I868" s="542"/>
      <c r="J868" s="176"/>
      <c r="K868" s="176"/>
      <c r="L868" s="176"/>
      <c r="M868" s="176"/>
      <c r="N868" s="176"/>
    </row>
    <row r="869" spans="1:16" ht="18" customHeight="1">
      <c r="A869" s="541"/>
      <c r="B869" s="1958" t="s">
        <v>290</v>
      </c>
      <c r="C869" s="1958"/>
      <c r="D869" s="1958"/>
      <c r="E869" s="176"/>
      <c r="F869" s="176"/>
      <c r="G869" s="176"/>
      <c r="H869" s="28"/>
      <c r="I869" s="542"/>
      <c r="J869" s="176"/>
      <c r="K869" s="176"/>
      <c r="L869" s="176"/>
      <c r="M869" s="176"/>
      <c r="N869" s="176"/>
    </row>
    <row r="870" spans="1:16" ht="18" customHeight="1">
      <c r="I870" s="310"/>
    </row>
    <row r="871" spans="1:16" ht="18" customHeight="1"/>
    <row r="872" spans="1:16" ht="18" customHeight="1"/>
    <row r="873" spans="1:16" s="309" customFormat="1" ht="18" customHeight="1">
      <c r="A873" s="306"/>
      <c r="B873" s="307"/>
      <c r="C873" s="307"/>
      <c r="D873" s="308"/>
      <c r="E873" s="310"/>
      <c r="F873" s="310"/>
      <c r="G873" s="310"/>
      <c r="H873" s="307"/>
      <c r="J873" s="310"/>
      <c r="K873" s="310"/>
      <c r="L873" s="310"/>
      <c r="M873" s="310"/>
      <c r="N873" s="310"/>
      <c r="O873" s="310"/>
    </row>
    <row r="874" spans="1:16" s="309" customFormat="1" ht="18" customHeight="1">
      <c r="A874" s="306"/>
      <c r="B874" s="307"/>
      <c r="C874" s="307"/>
      <c r="D874" s="308"/>
      <c r="E874" s="310"/>
      <c r="F874" s="310"/>
      <c r="G874" s="310"/>
      <c r="H874" s="307"/>
      <c r="J874" s="310"/>
      <c r="K874" s="310"/>
      <c r="L874" s="310"/>
      <c r="M874" s="310"/>
      <c r="N874" s="310"/>
      <c r="O874" s="310"/>
    </row>
    <row r="875" spans="1:16" s="309" customFormat="1" ht="18" customHeight="1">
      <c r="A875" s="306"/>
      <c r="B875" s="307"/>
      <c r="C875" s="307"/>
      <c r="D875" s="308"/>
      <c r="E875" s="310"/>
      <c r="F875" s="310"/>
      <c r="G875" s="310"/>
      <c r="H875" s="307"/>
      <c r="J875" s="310"/>
      <c r="K875" s="310"/>
      <c r="L875" s="310"/>
      <c r="M875" s="310"/>
      <c r="N875" s="310"/>
      <c r="O875" s="310"/>
    </row>
    <row r="876" spans="1:16" s="309" customFormat="1" ht="18" customHeight="1">
      <c r="A876" s="306"/>
      <c r="B876" s="307"/>
      <c r="C876" s="307"/>
      <c r="D876" s="308"/>
      <c r="E876" s="310"/>
      <c r="F876" s="310"/>
      <c r="G876" s="310"/>
      <c r="H876" s="307"/>
      <c r="J876" s="310"/>
      <c r="K876" s="310"/>
      <c r="L876" s="310"/>
      <c r="M876" s="310"/>
      <c r="N876" s="310"/>
      <c r="O876" s="310"/>
    </row>
    <row r="877" spans="1:16" s="309" customFormat="1" ht="18" customHeight="1">
      <c r="A877" s="306"/>
      <c r="B877" s="307"/>
      <c r="C877" s="307"/>
      <c r="D877" s="308"/>
      <c r="E877" s="310"/>
      <c r="F877" s="310"/>
      <c r="G877" s="310"/>
      <c r="H877" s="307"/>
      <c r="J877" s="310"/>
      <c r="K877" s="310"/>
      <c r="L877" s="310"/>
      <c r="M877" s="310"/>
      <c r="N877" s="310"/>
      <c r="O877" s="310"/>
    </row>
    <row r="878" spans="1:16" s="309" customFormat="1" ht="18" customHeight="1">
      <c r="A878" s="306"/>
      <c r="B878" s="307"/>
      <c r="C878" s="307"/>
      <c r="D878" s="544"/>
      <c r="E878" s="310"/>
      <c r="F878" s="310"/>
      <c r="G878" s="310"/>
      <c r="H878" s="307"/>
      <c r="J878" s="310"/>
      <c r="K878" s="310"/>
      <c r="L878" s="310"/>
      <c r="M878" s="310"/>
      <c r="N878" s="310"/>
      <c r="O878" s="310"/>
    </row>
    <row r="879" spans="1:16" s="309" customFormat="1" ht="18" customHeight="1">
      <c r="A879" s="306"/>
      <c r="B879" s="307"/>
      <c r="C879" s="307"/>
      <c r="D879" s="544"/>
      <c r="E879" s="310"/>
      <c r="F879" s="310"/>
      <c r="G879" s="310"/>
      <c r="H879" s="307"/>
      <c r="J879" s="310"/>
      <c r="K879" s="310"/>
      <c r="L879" s="310"/>
      <c r="M879" s="310"/>
      <c r="N879" s="310"/>
      <c r="O879" s="310"/>
    </row>
    <row r="880" spans="1:16" s="309" customFormat="1" ht="18" customHeight="1">
      <c r="A880" s="306"/>
      <c r="B880" s="307"/>
      <c r="C880" s="307"/>
      <c r="D880" s="308"/>
      <c r="E880" s="310"/>
      <c r="F880" s="310"/>
      <c r="G880" s="310"/>
      <c r="H880" s="307"/>
      <c r="J880" s="310"/>
      <c r="K880" s="310"/>
      <c r="L880" s="310"/>
      <c r="M880" s="310"/>
      <c r="N880" s="310"/>
      <c r="O880" s="310"/>
    </row>
    <row r="881" spans="1:15" s="309" customFormat="1" ht="18" customHeight="1">
      <c r="A881" s="306"/>
      <c r="B881" s="307"/>
      <c r="C881" s="307"/>
      <c r="D881" s="308"/>
      <c r="E881" s="310"/>
      <c r="F881" s="310"/>
      <c r="G881" s="310"/>
      <c r="H881" s="307"/>
      <c r="J881" s="310"/>
      <c r="K881" s="310"/>
      <c r="L881" s="310"/>
      <c r="M881" s="310"/>
      <c r="N881" s="310"/>
      <c r="O881" s="310"/>
    </row>
    <row r="882" spans="1:15" s="309" customFormat="1" ht="18" customHeight="1">
      <c r="A882" s="306"/>
      <c r="B882" s="307"/>
      <c r="C882" s="307"/>
      <c r="D882" s="308"/>
      <c r="E882" s="310"/>
      <c r="F882" s="310"/>
      <c r="G882" s="310"/>
      <c r="H882" s="307"/>
      <c r="J882" s="310"/>
      <c r="K882" s="310"/>
      <c r="L882" s="310"/>
      <c r="M882" s="310"/>
      <c r="N882" s="310"/>
      <c r="O882" s="310"/>
    </row>
    <row r="883" spans="1:15" s="309" customFormat="1" ht="18" customHeight="1">
      <c r="A883" s="306"/>
      <c r="B883" s="307"/>
      <c r="C883" s="307"/>
      <c r="D883" s="308"/>
      <c r="E883" s="310"/>
      <c r="F883" s="310"/>
      <c r="G883" s="310"/>
      <c r="H883" s="307"/>
      <c r="J883" s="310"/>
      <c r="K883" s="310"/>
      <c r="L883" s="310"/>
      <c r="M883" s="310"/>
      <c r="N883" s="310"/>
      <c r="O883" s="310"/>
    </row>
    <row r="884" spans="1:15" s="309" customFormat="1" ht="18" customHeight="1">
      <c r="A884" s="306"/>
      <c r="B884" s="307"/>
      <c r="C884" s="307"/>
      <c r="D884" s="308"/>
      <c r="E884" s="310"/>
      <c r="F884" s="310"/>
      <c r="G884" s="310"/>
      <c r="H884" s="307"/>
      <c r="J884" s="310"/>
      <c r="K884" s="310"/>
      <c r="L884" s="310"/>
      <c r="M884" s="310"/>
      <c r="N884" s="310"/>
      <c r="O884" s="310"/>
    </row>
    <row r="885" spans="1:15" s="309" customFormat="1" ht="18" customHeight="1">
      <c r="A885" s="306"/>
      <c r="B885" s="307"/>
      <c r="C885" s="307"/>
      <c r="D885" s="308"/>
      <c r="E885" s="310"/>
      <c r="F885" s="310"/>
      <c r="G885" s="310"/>
      <c r="H885" s="307"/>
      <c r="J885" s="310"/>
      <c r="K885" s="310"/>
      <c r="L885" s="310"/>
      <c r="M885" s="310"/>
      <c r="N885" s="310"/>
      <c r="O885" s="310"/>
    </row>
    <row r="886" spans="1:15" s="309" customFormat="1" ht="18" customHeight="1">
      <c r="A886" s="306"/>
      <c r="B886" s="307"/>
      <c r="C886" s="307"/>
      <c r="D886" s="308"/>
      <c r="E886" s="310"/>
      <c r="F886" s="310"/>
      <c r="G886" s="310"/>
      <c r="H886" s="307"/>
      <c r="J886" s="310"/>
      <c r="K886" s="310"/>
      <c r="L886" s="310"/>
      <c r="M886" s="310"/>
      <c r="N886" s="310"/>
      <c r="O886" s="310"/>
    </row>
    <row r="887" spans="1:15" s="309" customFormat="1" ht="18" customHeight="1">
      <c r="A887" s="306"/>
      <c r="B887" s="307"/>
      <c r="C887" s="307"/>
      <c r="D887" s="308"/>
      <c r="E887" s="310"/>
      <c r="F887" s="310"/>
      <c r="G887" s="310"/>
      <c r="H887" s="307"/>
      <c r="J887" s="310"/>
      <c r="K887" s="310"/>
      <c r="L887" s="310"/>
      <c r="M887" s="310"/>
      <c r="N887" s="310"/>
      <c r="O887" s="310"/>
    </row>
    <row r="888" spans="1:15" s="309" customFormat="1" ht="18" customHeight="1">
      <c r="A888" s="306"/>
      <c r="B888" s="307"/>
      <c r="C888" s="307"/>
      <c r="D888" s="308"/>
      <c r="E888" s="310"/>
      <c r="F888" s="310"/>
      <c r="G888" s="310"/>
      <c r="H888" s="307"/>
      <c r="J888" s="310"/>
      <c r="K888" s="310"/>
      <c r="L888" s="310"/>
      <c r="M888" s="310"/>
      <c r="N888" s="310"/>
      <c r="O888" s="310"/>
    </row>
    <row r="889" spans="1:15" ht="18" customHeight="1"/>
    <row r="890" spans="1:15" ht="18" customHeight="1"/>
    <row r="891" spans="1:15" ht="18" customHeight="1"/>
    <row r="892" spans="1:15" ht="18" customHeight="1"/>
    <row r="893" spans="1:15" ht="18" customHeight="1"/>
    <row r="894" spans="1:15" ht="18" customHeight="1"/>
    <row r="895" spans="1:15" ht="18" customHeight="1"/>
    <row r="896" spans="1:15" ht="18" customHeight="1"/>
    <row r="897" spans="4:14" ht="18" customHeight="1"/>
    <row r="898" spans="4:14" ht="18" customHeight="1"/>
    <row r="899" spans="4:14" ht="18" customHeight="1"/>
    <row r="900" spans="4:14" ht="18" customHeight="1"/>
    <row r="901" spans="4:14" ht="18" customHeight="1"/>
    <row r="902" spans="4:14" ht="18" customHeight="1"/>
    <row r="903" spans="4:14" ht="18" customHeight="1"/>
    <row r="904" spans="4:14" ht="18" customHeight="1">
      <c r="D904" s="545"/>
      <c r="E904" s="307"/>
      <c r="F904" s="307"/>
      <c r="G904" s="307"/>
      <c r="I904" s="313"/>
      <c r="J904" s="307"/>
      <c r="K904" s="307"/>
      <c r="L904" s="307"/>
      <c r="M904" s="307"/>
      <c r="N904" s="307"/>
    </row>
    <row r="905" spans="4:14" ht="18" customHeight="1">
      <c r="D905" s="545"/>
      <c r="E905" s="307"/>
      <c r="F905" s="307"/>
      <c r="G905" s="307"/>
      <c r="I905" s="313"/>
      <c r="J905" s="307"/>
      <c r="K905" s="307"/>
      <c r="L905" s="307"/>
      <c r="M905" s="307"/>
      <c r="N905" s="307"/>
    </row>
    <row r="906" spans="4:14" ht="18" customHeight="1">
      <c r="D906" s="545"/>
      <c r="E906" s="307"/>
      <c r="F906" s="307"/>
      <c r="G906" s="307"/>
      <c r="I906" s="313"/>
      <c r="J906" s="307"/>
      <c r="K906" s="307"/>
      <c r="L906" s="307"/>
      <c r="M906" s="307"/>
      <c r="N906" s="307"/>
    </row>
    <row r="907" spans="4:14" ht="18" customHeight="1">
      <c r="D907" s="545"/>
      <c r="E907" s="307"/>
      <c r="F907" s="307"/>
      <c r="G907" s="307"/>
      <c r="I907" s="313"/>
      <c r="J907" s="307"/>
      <c r="K907" s="307"/>
      <c r="L907" s="307"/>
      <c r="M907" s="307"/>
      <c r="N907" s="307"/>
    </row>
    <row r="908" spans="4:14" ht="18" customHeight="1"/>
    <row r="909" spans="4:14" ht="18" customHeight="1"/>
    <row r="910" spans="4:14" ht="18" customHeight="1"/>
    <row r="911" spans="4:14" ht="18" customHeight="1"/>
    <row r="912" spans="4:14" ht="18" customHeight="1"/>
    <row r="913" spans="1:14" ht="18" customHeight="1">
      <c r="D913" s="544"/>
    </row>
    <row r="914" spans="1:14" ht="18" customHeight="1">
      <c r="D914" s="544"/>
    </row>
    <row r="915" spans="1:14" s="309" customFormat="1" ht="18" customHeight="1">
      <c r="A915" s="306"/>
      <c r="B915" s="307"/>
      <c r="C915" s="307"/>
      <c r="D915" s="544"/>
      <c r="E915" s="310"/>
      <c r="F915" s="310"/>
      <c r="G915" s="310"/>
      <c r="H915" s="307"/>
      <c r="J915" s="310"/>
      <c r="K915" s="310"/>
      <c r="L915" s="310"/>
      <c r="M915" s="310"/>
      <c r="N915" s="310"/>
    </row>
    <row r="916" spans="1:14" s="309" customFormat="1" ht="18" customHeight="1">
      <c r="A916" s="306"/>
      <c r="B916" s="307"/>
      <c r="C916" s="307"/>
      <c r="D916" s="544"/>
      <c r="E916" s="310"/>
      <c r="F916" s="310"/>
      <c r="G916" s="310"/>
      <c r="H916" s="307"/>
      <c r="J916" s="310"/>
      <c r="K916" s="310"/>
      <c r="L916" s="310"/>
      <c r="M916" s="310"/>
      <c r="N916" s="310"/>
    </row>
    <row r="917" spans="1:14" s="309" customFormat="1" ht="18" customHeight="1">
      <c r="A917" s="306"/>
      <c r="B917" s="307"/>
      <c r="C917" s="307"/>
      <c r="D917" s="544"/>
      <c r="E917" s="310"/>
      <c r="F917" s="310"/>
      <c r="G917" s="310"/>
      <c r="H917" s="307"/>
      <c r="J917" s="310"/>
      <c r="K917" s="310"/>
      <c r="L917" s="310"/>
      <c r="M917" s="310"/>
      <c r="N917" s="310"/>
    </row>
    <row r="918" spans="1:14" s="309" customFormat="1" ht="18" customHeight="1">
      <c r="A918" s="306"/>
      <c r="B918" s="307"/>
      <c r="C918" s="307"/>
      <c r="D918" s="544"/>
      <c r="E918" s="310"/>
      <c r="F918" s="310"/>
      <c r="G918" s="310"/>
      <c r="H918" s="307"/>
      <c r="J918" s="310"/>
      <c r="K918" s="310"/>
      <c r="L918" s="310"/>
      <c r="M918" s="310"/>
      <c r="N918" s="310"/>
    </row>
    <row r="919" spans="1:14" s="309" customFormat="1" ht="18" customHeight="1">
      <c r="A919" s="306"/>
      <c r="B919" s="307"/>
      <c r="C919" s="307"/>
      <c r="D919" s="544"/>
      <c r="E919" s="310"/>
      <c r="F919" s="310"/>
      <c r="G919" s="310"/>
      <c r="H919" s="307"/>
      <c r="J919" s="310"/>
      <c r="K919" s="310"/>
      <c r="L919" s="310"/>
      <c r="M919" s="310"/>
      <c r="N919" s="310"/>
    </row>
    <row r="920" spans="1:14" s="309" customFormat="1" ht="18" customHeight="1">
      <c r="A920" s="306"/>
      <c r="B920" s="307"/>
      <c r="C920" s="307"/>
      <c r="D920" s="544"/>
      <c r="E920" s="310"/>
      <c r="F920" s="310"/>
      <c r="G920" s="310"/>
      <c r="H920" s="307"/>
      <c r="J920" s="310"/>
      <c r="K920" s="310"/>
      <c r="L920" s="310"/>
      <c r="M920" s="310"/>
      <c r="N920" s="310"/>
    </row>
    <row r="921" spans="1:14" s="309" customFormat="1" ht="18" customHeight="1">
      <c r="A921" s="306"/>
      <c r="B921" s="307"/>
      <c r="C921" s="307"/>
      <c r="D921" s="544"/>
      <c r="E921" s="310"/>
      <c r="F921" s="310"/>
      <c r="G921" s="310"/>
      <c r="H921" s="307"/>
      <c r="J921" s="310"/>
      <c r="K921" s="310"/>
      <c r="L921" s="310"/>
      <c r="M921" s="310"/>
      <c r="N921" s="310"/>
    </row>
    <row r="922" spans="1:14" ht="18" customHeight="1"/>
    <row r="923" spans="1:14" ht="18" customHeight="1"/>
    <row r="924" spans="1:14" ht="18" customHeight="1"/>
    <row r="925" spans="1:14" ht="18" customHeight="1"/>
    <row r="926" spans="1:14" ht="18" customHeight="1"/>
    <row r="927" spans="1:14" ht="18" customHeight="1"/>
    <row r="928" spans="1:14" ht="18" customHeight="1"/>
    <row r="929" spans="1:15" ht="18" customHeight="1"/>
    <row r="930" spans="1:15" ht="18" customHeight="1"/>
    <row r="931" spans="1:15" ht="18" customHeight="1"/>
    <row r="932" spans="1:15" ht="18" customHeight="1"/>
    <row r="933" spans="1:15" ht="18" customHeight="1"/>
    <row r="934" spans="1:15" ht="18" customHeight="1"/>
    <row r="935" spans="1:15" s="309" customFormat="1" ht="18" customHeight="1">
      <c r="A935" s="306"/>
      <c r="B935" s="307"/>
      <c r="C935" s="307"/>
      <c r="D935" s="544"/>
      <c r="E935" s="310"/>
      <c r="F935" s="310"/>
      <c r="G935" s="310"/>
      <c r="H935" s="307"/>
      <c r="J935" s="310"/>
      <c r="K935" s="310"/>
      <c r="L935" s="310"/>
      <c r="M935" s="310"/>
      <c r="N935" s="310"/>
    </row>
    <row r="936" spans="1:15" ht="18" customHeight="1"/>
    <row r="937" spans="1:15" s="309" customFormat="1" ht="18" customHeight="1">
      <c r="A937" s="306"/>
      <c r="B937" s="307"/>
      <c r="C937" s="307"/>
      <c r="D937" s="308"/>
      <c r="E937" s="310"/>
      <c r="F937" s="310"/>
      <c r="G937" s="310"/>
      <c r="H937" s="307"/>
      <c r="J937" s="310"/>
      <c r="K937" s="310"/>
      <c r="L937" s="310"/>
      <c r="M937" s="310"/>
      <c r="N937" s="310"/>
      <c r="O937" s="310"/>
    </row>
    <row r="938" spans="1:15" s="309" customFormat="1" ht="18" customHeight="1">
      <c r="A938" s="306"/>
      <c r="B938" s="307"/>
      <c r="C938" s="307"/>
      <c r="D938" s="308"/>
      <c r="E938" s="310"/>
      <c r="F938" s="310"/>
      <c r="G938" s="310"/>
      <c r="H938" s="307"/>
      <c r="J938" s="310"/>
      <c r="K938" s="310"/>
      <c r="L938" s="310"/>
      <c r="M938" s="310"/>
      <c r="N938" s="310"/>
      <c r="O938" s="310"/>
    </row>
    <row r="939" spans="1:15" s="309" customFormat="1">
      <c r="A939" s="306"/>
      <c r="B939" s="307"/>
      <c r="C939" s="307"/>
      <c r="D939" s="308"/>
      <c r="E939" s="310"/>
      <c r="F939" s="310"/>
      <c r="G939" s="310"/>
      <c r="H939" s="307"/>
      <c r="J939" s="310"/>
      <c r="K939" s="310"/>
      <c r="L939" s="310"/>
      <c r="M939" s="310"/>
      <c r="N939" s="310"/>
      <c r="O939" s="310"/>
    </row>
    <row r="940" spans="1:15" s="309" customFormat="1">
      <c r="A940" s="306"/>
      <c r="B940" s="307"/>
      <c r="C940" s="307"/>
      <c r="D940" s="308"/>
      <c r="E940" s="310"/>
      <c r="F940" s="310"/>
      <c r="G940" s="310"/>
      <c r="H940" s="307"/>
      <c r="J940" s="310"/>
      <c r="K940" s="310"/>
      <c r="L940" s="310"/>
      <c r="M940" s="310"/>
      <c r="N940" s="310"/>
      <c r="O940" s="310"/>
    </row>
    <row r="941" spans="1:15" s="309" customFormat="1">
      <c r="A941" s="306"/>
      <c r="B941" s="307"/>
      <c r="C941" s="307"/>
      <c r="D941" s="308"/>
      <c r="E941" s="310"/>
      <c r="F941" s="310"/>
      <c r="G941" s="310"/>
      <c r="H941" s="307"/>
      <c r="J941" s="310"/>
      <c r="K941" s="310"/>
      <c r="L941" s="310"/>
      <c r="M941" s="310"/>
      <c r="N941" s="310"/>
      <c r="O941" s="310"/>
    </row>
    <row r="942" spans="1:15" s="309" customFormat="1">
      <c r="A942" s="306"/>
      <c r="B942" s="307"/>
      <c r="C942" s="307"/>
      <c r="D942" s="308"/>
      <c r="E942" s="310"/>
      <c r="F942" s="310"/>
      <c r="G942" s="310"/>
      <c r="H942" s="307"/>
      <c r="J942" s="310"/>
      <c r="K942" s="310"/>
      <c r="L942" s="310"/>
      <c r="M942" s="310"/>
      <c r="N942" s="310"/>
      <c r="O942" s="310"/>
    </row>
    <row r="943" spans="1:15" s="309" customFormat="1">
      <c r="A943" s="306"/>
      <c r="B943" s="307"/>
      <c r="C943" s="307"/>
      <c r="D943" s="308"/>
      <c r="E943" s="310"/>
      <c r="F943" s="310"/>
      <c r="G943" s="310"/>
      <c r="H943" s="307"/>
      <c r="J943" s="310"/>
      <c r="K943" s="310"/>
      <c r="L943" s="310"/>
      <c r="M943" s="310"/>
      <c r="N943" s="310"/>
      <c r="O943" s="310"/>
    </row>
    <row r="944" spans="1:15" s="309" customFormat="1">
      <c r="A944" s="306"/>
      <c r="B944" s="307"/>
      <c r="C944" s="307"/>
      <c r="D944" s="308"/>
      <c r="E944" s="310"/>
      <c r="F944" s="310"/>
      <c r="G944" s="310"/>
      <c r="H944" s="307"/>
      <c r="J944" s="310"/>
      <c r="K944" s="310"/>
      <c r="L944" s="310"/>
      <c r="M944" s="310"/>
      <c r="N944" s="310"/>
      <c r="O944" s="310"/>
    </row>
    <row r="945" spans="1:15" s="309" customFormat="1">
      <c r="A945" s="306"/>
      <c r="B945" s="307"/>
      <c r="C945" s="307"/>
      <c r="D945" s="308"/>
      <c r="E945" s="310"/>
      <c r="F945" s="310"/>
      <c r="G945" s="310"/>
      <c r="H945" s="307"/>
      <c r="J945" s="310"/>
      <c r="K945" s="310"/>
      <c r="L945" s="310"/>
      <c r="M945" s="310"/>
      <c r="N945" s="310"/>
      <c r="O945" s="310"/>
    </row>
    <row r="946" spans="1:15" s="309" customFormat="1">
      <c r="A946" s="306"/>
      <c r="B946" s="307"/>
      <c r="C946" s="307"/>
      <c r="D946" s="308"/>
      <c r="E946" s="310"/>
      <c r="F946" s="310"/>
      <c r="G946" s="310"/>
      <c r="H946" s="307"/>
      <c r="J946" s="310"/>
      <c r="K946" s="310"/>
      <c r="L946" s="310"/>
      <c r="M946" s="310"/>
      <c r="N946" s="310"/>
      <c r="O946" s="310"/>
    </row>
    <row r="947" spans="1:15" s="309" customFormat="1">
      <c r="A947" s="306"/>
      <c r="B947" s="307"/>
      <c r="C947" s="307"/>
      <c r="D947" s="308"/>
      <c r="E947" s="310"/>
      <c r="F947" s="310"/>
      <c r="G947" s="310"/>
      <c r="H947" s="307"/>
      <c r="J947" s="310"/>
      <c r="K947" s="310"/>
      <c r="L947" s="310"/>
      <c r="M947" s="310"/>
      <c r="N947" s="310"/>
      <c r="O947" s="310"/>
    </row>
    <row r="948" spans="1:15" s="309" customFormat="1">
      <c r="A948" s="306"/>
      <c r="B948" s="307"/>
      <c r="C948" s="307"/>
      <c r="D948" s="308"/>
      <c r="E948" s="310"/>
      <c r="F948" s="310"/>
      <c r="G948" s="310"/>
      <c r="H948" s="307"/>
      <c r="J948" s="310"/>
      <c r="K948" s="310"/>
      <c r="L948" s="310"/>
      <c r="M948" s="310"/>
      <c r="N948" s="310"/>
      <c r="O948" s="310"/>
    </row>
    <row r="949" spans="1:15" s="309" customFormat="1">
      <c r="A949" s="306"/>
      <c r="B949" s="307"/>
      <c r="C949" s="307"/>
      <c r="D949" s="308"/>
      <c r="E949" s="310"/>
      <c r="F949" s="310"/>
      <c r="G949" s="310"/>
      <c r="H949" s="307"/>
      <c r="J949" s="310"/>
      <c r="K949" s="310"/>
      <c r="L949" s="310"/>
      <c r="M949" s="310"/>
      <c r="N949" s="310"/>
      <c r="O949" s="310"/>
    </row>
    <row r="950" spans="1:15" s="309" customFormat="1">
      <c r="A950" s="306"/>
      <c r="B950" s="307"/>
      <c r="C950" s="307"/>
      <c r="D950" s="308"/>
      <c r="E950" s="310"/>
      <c r="F950" s="310"/>
      <c r="G950" s="310"/>
      <c r="H950" s="307"/>
      <c r="J950" s="310"/>
      <c r="K950" s="310"/>
      <c r="L950" s="310"/>
      <c r="M950" s="310"/>
      <c r="N950" s="310"/>
      <c r="O950" s="310"/>
    </row>
    <row r="951" spans="1:15" s="309" customFormat="1">
      <c r="A951" s="306"/>
      <c r="B951" s="307"/>
      <c r="C951" s="307"/>
      <c r="D951" s="308"/>
      <c r="E951" s="310"/>
      <c r="F951" s="310"/>
      <c r="G951" s="310"/>
      <c r="H951" s="307"/>
      <c r="J951" s="310"/>
      <c r="K951" s="310"/>
      <c r="L951" s="310"/>
      <c r="M951" s="310"/>
      <c r="N951" s="310"/>
      <c r="O951" s="310"/>
    </row>
    <row r="952" spans="1:15" s="309" customFormat="1">
      <c r="A952" s="306"/>
      <c r="B952" s="307"/>
      <c r="C952" s="307"/>
      <c r="D952" s="308"/>
      <c r="E952" s="310"/>
      <c r="F952" s="310"/>
      <c r="G952" s="310"/>
      <c r="H952" s="307"/>
      <c r="J952" s="310"/>
      <c r="K952" s="310"/>
      <c r="L952" s="310"/>
      <c r="M952" s="310"/>
      <c r="N952" s="310"/>
      <c r="O952" s="310"/>
    </row>
    <row r="953" spans="1:15" s="309" customFormat="1">
      <c r="A953" s="306"/>
      <c r="B953" s="307"/>
      <c r="C953" s="307"/>
      <c r="D953" s="308"/>
      <c r="E953" s="310"/>
      <c r="F953" s="310"/>
      <c r="G953" s="310"/>
      <c r="H953" s="307"/>
      <c r="J953" s="310"/>
      <c r="K953" s="310"/>
      <c r="L953" s="310"/>
      <c r="M953" s="310"/>
      <c r="N953" s="310"/>
      <c r="O953" s="310"/>
    </row>
    <row r="954" spans="1:15" s="309" customFormat="1">
      <c r="A954" s="306"/>
      <c r="B954" s="307"/>
      <c r="C954" s="307"/>
      <c r="D954" s="308"/>
      <c r="E954" s="310"/>
      <c r="F954" s="310"/>
      <c r="G954" s="310"/>
      <c r="H954" s="307"/>
      <c r="J954" s="310"/>
      <c r="K954" s="310"/>
      <c r="L954" s="310"/>
      <c r="M954" s="310"/>
      <c r="N954" s="310"/>
      <c r="O954" s="310"/>
    </row>
    <row r="955" spans="1:15" s="309" customFormat="1">
      <c r="A955" s="306"/>
      <c r="B955" s="307"/>
      <c r="C955" s="307"/>
      <c r="D955" s="308"/>
      <c r="E955" s="310"/>
      <c r="F955" s="310"/>
      <c r="G955" s="310"/>
      <c r="H955" s="307"/>
      <c r="J955" s="310"/>
      <c r="K955" s="310"/>
      <c r="L955" s="310"/>
      <c r="M955" s="310"/>
      <c r="N955" s="310"/>
      <c r="O955" s="310"/>
    </row>
    <row r="956" spans="1:15" s="309" customFormat="1">
      <c r="A956" s="306"/>
      <c r="B956" s="307"/>
      <c r="C956" s="307"/>
      <c r="D956" s="308"/>
      <c r="E956" s="310"/>
      <c r="F956" s="310"/>
      <c r="G956" s="310"/>
      <c r="H956" s="307"/>
      <c r="J956" s="310"/>
      <c r="K956" s="310"/>
      <c r="L956" s="310"/>
      <c r="M956" s="310"/>
      <c r="N956" s="310"/>
      <c r="O956" s="310"/>
    </row>
    <row r="957" spans="1:15" s="309" customFormat="1">
      <c r="A957" s="306"/>
      <c r="B957" s="307"/>
      <c r="C957" s="307"/>
      <c r="D957" s="308"/>
      <c r="E957" s="310"/>
      <c r="F957" s="310"/>
      <c r="G957" s="310"/>
      <c r="H957" s="307"/>
      <c r="J957" s="310"/>
      <c r="K957" s="310"/>
      <c r="L957" s="310"/>
      <c r="M957" s="310"/>
      <c r="N957" s="310"/>
      <c r="O957" s="310"/>
    </row>
    <row r="958" spans="1:15" s="309" customFormat="1">
      <c r="A958" s="306"/>
      <c r="B958" s="307"/>
      <c r="C958" s="307"/>
      <c r="D958" s="308"/>
      <c r="E958" s="310"/>
      <c r="F958" s="310"/>
      <c r="G958" s="310"/>
      <c r="H958" s="307"/>
      <c r="J958" s="310"/>
      <c r="K958" s="310"/>
      <c r="L958" s="310"/>
      <c r="M958" s="310"/>
      <c r="N958" s="310"/>
      <c r="O958" s="310"/>
    </row>
    <row r="959" spans="1:15" s="309" customFormat="1">
      <c r="A959" s="306"/>
      <c r="B959" s="307"/>
      <c r="C959" s="307"/>
      <c r="D959" s="308"/>
      <c r="E959" s="310"/>
      <c r="F959" s="310"/>
      <c r="G959" s="310"/>
      <c r="H959" s="307"/>
      <c r="J959" s="310"/>
      <c r="K959" s="310"/>
      <c r="L959" s="310"/>
      <c r="M959" s="310"/>
      <c r="N959" s="310"/>
      <c r="O959" s="310"/>
    </row>
    <row r="960" spans="1:15" s="309" customFormat="1">
      <c r="A960" s="306"/>
      <c r="B960" s="307"/>
      <c r="C960" s="307"/>
      <c r="D960" s="308"/>
      <c r="E960" s="310"/>
      <c r="F960" s="310"/>
      <c r="G960" s="310"/>
      <c r="H960" s="307"/>
      <c r="J960" s="310"/>
      <c r="K960" s="310"/>
      <c r="L960" s="310"/>
      <c r="M960" s="310"/>
      <c r="N960" s="310"/>
      <c r="O960" s="310"/>
    </row>
    <row r="961" spans="1:15" s="309" customFormat="1">
      <c r="A961" s="306"/>
      <c r="B961" s="307"/>
      <c r="C961" s="307"/>
      <c r="D961" s="308"/>
      <c r="E961" s="310"/>
      <c r="F961" s="310"/>
      <c r="G961" s="310"/>
      <c r="H961" s="307"/>
      <c r="J961" s="310"/>
      <c r="K961" s="310"/>
      <c r="L961" s="310"/>
      <c r="M961" s="310"/>
      <c r="N961" s="310"/>
      <c r="O961" s="310"/>
    </row>
    <row r="962" spans="1:15" s="309" customFormat="1">
      <c r="A962" s="306"/>
      <c r="B962" s="307"/>
      <c r="C962" s="307"/>
      <c r="D962" s="308"/>
      <c r="E962" s="310"/>
      <c r="F962" s="310"/>
      <c r="G962" s="310"/>
      <c r="H962" s="307"/>
      <c r="J962" s="310"/>
      <c r="K962" s="310"/>
      <c r="L962" s="310"/>
      <c r="M962" s="310"/>
      <c r="N962" s="310"/>
      <c r="O962" s="310"/>
    </row>
    <row r="963" spans="1:15" s="309" customFormat="1">
      <c r="A963" s="306"/>
      <c r="B963" s="307"/>
      <c r="C963" s="307"/>
      <c r="D963" s="308"/>
      <c r="E963" s="310"/>
      <c r="F963" s="310"/>
      <c r="G963" s="310"/>
      <c r="H963" s="307"/>
      <c r="J963" s="310"/>
      <c r="K963" s="310"/>
      <c r="L963" s="310"/>
      <c r="M963" s="310"/>
      <c r="N963" s="310"/>
      <c r="O963" s="310"/>
    </row>
    <row r="964" spans="1:15" s="309" customFormat="1">
      <c r="A964" s="306"/>
      <c r="B964" s="307"/>
      <c r="C964" s="307"/>
      <c r="D964" s="308"/>
      <c r="E964" s="310"/>
      <c r="F964" s="310"/>
      <c r="G964" s="310"/>
      <c r="H964" s="307"/>
      <c r="J964" s="310"/>
      <c r="K964" s="310"/>
      <c r="L964" s="310"/>
      <c r="M964" s="310"/>
      <c r="N964" s="310"/>
      <c r="O964" s="310"/>
    </row>
    <row r="965" spans="1:15" s="309" customFormat="1">
      <c r="A965" s="306"/>
      <c r="B965" s="307"/>
      <c r="C965" s="307"/>
      <c r="D965" s="308"/>
      <c r="E965" s="310"/>
      <c r="F965" s="310"/>
      <c r="G965" s="310"/>
      <c r="H965" s="307"/>
      <c r="J965" s="310"/>
      <c r="K965" s="310"/>
      <c r="L965" s="310"/>
      <c r="M965" s="310"/>
      <c r="N965" s="310"/>
      <c r="O965" s="310"/>
    </row>
    <row r="966" spans="1:15" s="309" customFormat="1">
      <c r="A966" s="306"/>
      <c r="B966" s="307"/>
      <c r="C966" s="307"/>
      <c r="D966" s="308"/>
      <c r="E966" s="310"/>
      <c r="F966" s="310"/>
      <c r="G966" s="310"/>
      <c r="H966" s="307"/>
      <c r="J966" s="310"/>
      <c r="K966" s="310"/>
      <c r="L966" s="310"/>
      <c r="M966" s="310"/>
      <c r="N966" s="310"/>
      <c r="O966" s="310"/>
    </row>
    <row r="967" spans="1:15" s="309" customFormat="1">
      <c r="A967" s="306"/>
      <c r="B967" s="307"/>
      <c r="C967" s="307"/>
      <c r="D967" s="308"/>
      <c r="E967" s="310"/>
      <c r="F967" s="310"/>
      <c r="G967" s="310"/>
      <c r="H967" s="307"/>
      <c r="J967" s="310"/>
      <c r="K967" s="310"/>
      <c r="L967" s="310"/>
      <c r="M967" s="310"/>
      <c r="N967" s="310"/>
      <c r="O967" s="310"/>
    </row>
    <row r="968" spans="1:15" s="309" customFormat="1">
      <c r="A968" s="306"/>
      <c r="B968" s="307"/>
      <c r="C968" s="307"/>
      <c r="D968" s="308"/>
      <c r="E968" s="310"/>
      <c r="F968" s="310"/>
      <c r="G968" s="310"/>
      <c r="H968" s="307"/>
      <c r="J968" s="310"/>
      <c r="K968" s="310"/>
      <c r="L968" s="310"/>
      <c r="M968" s="310"/>
      <c r="N968" s="310"/>
      <c r="O968" s="310"/>
    </row>
    <row r="969" spans="1:15" s="309" customFormat="1">
      <c r="A969" s="306"/>
      <c r="B969" s="307"/>
      <c r="C969" s="307"/>
      <c r="D969" s="308"/>
      <c r="E969" s="310"/>
      <c r="F969" s="310"/>
      <c r="G969" s="310"/>
      <c r="H969" s="307"/>
      <c r="J969" s="310"/>
      <c r="K969" s="310"/>
      <c r="L969" s="310"/>
      <c r="M969" s="310"/>
      <c r="N969" s="310"/>
      <c r="O969" s="310"/>
    </row>
    <row r="970" spans="1:15" s="309" customFormat="1">
      <c r="A970" s="306"/>
      <c r="B970" s="307"/>
      <c r="C970" s="307"/>
      <c r="D970" s="308"/>
      <c r="E970" s="310"/>
      <c r="F970" s="310"/>
      <c r="G970" s="310"/>
      <c r="H970" s="307"/>
      <c r="J970" s="310"/>
      <c r="K970" s="310"/>
      <c r="L970" s="310"/>
      <c r="M970" s="310"/>
      <c r="N970" s="310"/>
      <c r="O970" s="310"/>
    </row>
    <row r="971" spans="1:15" s="309" customFormat="1">
      <c r="A971" s="306"/>
      <c r="B971" s="307"/>
      <c r="C971" s="307"/>
      <c r="D971" s="308"/>
      <c r="E971" s="310"/>
      <c r="F971" s="310"/>
      <c r="G971" s="310"/>
      <c r="H971" s="307"/>
      <c r="J971" s="310"/>
      <c r="K971" s="310"/>
      <c r="L971" s="310"/>
      <c r="M971" s="310"/>
      <c r="N971" s="310"/>
      <c r="O971" s="310"/>
    </row>
    <row r="972" spans="1:15" s="309" customFormat="1">
      <c r="A972" s="306"/>
      <c r="B972" s="307"/>
      <c r="C972" s="307"/>
      <c r="D972" s="308"/>
      <c r="E972" s="310"/>
      <c r="F972" s="310"/>
      <c r="G972" s="310"/>
      <c r="H972" s="307"/>
      <c r="J972" s="310"/>
      <c r="K972" s="310"/>
      <c r="L972" s="310"/>
      <c r="M972" s="310"/>
      <c r="N972" s="310"/>
      <c r="O972" s="310"/>
    </row>
    <row r="973" spans="1:15" s="309" customFormat="1">
      <c r="A973" s="306"/>
      <c r="B973" s="307"/>
      <c r="C973" s="307"/>
      <c r="D973" s="308"/>
      <c r="E973" s="310"/>
      <c r="F973" s="310"/>
      <c r="G973" s="310"/>
      <c r="H973" s="307"/>
      <c r="J973" s="310"/>
      <c r="K973" s="310"/>
      <c r="L973" s="310"/>
      <c r="M973" s="310"/>
      <c r="N973" s="310"/>
      <c r="O973" s="310"/>
    </row>
    <row r="974" spans="1:15" s="309" customFormat="1">
      <c r="A974" s="306"/>
      <c r="B974" s="307"/>
      <c r="C974" s="307"/>
      <c r="D974" s="308"/>
      <c r="E974" s="310"/>
      <c r="F974" s="310"/>
      <c r="G974" s="310"/>
      <c r="H974" s="307"/>
      <c r="J974" s="310"/>
      <c r="K974" s="310"/>
      <c r="L974" s="310"/>
      <c r="M974" s="310"/>
      <c r="N974" s="310"/>
      <c r="O974" s="310"/>
    </row>
    <row r="975" spans="1:15" s="309" customFormat="1">
      <c r="A975" s="306"/>
      <c r="B975" s="307"/>
      <c r="C975" s="307"/>
      <c r="D975" s="308"/>
      <c r="E975" s="310"/>
      <c r="F975" s="310"/>
      <c r="G975" s="310"/>
      <c r="H975" s="307"/>
      <c r="J975" s="310"/>
      <c r="K975" s="310"/>
      <c r="L975" s="310"/>
      <c r="M975" s="310"/>
      <c r="N975" s="310"/>
      <c r="O975" s="310"/>
    </row>
    <row r="976" spans="1:15" s="309" customFormat="1">
      <c r="A976" s="306"/>
      <c r="B976" s="307"/>
      <c r="C976" s="307"/>
      <c r="D976" s="308"/>
      <c r="E976" s="310"/>
      <c r="F976" s="310"/>
      <c r="G976" s="310"/>
      <c r="H976" s="307"/>
      <c r="J976" s="310"/>
      <c r="K976" s="310"/>
      <c r="L976" s="310"/>
      <c r="M976" s="310"/>
      <c r="N976" s="310"/>
      <c r="O976" s="310"/>
    </row>
    <row r="977" spans="1:15" s="309" customFormat="1">
      <c r="A977" s="306"/>
      <c r="B977" s="307"/>
      <c r="C977" s="307"/>
      <c r="D977" s="308"/>
      <c r="E977" s="310"/>
      <c r="F977" s="310"/>
      <c r="G977" s="310"/>
      <c r="H977" s="307"/>
      <c r="J977" s="310"/>
      <c r="K977" s="310"/>
      <c r="L977" s="310"/>
      <c r="M977" s="310"/>
      <c r="N977" s="310"/>
      <c r="O977" s="310"/>
    </row>
    <row r="978" spans="1:15" s="309" customFormat="1">
      <c r="A978" s="306"/>
      <c r="B978" s="307"/>
      <c r="C978" s="307"/>
      <c r="D978" s="308"/>
      <c r="E978" s="310"/>
      <c r="F978" s="310"/>
      <c r="G978" s="310"/>
      <c r="H978" s="307"/>
      <c r="J978" s="310"/>
      <c r="K978" s="310"/>
      <c r="L978" s="310"/>
      <c r="M978" s="310"/>
      <c r="N978" s="310"/>
      <c r="O978" s="310"/>
    </row>
    <row r="979" spans="1:15" s="309" customFormat="1">
      <c r="A979" s="306"/>
      <c r="B979" s="307"/>
      <c r="C979" s="307"/>
      <c r="D979" s="308"/>
      <c r="E979" s="310"/>
      <c r="F979" s="310"/>
      <c r="G979" s="310"/>
      <c r="H979" s="307"/>
      <c r="J979" s="310"/>
      <c r="K979" s="310"/>
      <c r="L979" s="310"/>
      <c r="M979" s="310"/>
      <c r="N979" s="310"/>
      <c r="O979" s="310"/>
    </row>
    <row r="980" spans="1:15" s="309" customFormat="1">
      <c r="A980" s="306"/>
      <c r="B980" s="307"/>
      <c r="C980" s="307"/>
      <c r="D980" s="308"/>
      <c r="E980" s="310"/>
      <c r="F980" s="310"/>
      <c r="G980" s="310"/>
      <c r="H980" s="307"/>
      <c r="J980" s="310"/>
      <c r="K980" s="310"/>
      <c r="L980" s="310"/>
      <c r="M980" s="310"/>
      <c r="N980" s="310"/>
      <c r="O980" s="310"/>
    </row>
    <row r="981" spans="1:15" s="309" customFormat="1">
      <c r="A981" s="306"/>
      <c r="B981" s="307"/>
      <c r="C981" s="307"/>
      <c r="D981" s="308"/>
      <c r="E981" s="310"/>
      <c r="F981" s="310"/>
      <c r="G981" s="310"/>
      <c r="H981" s="307"/>
      <c r="J981" s="310"/>
      <c r="K981" s="310"/>
      <c r="L981" s="310"/>
      <c r="M981" s="310"/>
      <c r="N981" s="310"/>
      <c r="O981" s="310"/>
    </row>
    <row r="982" spans="1:15" s="309" customFormat="1">
      <c r="A982" s="306"/>
      <c r="B982" s="307"/>
      <c r="C982" s="307"/>
      <c r="D982" s="308"/>
      <c r="E982" s="310"/>
      <c r="F982" s="310"/>
      <c r="G982" s="310"/>
      <c r="H982" s="307"/>
      <c r="J982" s="310"/>
      <c r="K982" s="310"/>
      <c r="L982" s="310"/>
      <c r="M982" s="310"/>
      <c r="N982" s="310"/>
      <c r="O982" s="310"/>
    </row>
    <row r="983" spans="1:15" s="309" customFormat="1">
      <c r="A983" s="306"/>
      <c r="B983" s="307"/>
      <c r="C983" s="307"/>
      <c r="D983" s="308"/>
      <c r="E983" s="310"/>
      <c r="F983" s="310"/>
      <c r="G983" s="310"/>
      <c r="H983" s="307"/>
      <c r="J983" s="310"/>
      <c r="K983" s="310"/>
      <c r="L983" s="310"/>
      <c r="M983" s="310"/>
      <c r="N983" s="310"/>
      <c r="O983" s="310"/>
    </row>
    <row r="984" spans="1:15" s="309" customFormat="1">
      <c r="A984" s="306"/>
      <c r="B984" s="307"/>
      <c r="C984" s="307"/>
      <c r="D984" s="308"/>
      <c r="E984" s="310"/>
      <c r="F984" s="310"/>
      <c r="G984" s="310"/>
      <c r="H984" s="307"/>
      <c r="J984" s="310"/>
      <c r="K984" s="310"/>
      <c r="L984" s="310"/>
      <c r="M984" s="310"/>
      <c r="N984" s="310"/>
      <c r="O984" s="310"/>
    </row>
    <row r="985" spans="1:15" s="309" customFormat="1">
      <c r="A985" s="306"/>
      <c r="B985" s="307"/>
      <c r="C985" s="307"/>
      <c r="D985" s="308"/>
      <c r="E985" s="310"/>
      <c r="F985" s="310"/>
      <c r="G985" s="310"/>
      <c r="H985" s="307"/>
      <c r="J985" s="310"/>
      <c r="K985" s="310"/>
      <c r="L985" s="310"/>
      <c r="M985" s="310"/>
      <c r="N985" s="310"/>
      <c r="O985" s="310"/>
    </row>
    <row r="986" spans="1:15" s="309" customFormat="1">
      <c r="A986" s="306"/>
      <c r="B986" s="307"/>
      <c r="C986" s="307"/>
      <c r="D986" s="308"/>
      <c r="E986" s="310"/>
      <c r="F986" s="310"/>
      <c r="G986" s="310"/>
      <c r="H986" s="307"/>
      <c r="J986" s="310"/>
      <c r="K986" s="310"/>
      <c r="L986" s="310"/>
      <c r="M986" s="310"/>
      <c r="N986" s="310"/>
      <c r="O986" s="310"/>
    </row>
    <row r="987" spans="1:15" s="309" customFormat="1">
      <c r="A987" s="306"/>
      <c r="B987" s="307"/>
      <c r="C987" s="307"/>
      <c r="D987" s="308"/>
      <c r="E987" s="310"/>
      <c r="F987" s="310"/>
      <c r="G987" s="310"/>
      <c r="H987" s="307"/>
      <c r="J987" s="310"/>
      <c r="K987" s="310"/>
      <c r="L987" s="310"/>
      <c r="M987" s="310"/>
      <c r="N987" s="310"/>
      <c r="O987" s="310"/>
    </row>
    <row r="988" spans="1:15" s="309" customFormat="1">
      <c r="A988" s="306"/>
      <c r="B988" s="307"/>
      <c r="C988" s="307"/>
      <c r="D988" s="308"/>
      <c r="E988" s="310"/>
      <c r="F988" s="310"/>
      <c r="G988" s="310"/>
      <c r="H988" s="307"/>
      <c r="J988" s="310"/>
      <c r="K988" s="310"/>
      <c r="L988" s="310"/>
      <c r="M988" s="310"/>
      <c r="N988" s="310"/>
      <c r="O988" s="310"/>
    </row>
    <row r="989" spans="1:15" s="309" customFormat="1">
      <c r="A989" s="306"/>
      <c r="B989" s="307"/>
      <c r="C989" s="307"/>
      <c r="D989" s="308"/>
      <c r="E989" s="310"/>
      <c r="F989" s="310"/>
      <c r="G989" s="310"/>
      <c r="H989" s="307"/>
      <c r="J989" s="310"/>
      <c r="K989" s="310"/>
      <c r="L989" s="310"/>
      <c r="M989" s="310"/>
      <c r="N989" s="310"/>
      <c r="O989" s="310"/>
    </row>
  </sheetData>
  <mergeCells count="18">
    <mergeCell ref="D855:G855"/>
    <mergeCell ref="B867:D867"/>
    <mergeCell ref="B869:D869"/>
    <mergeCell ref="G6:G7"/>
    <mergeCell ref="H6:H7"/>
    <mergeCell ref="I6:I7"/>
    <mergeCell ref="J6:N6"/>
    <mergeCell ref="D169:E169"/>
    <mergeCell ref="B6:B7"/>
    <mergeCell ref="C6:C7"/>
    <mergeCell ref="D6:D7"/>
    <mergeCell ref="E6:E7"/>
    <mergeCell ref="F6:F7"/>
    <mergeCell ref="G1:I1"/>
    <mergeCell ref="B2:N2"/>
    <mergeCell ref="B3:N3"/>
    <mergeCell ref="M4:N4"/>
    <mergeCell ref="B1:F1"/>
  </mergeCells>
  <printOptions horizontalCentered="1"/>
  <pageMargins left="0.196527777777778" right="0.196527777777778" top="0.59027777777777801" bottom="0.59027777777777801" header="0.511811023622047" footer="0.51180555555555596"/>
  <pageSetup paperSize="9" scale="66" orientation="landscape" verticalDpi="300" r:id="rId1"/>
  <headerFooter>
    <oddFooter>&amp;C- &amp;P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563"/>
  <sheetViews>
    <sheetView view="pageBreakPreview" topLeftCell="E549" zoomScaleNormal="100" zoomScaleSheetLayoutView="100" workbookViewId="0">
      <selection activeCell="A4" sqref="A4:M563"/>
    </sheetView>
  </sheetViews>
  <sheetFormatPr defaultColWidth="9.26953125" defaultRowHeight="14.5"/>
  <cols>
    <col min="1" max="1" width="3.7265625" style="950" customWidth="1"/>
    <col min="2" max="2" width="5.7265625" style="951" customWidth="1"/>
    <col min="3" max="3" width="5.7265625" style="546" customWidth="1"/>
    <col min="4" max="4" width="59.7265625" style="952" customWidth="1"/>
    <col min="5" max="7" width="10.7265625" style="547" customWidth="1"/>
    <col min="8" max="8" width="6.7265625" style="953" customWidth="1"/>
    <col min="9" max="11" width="14.7265625" style="547" customWidth="1"/>
    <col min="12" max="12" width="15.7265625" style="547" customWidth="1"/>
    <col min="13" max="13" width="13.7265625" style="1125" customWidth="1"/>
    <col min="14" max="16384" width="9.26953125" style="548"/>
  </cols>
  <sheetData>
    <row r="1" spans="1:251" s="552" customFormat="1" ht="18" customHeight="1">
      <c r="A1" s="948"/>
      <c r="B1" s="1893" t="s">
        <v>1192</v>
      </c>
      <c r="C1" s="1893"/>
      <c r="D1" s="1893"/>
      <c r="E1" s="1893"/>
      <c r="F1" s="1893"/>
      <c r="G1" s="549"/>
      <c r="H1" s="949"/>
      <c r="I1" s="1962"/>
      <c r="J1" s="1962"/>
      <c r="K1" s="1962"/>
      <c r="L1" s="1962"/>
      <c r="M1" s="1962"/>
      <c r="N1" s="551"/>
      <c r="O1" s="551"/>
      <c r="P1" s="551"/>
      <c r="Q1" s="551"/>
      <c r="R1" s="551"/>
      <c r="S1" s="551"/>
      <c r="T1" s="551"/>
      <c r="U1" s="551"/>
      <c r="V1" s="551"/>
      <c r="W1" s="551"/>
      <c r="X1" s="551"/>
      <c r="Y1" s="551"/>
      <c r="Z1" s="551"/>
      <c r="AA1" s="551"/>
      <c r="AB1" s="551"/>
      <c r="AC1" s="551"/>
      <c r="AD1" s="551"/>
      <c r="AE1" s="551"/>
      <c r="AF1" s="551"/>
      <c r="AG1" s="551"/>
      <c r="AH1" s="551"/>
      <c r="AI1" s="551"/>
      <c r="AJ1" s="551"/>
      <c r="AK1" s="551"/>
      <c r="AL1" s="551"/>
      <c r="AM1" s="551"/>
      <c r="AN1" s="551"/>
      <c r="AO1" s="551"/>
      <c r="AP1" s="551"/>
      <c r="AQ1" s="551"/>
      <c r="AR1" s="551"/>
      <c r="AS1" s="551"/>
      <c r="AT1" s="551"/>
      <c r="AU1" s="551"/>
      <c r="AV1" s="551"/>
      <c r="AW1" s="551"/>
      <c r="AX1" s="551"/>
      <c r="AY1" s="551"/>
      <c r="AZ1" s="551"/>
      <c r="BA1" s="551"/>
      <c r="BB1" s="551"/>
      <c r="BC1" s="551"/>
      <c r="BD1" s="551"/>
      <c r="BE1" s="551"/>
      <c r="BF1" s="551"/>
      <c r="BG1" s="551"/>
      <c r="BH1" s="551"/>
      <c r="BI1" s="551"/>
      <c r="BJ1" s="551"/>
      <c r="BK1" s="551"/>
      <c r="BL1" s="551"/>
      <c r="BM1" s="551"/>
      <c r="BN1" s="551"/>
      <c r="BO1" s="551"/>
      <c r="BP1" s="551"/>
      <c r="BQ1" s="551"/>
      <c r="BR1" s="551"/>
      <c r="BS1" s="551"/>
      <c r="BT1" s="551"/>
      <c r="BU1" s="551"/>
      <c r="BV1" s="551"/>
      <c r="BW1" s="551"/>
      <c r="BX1" s="551"/>
      <c r="BY1" s="551"/>
      <c r="BZ1" s="551"/>
      <c r="CA1" s="551"/>
      <c r="CB1" s="551"/>
      <c r="CC1" s="551"/>
      <c r="CD1" s="551"/>
      <c r="CE1" s="551"/>
      <c r="CF1" s="551"/>
      <c r="CG1" s="551"/>
      <c r="CH1" s="551"/>
      <c r="CI1" s="551"/>
      <c r="CJ1" s="551"/>
      <c r="CK1" s="551"/>
      <c r="CL1" s="551"/>
      <c r="CM1" s="551"/>
      <c r="CN1" s="551"/>
      <c r="CO1" s="551"/>
      <c r="CP1" s="551"/>
      <c r="CQ1" s="551"/>
      <c r="CR1" s="551"/>
      <c r="CS1" s="551"/>
      <c r="CT1" s="551"/>
      <c r="CU1" s="551"/>
      <c r="CV1" s="551"/>
      <c r="CW1" s="551"/>
      <c r="CX1" s="551"/>
      <c r="CY1" s="551"/>
      <c r="CZ1" s="551"/>
      <c r="DA1" s="551"/>
      <c r="DB1" s="551"/>
      <c r="DC1" s="551"/>
      <c r="DD1" s="551"/>
      <c r="DE1" s="551"/>
      <c r="DF1" s="551"/>
      <c r="DG1" s="551"/>
      <c r="DH1" s="551"/>
      <c r="DI1" s="551"/>
      <c r="DJ1" s="551"/>
      <c r="DK1" s="551"/>
      <c r="DL1" s="551"/>
      <c r="DM1" s="551"/>
      <c r="DN1" s="551"/>
      <c r="DO1" s="551"/>
      <c r="DP1" s="551"/>
      <c r="DQ1" s="551"/>
      <c r="DR1" s="551"/>
      <c r="DS1" s="551"/>
      <c r="DT1" s="551"/>
      <c r="DU1" s="551"/>
      <c r="DV1" s="551"/>
      <c r="DW1" s="551"/>
      <c r="DX1" s="551"/>
      <c r="DY1" s="551"/>
      <c r="DZ1" s="551"/>
      <c r="EA1" s="551"/>
      <c r="EB1" s="551"/>
      <c r="EC1" s="551"/>
      <c r="ED1" s="551"/>
      <c r="EE1" s="551"/>
      <c r="EF1" s="551"/>
      <c r="EG1" s="551"/>
      <c r="EH1" s="551"/>
      <c r="EI1" s="551"/>
      <c r="EJ1" s="551"/>
      <c r="EK1" s="551"/>
      <c r="EL1" s="551"/>
      <c r="EM1" s="551"/>
      <c r="EN1" s="551"/>
      <c r="EO1" s="551"/>
      <c r="EP1" s="551"/>
      <c r="EQ1" s="551"/>
      <c r="ER1" s="551"/>
      <c r="ES1" s="551"/>
      <c r="ET1" s="551"/>
      <c r="EU1" s="551"/>
      <c r="EV1" s="551"/>
      <c r="EW1" s="551"/>
      <c r="EX1" s="551"/>
      <c r="EY1" s="551"/>
      <c r="EZ1" s="551"/>
      <c r="FA1" s="551"/>
      <c r="FB1" s="551"/>
      <c r="FC1" s="551"/>
      <c r="FD1" s="551"/>
      <c r="FE1" s="551"/>
      <c r="FF1" s="551"/>
      <c r="FG1" s="551"/>
      <c r="FH1" s="551"/>
      <c r="FI1" s="551"/>
      <c r="FJ1" s="551"/>
      <c r="FK1" s="551"/>
      <c r="FL1" s="551"/>
      <c r="FM1" s="551"/>
      <c r="FN1" s="551"/>
      <c r="FO1" s="551"/>
      <c r="FP1" s="551"/>
      <c r="FQ1" s="551"/>
      <c r="FR1" s="551"/>
      <c r="FS1" s="551"/>
      <c r="FT1" s="551"/>
      <c r="FU1" s="551"/>
      <c r="FV1" s="551"/>
      <c r="FW1" s="551"/>
      <c r="FX1" s="551"/>
      <c r="FY1" s="551"/>
      <c r="FZ1" s="551"/>
      <c r="GA1" s="551"/>
      <c r="GB1" s="551"/>
      <c r="GC1" s="551"/>
      <c r="GD1" s="551"/>
      <c r="GE1" s="551"/>
      <c r="GF1" s="551"/>
      <c r="GG1" s="551"/>
      <c r="GH1" s="551"/>
      <c r="GI1" s="551"/>
      <c r="GJ1" s="551"/>
      <c r="GK1" s="551"/>
      <c r="GL1" s="551"/>
      <c r="GM1" s="551"/>
      <c r="GN1" s="551"/>
      <c r="GO1" s="551"/>
      <c r="GP1" s="551"/>
      <c r="GQ1" s="551"/>
      <c r="GR1" s="551"/>
      <c r="GS1" s="551"/>
      <c r="GT1" s="551"/>
      <c r="GU1" s="551"/>
      <c r="GV1" s="551"/>
      <c r="GW1" s="551"/>
      <c r="GX1" s="551"/>
      <c r="GY1" s="551"/>
      <c r="GZ1" s="551"/>
      <c r="HA1" s="551"/>
      <c r="HB1" s="551"/>
      <c r="HC1" s="551"/>
      <c r="HD1" s="551"/>
      <c r="HE1" s="551"/>
      <c r="HF1" s="551"/>
      <c r="HG1" s="551"/>
      <c r="HH1" s="551"/>
      <c r="HI1" s="551"/>
      <c r="HJ1" s="551"/>
      <c r="HK1" s="551"/>
      <c r="HL1" s="551"/>
      <c r="HM1" s="551"/>
      <c r="HN1" s="551"/>
      <c r="HO1" s="551"/>
      <c r="HP1" s="551"/>
      <c r="HQ1" s="551"/>
      <c r="HR1" s="551"/>
      <c r="HS1" s="551"/>
      <c r="HT1" s="551"/>
      <c r="HU1" s="551"/>
      <c r="HV1" s="551"/>
      <c r="HW1" s="551"/>
      <c r="HX1" s="551"/>
      <c r="HY1" s="551"/>
      <c r="HZ1" s="551"/>
      <c r="IA1" s="551"/>
      <c r="IB1" s="551"/>
      <c r="IC1" s="551"/>
      <c r="ID1" s="551"/>
      <c r="IE1" s="551"/>
      <c r="IF1" s="551"/>
      <c r="IG1" s="551"/>
      <c r="IH1" s="551"/>
      <c r="II1" s="551"/>
      <c r="IJ1" s="551"/>
      <c r="IK1" s="551"/>
      <c r="IL1" s="551"/>
      <c r="IM1" s="551"/>
      <c r="IN1" s="551"/>
      <c r="IO1" s="551"/>
      <c r="IP1" s="551"/>
      <c r="IQ1" s="551"/>
    </row>
    <row r="2" spans="1:251" s="552" customFormat="1" ht="18" customHeight="1">
      <c r="A2" s="950"/>
      <c r="B2" s="1961" t="s">
        <v>411</v>
      </c>
      <c r="C2" s="1961"/>
      <c r="D2" s="1961"/>
      <c r="E2" s="1961"/>
      <c r="F2" s="1961"/>
      <c r="G2" s="1961"/>
      <c r="H2" s="1961"/>
      <c r="I2" s="1961"/>
      <c r="J2" s="1961"/>
      <c r="K2" s="1961"/>
      <c r="L2" s="1961"/>
      <c r="M2" s="1961"/>
    </row>
    <row r="3" spans="1:251" s="552" customFormat="1" ht="18" customHeight="1">
      <c r="A3" s="950"/>
      <c r="B3" s="1966" t="s">
        <v>782</v>
      </c>
      <c r="C3" s="1966"/>
      <c r="D3" s="1966"/>
      <c r="E3" s="1966"/>
      <c r="F3" s="1966"/>
      <c r="G3" s="1966"/>
      <c r="H3" s="1966"/>
      <c r="I3" s="1966"/>
      <c r="J3" s="1966"/>
      <c r="K3" s="1966"/>
      <c r="L3" s="1966"/>
      <c r="M3" s="1966"/>
    </row>
    <row r="4" spans="1:251" ht="18" customHeight="1">
      <c r="M4" s="553" t="s">
        <v>0</v>
      </c>
    </row>
    <row r="5" spans="1:251" s="555" customFormat="1" ht="18" customHeight="1" thickBot="1">
      <c r="A5" s="950"/>
      <c r="B5" s="954" t="s">
        <v>1</v>
      </c>
      <c r="C5" s="554" t="s">
        <v>2</v>
      </c>
      <c r="D5" s="955" t="s">
        <v>72</v>
      </c>
      <c r="E5" s="955" t="s">
        <v>73</v>
      </c>
      <c r="F5" s="955" t="s">
        <v>74</v>
      </c>
      <c r="G5" s="955" t="s">
        <v>75</v>
      </c>
      <c r="H5" s="955" t="s">
        <v>76</v>
      </c>
      <c r="I5" s="955" t="s">
        <v>77</v>
      </c>
      <c r="J5" s="955" t="s">
        <v>78</v>
      </c>
      <c r="K5" s="955" t="s">
        <v>79</v>
      </c>
      <c r="L5" s="955" t="s">
        <v>80</v>
      </c>
      <c r="M5" s="955" t="s">
        <v>81</v>
      </c>
      <c r="N5" s="950"/>
      <c r="O5" s="950"/>
      <c r="P5" s="950"/>
      <c r="Q5" s="950"/>
      <c r="R5" s="950"/>
      <c r="S5" s="950"/>
      <c r="T5" s="950"/>
      <c r="U5" s="950"/>
      <c r="V5" s="950"/>
      <c r="W5" s="950"/>
      <c r="X5" s="950"/>
      <c r="Y5" s="950"/>
      <c r="Z5" s="950"/>
      <c r="AA5" s="950"/>
      <c r="AB5" s="950"/>
      <c r="AC5" s="950"/>
      <c r="AD5" s="950"/>
      <c r="AE5" s="950"/>
      <c r="AF5" s="950"/>
      <c r="AG5" s="950"/>
      <c r="AH5" s="950"/>
      <c r="AI5" s="950"/>
      <c r="AJ5" s="950"/>
      <c r="AK5" s="950"/>
      <c r="AL5" s="950"/>
      <c r="AM5" s="950"/>
      <c r="AN5" s="950"/>
      <c r="AO5" s="950"/>
      <c r="AP5" s="950"/>
      <c r="AQ5" s="950"/>
      <c r="AR5" s="950"/>
      <c r="AS5" s="950"/>
      <c r="AT5" s="950"/>
      <c r="AU5" s="950"/>
      <c r="AV5" s="950"/>
      <c r="AW5" s="950"/>
      <c r="AX5" s="950"/>
      <c r="AY5" s="950"/>
      <c r="AZ5" s="950"/>
      <c r="BA5" s="950"/>
      <c r="BB5" s="950"/>
      <c r="BC5" s="950"/>
      <c r="BD5" s="950"/>
      <c r="BE5" s="950"/>
      <c r="BF5" s="950"/>
      <c r="BG5" s="950"/>
      <c r="BH5" s="950"/>
      <c r="BI5" s="950"/>
      <c r="BJ5" s="950"/>
      <c r="BK5" s="950"/>
      <c r="BL5" s="950"/>
      <c r="BM5" s="950"/>
      <c r="BN5" s="950"/>
      <c r="BO5" s="950"/>
      <c r="BP5" s="950"/>
      <c r="BQ5" s="950"/>
      <c r="BR5" s="950"/>
      <c r="BS5" s="950"/>
      <c r="BT5" s="950"/>
      <c r="BU5" s="950"/>
      <c r="BV5" s="950"/>
      <c r="BW5" s="950"/>
      <c r="BX5" s="950"/>
      <c r="BY5" s="950"/>
      <c r="BZ5" s="950"/>
      <c r="CA5" s="950"/>
      <c r="CB5" s="950"/>
      <c r="CC5" s="950"/>
      <c r="CD5" s="950"/>
      <c r="CE5" s="950"/>
      <c r="CF5" s="950"/>
      <c r="CG5" s="950"/>
      <c r="CH5" s="950"/>
      <c r="CI5" s="950"/>
      <c r="CJ5" s="950"/>
      <c r="CK5" s="950"/>
      <c r="CL5" s="950"/>
      <c r="CM5" s="950"/>
      <c r="CN5" s="950"/>
      <c r="CO5" s="950"/>
      <c r="CP5" s="950"/>
      <c r="CQ5" s="950"/>
      <c r="CR5" s="950"/>
      <c r="CS5" s="950"/>
      <c r="CT5" s="950"/>
      <c r="CU5" s="950"/>
      <c r="CV5" s="950"/>
      <c r="CW5" s="950"/>
      <c r="CX5" s="950"/>
      <c r="CY5" s="950"/>
      <c r="CZ5" s="950"/>
      <c r="DA5" s="950"/>
      <c r="DB5" s="950"/>
      <c r="DC5" s="950"/>
      <c r="DD5" s="950"/>
      <c r="DE5" s="950"/>
      <c r="DF5" s="950"/>
      <c r="DG5" s="950"/>
      <c r="DH5" s="950"/>
      <c r="DI5" s="950"/>
      <c r="DJ5" s="950"/>
      <c r="DK5" s="950"/>
      <c r="DL5" s="950"/>
      <c r="DM5" s="950"/>
      <c r="DN5" s="950"/>
      <c r="DO5" s="950"/>
      <c r="DP5" s="950"/>
      <c r="DQ5" s="950"/>
      <c r="DR5" s="950"/>
      <c r="DS5" s="950"/>
      <c r="DT5" s="950"/>
      <c r="DU5" s="950"/>
      <c r="DV5" s="950"/>
      <c r="DW5" s="950"/>
      <c r="DX5" s="950"/>
      <c r="DY5" s="950"/>
      <c r="DZ5" s="950"/>
      <c r="EA5" s="950"/>
      <c r="EB5" s="950"/>
      <c r="EC5" s="950"/>
      <c r="ED5" s="950"/>
      <c r="EE5" s="950"/>
      <c r="EF5" s="950"/>
      <c r="EG5" s="950"/>
      <c r="EH5" s="950"/>
      <c r="EI5" s="950"/>
      <c r="EJ5" s="950"/>
      <c r="EK5" s="950"/>
      <c r="EL5" s="950"/>
      <c r="EM5" s="950"/>
      <c r="EN5" s="950"/>
      <c r="EO5" s="950"/>
      <c r="EP5" s="950"/>
      <c r="EQ5" s="950"/>
      <c r="ER5" s="950"/>
      <c r="ES5" s="950"/>
      <c r="ET5" s="950"/>
      <c r="EU5" s="950"/>
      <c r="EV5" s="950"/>
      <c r="EW5" s="950"/>
      <c r="EX5" s="950"/>
      <c r="EY5" s="950"/>
      <c r="EZ5" s="950"/>
      <c r="FA5" s="950"/>
      <c r="FB5" s="950"/>
      <c r="FC5" s="950"/>
      <c r="FD5" s="950"/>
      <c r="FE5" s="950"/>
      <c r="FF5" s="950"/>
      <c r="FG5" s="950"/>
      <c r="FH5" s="950"/>
      <c r="FI5" s="950"/>
      <c r="FJ5" s="950"/>
      <c r="FK5" s="950"/>
      <c r="FL5" s="950"/>
      <c r="FM5" s="950"/>
      <c r="FN5" s="950"/>
      <c r="FO5" s="950"/>
      <c r="FP5" s="950"/>
      <c r="FQ5" s="950"/>
      <c r="FR5" s="950"/>
      <c r="FS5" s="950"/>
      <c r="FT5" s="950"/>
      <c r="FU5" s="950"/>
      <c r="FV5" s="950"/>
      <c r="FW5" s="950"/>
      <c r="FX5" s="950"/>
      <c r="FY5" s="950"/>
      <c r="FZ5" s="950"/>
      <c r="GA5" s="950"/>
      <c r="GB5" s="950"/>
      <c r="GC5" s="950"/>
      <c r="GD5" s="950"/>
      <c r="GE5" s="950"/>
      <c r="GF5" s="950"/>
      <c r="GG5" s="950"/>
      <c r="GH5" s="950"/>
      <c r="GI5" s="950"/>
      <c r="GJ5" s="950"/>
      <c r="GK5" s="950"/>
      <c r="GL5" s="950"/>
      <c r="GM5" s="950"/>
      <c r="GN5" s="950"/>
      <c r="GO5" s="950"/>
      <c r="GP5" s="950"/>
      <c r="GQ5" s="950"/>
      <c r="GR5" s="950"/>
      <c r="GS5" s="950"/>
      <c r="GT5" s="950"/>
      <c r="GU5" s="950"/>
      <c r="GV5" s="950"/>
      <c r="GW5" s="950"/>
      <c r="GX5" s="950"/>
      <c r="GY5" s="950"/>
      <c r="GZ5" s="950"/>
      <c r="HA5" s="950"/>
      <c r="HB5" s="950"/>
      <c r="HC5" s="950"/>
      <c r="HD5" s="950"/>
      <c r="HE5" s="950"/>
      <c r="HF5" s="950"/>
      <c r="HG5" s="950"/>
      <c r="HH5" s="950"/>
      <c r="HI5" s="950"/>
      <c r="HJ5" s="950"/>
      <c r="HK5" s="950"/>
      <c r="HL5" s="950"/>
      <c r="HM5" s="950"/>
      <c r="HN5" s="950"/>
      <c r="HO5" s="950"/>
      <c r="HP5" s="950"/>
      <c r="HQ5" s="950"/>
      <c r="HR5" s="950"/>
      <c r="HS5" s="950"/>
      <c r="HT5" s="950"/>
      <c r="HU5" s="950"/>
      <c r="HV5" s="950"/>
      <c r="HW5" s="950"/>
      <c r="HX5" s="950"/>
      <c r="HY5" s="950"/>
      <c r="HZ5" s="950"/>
      <c r="IA5" s="950"/>
      <c r="IB5" s="950"/>
      <c r="IC5" s="950"/>
      <c r="ID5" s="950"/>
      <c r="IE5" s="950"/>
      <c r="IF5" s="950"/>
      <c r="IG5" s="950"/>
      <c r="IH5" s="950"/>
      <c r="II5" s="950"/>
      <c r="IJ5" s="950"/>
      <c r="IK5" s="950"/>
      <c r="IL5" s="950"/>
      <c r="IM5" s="950"/>
      <c r="IN5" s="950"/>
      <c r="IO5" s="950"/>
      <c r="IP5" s="950"/>
      <c r="IQ5" s="950"/>
    </row>
    <row r="6" spans="1:251" ht="30" customHeight="1" thickBot="1">
      <c r="B6" s="1953" t="s">
        <v>82</v>
      </c>
      <c r="C6" s="1954" t="s">
        <v>83</v>
      </c>
      <c r="D6" s="1967" t="s">
        <v>3</v>
      </c>
      <c r="E6" s="1968" t="s">
        <v>783</v>
      </c>
      <c r="F6" s="1968" t="s">
        <v>784</v>
      </c>
      <c r="G6" s="1969" t="s">
        <v>785</v>
      </c>
      <c r="H6" s="1970" t="s">
        <v>292</v>
      </c>
      <c r="I6" s="1971" t="s">
        <v>413</v>
      </c>
      <c r="J6" s="1971"/>
      <c r="K6" s="1971"/>
      <c r="L6" s="1971"/>
      <c r="M6" s="1972" t="s">
        <v>646</v>
      </c>
    </row>
    <row r="7" spans="1:251" ht="45.75" customHeight="1" thickBot="1">
      <c r="B7" s="1953"/>
      <c r="C7" s="1954"/>
      <c r="D7" s="1967"/>
      <c r="E7" s="1968"/>
      <c r="F7" s="1968"/>
      <c r="G7" s="1969"/>
      <c r="H7" s="1970"/>
      <c r="I7" s="953" t="s">
        <v>21</v>
      </c>
      <c r="J7" s="1963" t="s">
        <v>157</v>
      </c>
      <c r="K7" s="1963"/>
      <c r="L7" s="1964" t="s">
        <v>4</v>
      </c>
      <c r="M7" s="1972"/>
    </row>
    <row r="8" spans="1:251" ht="53.25" customHeight="1" thickBot="1">
      <c r="B8" s="1953"/>
      <c r="C8" s="1954"/>
      <c r="D8" s="1967"/>
      <c r="E8" s="1968"/>
      <c r="F8" s="1968"/>
      <c r="G8" s="1969"/>
      <c r="H8" s="1970"/>
      <c r="I8" s="957" t="s">
        <v>226</v>
      </c>
      <c r="J8" s="958" t="s">
        <v>36</v>
      </c>
      <c r="K8" s="958" t="s">
        <v>158</v>
      </c>
      <c r="L8" s="1964"/>
      <c r="M8" s="1972"/>
    </row>
    <row r="9" spans="1:251" ht="23.25" customHeight="1">
      <c r="A9" s="959">
        <v>1</v>
      </c>
      <c r="B9" s="960">
        <v>18</v>
      </c>
      <c r="C9" s="330" t="s">
        <v>786</v>
      </c>
      <c r="D9" s="961"/>
      <c r="E9" s="962"/>
      <c r="F9" s="963"/>
      <c r="G9" s="964"/>
      <c r="H9" s="965"/>
      <c r="I9" s="966"/>
      <c r="J9" s="967"/>
      <c r="K9" s="967"/>
      <c r="L9" s="968"/>
      <c r="M9" s="969"/>
    </row>
    <row r="10" spans="1:251" ht="32.25" customHeight="1">
      <c r="A10" s="959">
        <v>2</v>
      </c>
      <c r="B10" s="970"/>
      <c r="C10" s="556">
        <v>1</v>
      </c>
      <c r="D10" s="557" t="s">
        <v>787</v>
      </c>
      <c r="E10" s="971">
        <f>F10+G10+L12</f>
        <v>44906</v>
      </c>
      <c r="F10" s="972">
        <f>5652+4318+8001+4020</f>
        <v>21991</v>
      </c>
      <c r="G10" s="973">
        <v>1207</v>
      </c>
      <c r="H10" s="974" t="s">
        <v>80</v>
      </c>
      <c r="I10" s="558"/>
      <c r="J10" s="975"/>
      <c r="K10" s="975"/>
      <c r="L10" s="976"/>
      <c r="M10" s="977"/>
    </row>
    <row r="11" spans="1:251" ht="18" customHeight="1">
      <c r="A11" s="959">
        <v>3</v>
      </c>
      <c r="B11" s="970"/>
      <c r="C11" s="559"/>
      <c r="D11" s="978" t="s">
        <v>198</v>
      </c>
      <c r="E11" s="979"/>
      <c r="F11" s="980"/>
      <c r="G11" s="981"/>
      <c r="H11" s="982"/>
      <c r="I11" s="983"/>
      <c r="J11" s="984">
        <f>10000+11708</f>
        <v>21708</v>
      </c>
      <c r="K11" s="984"/>
      <c r="L11" s="985">
        <f>SUM(I11:K11)</f>
        <v>21708</v>
      </c>
      <c r="M11" s="977"/>
    </row>
    <row r="12" spans="1:251" ht="18" customHeight="1">
      <c r="A12" s="959">
        <v>4</v>
      </c>
      <c r="B12" s="970"/>
      <c r="C12" s="559"/>
      <c r="D12" s="986" t="s">
        <v>765</v>
      </c>
      <c r="E12" s="979"/>
      <c r="F12" s="980"/>
      <c r="G12" s="981"/>
      <c r="H12" s="982"/>
      <c r="I12" s="987"/>
      <c r="J12" s="988">
        <v>21708</v>
      </c>
      <c r="K12" s="988"/>
      <c r="L12" s="560">
        <f>SUM(I12:K12)</f>
        <v>21708</v>
      </c>
      <c r="M12" s="977"/>
    </row>
    <row r="13" spans="1:251" ht="18" customHeight="1">
      <c r="A13" s="959">
        <v>5</v>
      </c>
      <c r="B13" s="970"/>
      <c r="C13" s="559"/>
      <c r="D13" s="989" t="s">
        <v>1022</v>
      </c>
      <c r="E13" s="990"/>
      <c r="F13" s="991"/>
      <c r="G13" s="992"/>
      <c r="H13" s="993"/>
      <c r="I13" s="994"/>
      <c r="J13" s="561">
        <v>11176</v>
      </c>
      <c r="K13" s="561"/>
      <c r="L13" s="562">
        <f>SUM(F13:K13)</f>
        <v>11176</v>
      </c>
      <c r="M13" s="977"/>
    </row>
    <row r="14" spans="1:251" ht="32.25" customHeight="1">
      <c r="A14" s="959">
        <v>6</v>
      </c>
      <c r="B14" s="970"/>
      <c r="C14" s="556">
        <v>2</v>
      </c>
      <c r="D14" s="557" t="s">
        <v>788</v>
      </c>
      <c r="E14" s="971">
        <f>F14+G14+L16</f>
        <v>1000</v>
      </c>
      <c r="F14" s="972"/>
      <c r="G14" s="973"/>
      <c r="H14" s="974" t="s">
        <v>80</v>
      </c>
      <c r="I14" s="558"/>
      <c r="J14" s="975"/>
      <c r="K14" s="975"/>
      <c r="L14" s="976"/>
      <c r="M14" s="977"/>
    </row>
    <row r="15" spans="1:251" ht="18" customHeight="1">
      <c r="A15" s="959">
        <v>7</v>
      </c>
      <c r="B15" s="970"/>
      <c r="C15" s="559"/>
      <c r="D15" s="978" t="s">
        <v>198</v>
      </c>
      <c r="E15" s="979"/>
      <c r="F15" s="980"/>
      <c r="G15" s="981"/>
      <c r="H15" s="982"/>
      <c r="I15" s="983"/>
      <c r="J15" s="984">
        <v>1000</v>
      </c>
      <c r="K15" s="984"/>
      <c r="L15" s="985">
        <f>SUM(I15:K15)</f>
        <v>1000</v>
      </c>
      <c r="M15" s="977"/>
    </row>
    <row r="16" spans="1:251" ht="18" customHeight="1">
      <c r="A16" s="959">
        <v>8</v>
      </c>
      <c r="B16" s="970"/>
      <c r="C16" s="559"/>
      <c r="D16" s="986" t="s">
        <v>765</v>
      </c>
      <c r="E16" s="979"/>
      <c r="F16" s="980"/>
      <c r="G16" s="981"/>
      <c r="H16" s="982"/>
      <c r="I16" s="987"/>
      <c r="J16" s="988">
        <v>1000</v>
      </c>
      <c r="K16" s="988"/>
      <c r="L16" s="560">
        <f>SUM(I16:K16)</f>
        <v>1000</v>
      </c>
      <c r="M16" s="977"/>
    </row>
    <row r="17" spans="1:13" ht="18" customHeight="1">
      <c r="A17" s="959">
        <v>9</v>
      </c>
      <c r="B17" s="970"/>
      <c r="C17" s="559"/>
      <c r="D17" s="989" t="s">
        <v>1022</v>
      </c>
      <c r="E17" s="990"/>
      <c r="F17" s="991"/>
      <c r="G17" s="992"/>
      <c r="H17" s="993"/>
      <c r="I17" s="994"/>
      <c r="J17" s="561"/>
      <c r="K17" s="561"/>
      <c r="L17" s="562">
        <f>SUM(F17:K17)</f>
        <v>0</v>
      </c>
      <c r="M17" s="977"/>
    </row>
    <row r="18" spans="1:13" ht="21.75" customHeight="1">
      <c r="A18" s="959">
        <v>10</v>
      </c>
      <c r="B18" s="970"/>
      <c r="C18" s="559">
        <v>100</v>
      </c>
      <c r="D18" s="564" t="s">
        <v>789</v>
      </c>
      <c r="E18" s="971">
        <f>F18+G18+L20</f>
        <v>5000</v>
      </c>
      <c r="F18" s="972"/>
      <c r="G18" s="973"/>
      <c r="H18" s="974" t="s">
        <v>80</v>
      </c>
      <c r="I18" s="558"/>
      <c r="J18" s="975"/>
      <c r="K18" s="975"/>
      <c r="L18" s="976"/>
      <c r="M18" s="977"/>
    </row>
    <row r="19" spans="1:13" ht="18" customHeight="1">
      <c r="A19" s="959">
        <v>11</v>
      </c>
      <c r="B19" s="970"/>
      <c r="C19" s="559"/>
      <c r="D19" s="978" t="s">
        <v>198</v>
      </c>
      <c r="E19" s="979"/>
      <c r="F19" s="980"/>
      <c r="G19" s="981"/>
      <c r="H19" s="982"/>
      <c r="I19" s="983"/>
      <c r="J19" s="984">
        <v>5000</v>
      </c>
      <c r="K19" s="984"/>
      <c r="L19" s="985">
        <f>SUM(I19:K19)</f>
        <v>5000</v>
      </c>
      <c r="M19" s="977"/>
    </row>
    <row r="20" spans="1:13" ht="18" customHeight="1">
      <c r="A20" s="959">
        <v>12</v>
      </c>
      <c r="B20" s="970"/>
      <c r="C20" s="559"/>
      <c r="D20" s="986" t="s">
        <v>765</v>
      </c>
      <c r="E20" s="979"/>
      <c r="F20" s="980"/>
      <c r="G20" s="981"/>
      <c r="H20" s="982"/>
      <c r="I20" s="987"/>
      <c r="J20" s="988">
        <v>5000</v>
      </c>
      <c r="K20" s="988"/>
      <c r="L20" s="560">
        <f>SUM(I20:K20)</f>
        <v>5000</v>
      </c>
      <c r="M20" s="977"/>
    </row>
    <row r="21" spans="1:13" ht="18" customHeight="1">
      <c r="A21" s="959">
        <v>13</v>
      </c>
      <c r="B21" s="970"/>
      <c r="C21" s="559"/>
      <c r="D21" s="989" t="s">
        <v>1022</v>
      </c>
      <c r="E21" s="990"/>
      <c r="F21" s="991"/>
      <c r="G21" s="992"/>
      <c r="H21" s="993"/>
      <c r="I21" s="994"/>
      <c r="J21" s="561"/>
      <c r="K21" s="561"/>
      <c r="L21" s="562">
        <f>SUM(F21:K21)</f>
        <v>0</v>
      </c>
      <c r="M21" s="977"/>
    </row>
    <row r="22" spans="1:13" ht="21.75" customHeight="1">
      <c r="A22" s="959">
        <v>14</v>
      </c>
      <c r="B22" s="970"/>
      <c r="C22" s="559">
        <v>3</v>
      </c>
      <c r="D22" s="999" t="s">
        <v>790</v>
      </c>
      <c r="E22" s="971">
        <f>F22+G22+L22+M22</f>
        <v>3820</v>
      </c>
      <c r="F22" s="972">
        <f>3210+110+100+100+100+100</f>
        <v>3720</v>
      </c>
      <c r="G22" s="973">
        <v>100</v>
      </c>
      <c r="H22" s="974" t="s">
        <v>231</v>
      </c>
      <c r="I22" s="558"/>
      <c r="J22" s="975"/>
      <c r="K22" s="975"/>
      <c r="L22" s="976"/>
      <c r="M22" s="977"/>
    </row>
    <row r="23" spans="1:13" ht="21.75" customHeight="1">
      <c r="A23" s="959">
        <v>15</v>
      </c>
      <c r="B23" s="970"/>
      <c r="C23" s="559">
        <v>4</v>
      </c>
      <c r="D23" s="999" t="s">
        <v>791</v>
      </c>
      <c r="E23" s="971">
        <f>F23+G23+L23+M23</f>
        <v>203670</v>
      </c>
      <c r="F23" s="972">
        <f>84090+35890+22900+22900+22900</f>
        <v>188680</v>
      </c>
      <c r="G23" s="973">
        <v>14990</v>
      </c>
      <c r="H23" s="974" t="s">
        <v>231</v>
      </c>
      <c r="I23" s="558"/>
      <c r="J23" s="975"/>
      <c r="K23" s="975"/>
      <c r="L23" s="976"/>
      <c r="M23" s="977"/>
    </row>
    <row r="24" spans="1:13" ht="21.75" customHeight="1">
      <c r="A24" s="959">
        <v>16</v>
      </c>
      <c r="B24" s="970"/>
      <c r="C24" s="559">
        <v>5</v>
      </c>
      <c r="D24" s="999" t="s">
        <v>1234</v>
      </c>
      <c r="E24" s="971">
        <f>F24+G24+L24+M24</f>
        <v>5600</v>
      </c>
      <c r="F24" s="972">
        <f>100+1500+2000+1000</f>
        <v>4600</v>
      </c>
      <c r="G24" s="973">
        <v>1000</v>
      </c>
      <c r="H24" s="974" t="s">
        <v>231</v>
      </c>
      <c r="I24" s="558"/>
      <c r="J24" s="975"/>
      <c r="K24" s="975"/>
      <c r="L24" s="976"/>
      <c r="M24" s="977"/>
    </row>
    <row r="25" spans="1:13" ht="21.75" customHeight="1">
      <c r="A25" s="959">
        <v>17</v>
      </c>
      <c r="B25" s="970"/>
      <c r="C25" s="559">
        <v>6</v>
      </c>
      <c r="D25" s="999" t="s">
        <v>1235</v>
      </c>
      <c r="E25" s="971">
        <f>F25+G25+L25+M25</f>
        <v>574100</v>
      </c>
      <c r="F25" s="972">
        <f>82900+195200+98000+99000</f>
        <v>475100</v>
      </c>
      <c r="G25" s="973">
        <v>99000</v>
      </c>
      <c r="H25" s="974" t="s">
        <v>231</v>
      </c>
      <c r="I25" s="558"/>
      <c r="J25" s="975"/>
      <c r="K25" s="975"/>
      <c r="L25" s="976"/>
      <c r="M25" s="977"/>
    </row>
    <row r="26" spans="1:13" ht="21.75" customHeight="1">
      <c r="A26" s="959">
        <v>18</v>
      </c>
      <c r="B26" s="970"/>
      <c r="C26" s="559">
        <v>7</v>
      </c>
      <c r="D26" s="564" t="s">
        <v>792</v>
      </c>
      <c r="E26" s="971">
        <f>F26+G26+L28</f>
        <v>171721</v>
      </c>
      <c r="F26" s="972">
        <f>8127+11064+7643+7255+1255</f>
        <v>35344</v>
      </c>
      <c r="G26" s="973">
        <v>30618</v>
      </c>
      <c r="H26" s="974" t="s">
        <v>231</v>
      </c>
      <c r="I26" s="558"/>
      <c r="J26" s="975"/>
      <c r="K26" s="975"/>
      <c r="L26" s="976"/>
      <c r="M26" s="977"/>
    </row>
    <row r="27" spans="1:13" ht="18" customHeight="1">
      <c r="A27" s="959">
        <v>19</v>
      </c>
      <c r="B27" s="970"/>
      <c r="C27" s="559"/>
      <c r="D27" s="978" t="s">
        <v>198</v>
      </c>
      <c r="E27" s="979"/>
      <c r="F27" s="980"/>
      <c r="G27" s="981"/>
      <c r="H27" s="982"/>
      <c r="I27" s="983">
        <v>4355</v>
      </c>
      <c r="J27" s="984">
        <f>21009+69000</f>
        <v>90009</v>
      </c>
      <c r="K27" s="984"/>
      <c r="L27" s="985">
        <f>SUM(I27:K27)</f>
        <v>94364</v>
      </c>
      <c r="M27" s="977"/>
    </row>
    <row r="28" spans="1:13" ht="18" customHeight="1">
      <c r="A28" s="959">
        <v>20</v>
      </c>
      <c r="B28" s="970"/>
      <c r="C28" s="559"/>
      <c r="D28" s="986" t="s">
        <v>765</v>
      </c>
      <c r="E28" s="979"/>
      <c r="F28" s="980"/>
      <c r="G28" s="981"/>
      <c r="H28" s="982"/>
      <c r="I28" s="987">
        <v>14550</v>
      </c>
      <c r="J28" s="988">
        <v>91209</v>
      </c>
      <c r="K28" s="988"/>
      <c r="L28" s="560">
        <f>SUM(I28:K28)</f>
        <v>105759</v>
      </c>
      <c r="M28" s="977"/>
    </row>
    <row r="29" spans="1:13" ht="18" customHeight="1">
      <c r="A29" s="959">
        <v>21</v>
      </c>
      <c r="B29" s="970"/>
      <c r="C29" s="559"/>
      <c r="D29" s="989" t="s">
        <v>1021</v>
      </c>
      <c r="E29" s="971"/>
      <c r="F29" s="972"/>
      <c r="G29" s="973"/>
      <c r="H29" s="974"/>
      <c r="I29" s="994">
        <v>7479</v>
      </c>
      <c r="J29" s="561">
        <v>13182</v>
      </c>
      <c r="K29" s="975"/>
      <c r="L29" s="562">
        <f>SUM(F29:K29)</f>
        <v>20661</v>
      </c>
      <c r="M29" s="977"/>
    </row>
    <row r="30" spans="1:13" ht="32.25" customHeight="1">
      <c r="A30" s="959">
        <v>22</v>
      </c>
      <c r="B30" s="970"/>
      <c r="C30" s="556">
        <v>8</v>
      </c>
      <c r="D30" s="557" t="s">
        <v>1236</v>
      </c>
      <c r="E30" s="971">
        <f>F30+G30+L32</f>
        <v>48398</v>
      </c>
      <c r="F30" s="972">
        <f>9028+6276</f>
        <v>15304</v>
      </c>
      <c r="G30" s="973">
        <v>15308</v>
      </c>
      <c r="H30" s="974" t="s">
        <v>231</v>
      </c>
      <c r="I30" s="558"/>
      <c r="J30" s="975"/>
      <c r="K30" s="975"/>
      <c r="L30" s="976"/>
      <c r="M30" s="977"/>
    </row>
    <row r="31" spans="1:13" ht="18" customHeight="1">
      <c r="A31" s="959">
        <v>23</v>
      </c>
      <c r="B31" s="970"/>
      <c r="C31" s="559"/>
      <c r="D31" s="978" t="s">
        <v>198</v>
      </c>
      <c r="E31" s="979"/>
      <c r="F31" s="980"/>
      <c r="G31" s="981"/>
      <c r="H31" s="982"/>
      <c r="I31" s="983">
        <v>114</v>
      </c>
      <c r="J31" s="984">
        <f>23200+7772</f>
        <v>30972</v>
      </c>
      <c r="K31" s="984"/>
      <c r="L31" s="985">
        <f>SUM(I31:K31)</f>
        <v>31086</v>
      </c>
      <c r="M31" s="977"/>
    </row>
    <row r="32" spans="1:13" ht="18" customHeight="1">
      <c r="A32" s="959">
        <v>24</v>
      </c>
      <c r="B32" s="970"/>
      <c r="C32" s="559"/>
      <c r="D32" s="986" t="s">
        <v>765</v>
      </c>
      <c r="E32" s="979"/>
      <c r="F32" s="980"/>
      <c r="G32" s="981"/>
      <c r="H32" s="982"/>
      <c r="I32" s="987">
        <v>114</v>
      </c>
      <c r="J32" s="988">
        <v>17672</v>
      </c>
      <c r="K32" s="988"/>
      <c r="L32" s="560">
        <f>SUM(I32:K32)</f>
        <v>17786</v>
      </c>
      <c r="M32" s="977"/>
    </row>
    <row r="33" spans="1:13" ht="18" customHeight="1">
      <c r="A33" s="959">
        <v>25</v>
      </c>
      <c r="B33" s="970"/>
      <c r="C33" s="559"/>
      <c r="D33" s="989" t="s">
        <v>1021</v>
      </c>
      <c r="E33" s="990"/>
      <c r="F33" s="991"/>
      <c r="G33" s="992"/>
      <c r="H33" s="993"/>
      <c r="I33" s="994"/>
      <c r="J33" s="561"/>
      <c r="K33" s="561"/>
      <c r="L33" s="562">
        <f>SUM(F33:K33)</f>
        <v>0</v>
      </c>
      <c r="M33" s="977"/>
    </row>
    <row r="34" spans="1:13" ht="50.25" customHeight="1">
      <c r="A34" s="959">
        <v>26</v>
      </c>
      <c r="B34" s="970"/>
      <c r="C34" s="556">
        <v>9</v>
      </c>
      <c r="D34" s="564" t="s">
        <v>1237</v>
      </c>
      <c r="E34" s="971">
        <f>F34+G34+L36</f>
        <v>31627</v>
      </c>
      <c r="F34" s="972">
        <v>26363</v>
      </c>
      <c r="G34" s="973">
        <v>4363</v>
      </c>
      <c r="H34" s="974" t="s">
        <v>231</v>
      </c>
      <c r="I34" s="558"/>
      <c r="J34" s="975"/>
      <c r="K34" s="975"/>
      <c r="L34" s="976"/>
      <c r="M34" s="977"/>
    </row>
    <row r="35" spans="1:13" ht="18" customHeight="1">
      <c r="A35" s="959">
        <v>27</v>
      </c>
      <c r="B35" s="970"/>
      <c r="C35" s="559"/>
      <c r="D35" s="978" t="s">
        <v>198</v>
      </c>
      <c r="E35" s="979"/>
      <c r="F35" s="980"/>
      <c r="G35" s="981"/>
      <c r="H35" s="982"/>
      <c r="I35" s="983">
        <v>411</v>
      </c>
      <c r="J35" s="984">
        <v>490</v>
      </c>
      <c r="K35" s="984"/>
      <c r="L35" s="985">
        <f>SUM(I35:K35)</f>
        <v>901</v>
      </c>
      <c r="M35" s="977"/>
    </row>
    <row r="36" spans="1:13" ht="18" customHeight="1">
      <c r="A36" s="959">
        <v>28</v>
      </c>
      <c r="B36" s="970"/>
      <c r="C36" s="559"/>
      <c r="D36" s="986" t="s">
        <v>765</v>
      </c>
      <c r="E36" s="979"/>
      <c r="F36" s="980"/>
      <c r="G36" s="981"/>
      <c r="H36" s="982"/>
      <c r="I36" s="987">
        <v>411</v>
      </c>
      <c r="J36" s="988">
        <v>490</v>
      </c>
      <c r="K36" s="988"/>
      <c r="L36" s="560">
        <f>SUM(I36:K36)</f>
        <v>901</v>
      </c>
      <c r="M36" s="977"/>
    </row>
    <row r="37" spans="1:13" ht="18" customHeight="1">
      <c r="A37" s="959">
        <v>29</v>
      </c>
      <c r="B37" s="970"/>
      <c r="C37" s="559"/>
      <c r="D37" s="989" t="s">
        <v>1022</v>
      </c>
      <c r="E37" s="990"/>
      <c r="F37" s="991"/>
      <c r="G37" s="992"/>
      <c r="H37" s="993"/>
      <c r="I37" s="994"/>
      <c r="J37" s="561"/>
      <c r="K37" s="561"/>
      <c r="L37" s="562">
        <f>SUM(F37:K37)</f>
        <v>0</v>
      </c>
      <c r="M37" s="977"/>
    </row>
    <row r="38" spans="1:13" ht="21.75" customHeight="1">
      <c r="A38" s="959">
        <v>30</v>
      </c>
      <c r="B38" s="970"/>
      <c r="C38" s="559">
        <v>10</v>
      </c>
      <c r="D38" s="564" t="s">
        <v>793</v>
      </c>
      <c r="E38" s="971">
        <f>F38+G38+L40</f>
        <v>28519</v>
      </c>
      <c r="F38" s="972">
        <v>9652</v>
      </c>
      <c r="G38" s="973">
        <v>980</v>
      </c>
      <c r="H38" s="974" t="s">
        <v>231</v>
      </c>
      <c r="I38" s="558"/>
      <c r="J38" s="975"/>
      <c r="K38" s="975"/>
      <c r="L38" s="976"/>
      <c r="M38" s="977"/>
    </row>
    <row r="39" spans="1:13" ht="18" customHeight="1">
      <c r="A39" s="959">
        <v>31</v>
      </c>
      <c r="B39" s="970"/>
      <c r="C39" s="559"/>
      <c r="D39" s="978" t="s">
        <v>198</v>
      </c>
      <c r="E39" s="979"/>
      <c r="F39" s="980"/>
      <c r="G39" s="981"/>
      <c r="H39" s="982"/>
      <c r="I39" s="983"/>
      <c r="J39" s="984">
        <v>17887</v>
      </c>
      <c r="K39" s="984"/>
      <c r="L39" s="985">
        <f>SUM(I39:K39)</f>
        <v>17887</v>
      </c>
      <c r="M39" s="977"/>
    </row>
    <row r="40" spans="1:13" ht="18" customHeight="1">
      <c r="A40" s="959">
        <v>32</v>
      </c>
      <c r="B40" s="970"/>
      <c r="C40" s="559"/>
      <c r="D40" s="986" t="s">
        <v>765</v>
      </c>
      <c r="E40" s="979"/>
      <c r="F40" s="980"/>
      <c r="G40" s="981"/>
      <c r="H40" s="982"/>
      <c r="I40" s="987"/>
      <c r="J40" s="988">
        <v>17887</v>
      </c>
      <c r="K40" s="988"/>
      <c r="L40" s="560">
        <f>SUM(I40:K40)</f>
        <v>17887</v>
      </c>
      <c r="M40" s="977"/>
    </row>
    <row r="41" spans="1:13" ht="18" customHeight="1">
      <c r="A41" s="959">
        <v>33</v>
      </c>
      <c r="B41" s="970"/>
      <c r="C41" s="559"/>
      <c r="D41" s="989" t="s">
        <v>1022</v>
      </c>
      <c r="E41" s="990"/>
      <c r="F41" s="991"/>
      <c r="G41" s="992"/>
      <c r="H41" s="993"/>
      <c r="I41" s="994"/>
      <c r="J41" s="561">
        <v>2413</v>
      </c>
      <c r="K41" s="561"/>
      <c r="L41" s="562">
        <f>SUM(F41:K41)</f>
        <v>2413</v>
      </c>
      <c r="M41" s="977"/>
    </row>
    <row r="42" spans="1:13" ht="51" customHeight="1">
      <c r="A42" s="959">
        <v>34</v>
      </c>
      <c r="B42" s="970"/>
      <c r="C42" s="556">
        <v>24</v>
      </c>
      <c r="D42" s="564" t="s">
        <v>1238</v>
      </c>
      <c r="E42" s="971">
        <f>F42+G42+L44</f>
        <v>88900</v>
      </c>
      <c r="F42" s="972"/>
      <c r="G42" s="973"/>
      <c r="H42" s="974" t="s">
        <v>80</v>
      </c>
      <c r="I42" s="558"/>
      <c r="J42" s="975"/>
      <c r="K42" s="975"/>
      <c r="L42" s="976"/>
      <c r="M42" s="977"/>
    </row>
    <row r="43" spans="1:13" ht="18" customHeight="1">
      <c r="A43" s="959">
        <v>35</v>
      </c>
      <c r="B43" s="970"/>
      <c r="C43" s="559"/>
      <c r="D43" s="978" t="s">
        <v>198</v>
      </c>
      <c r="E43" s="979"/>
      <c r="F43" s="980"/>
      <c r="G43" s="981"/>
      <c r="H43" s="982"/>
      <c r="I43" s="983"/>
      <c r="J43" s="984">
        <v>88900</v>
      </c>
      <c r="K43" s="984"/>
      <c r="L43" s="985">
        <f>SUM(I43:K43)</f>
        <v>88900</v>
      </c>
      <c r="M43" s="977"/>
    </row>
    <row r="44" spans="1:13" ht="18" customHeight="1">
      <c r="A44" s="959">
        <v>36</v>
      </c>
      <c r="B44" s="970"/>
      <c r="C44" s="559"/>
      <c r="D44" s="986" t="s">
        <v>765</v>
      </c>
      <c r="E44" s="979"/>
      <c r="F44" s="980"/>
      <c r="G44" s="981"/>
      <c r="H44" s="982"/>
      <c r="I44" s="987"/>
      <c r="J44" s="988">
        <v>88900</v>
      </c>
      <c r="K44" s="988"/>
      <c r="L44" s="560">
        <f>SUM(I44:K44)</f>
        <v>88900</v>
      </c>
      <c r="M44" s="977"/>
    </row>
    <row r="45" spans="1:13" ht="18" customHeight="1">
      <c r="A45" s="959">
        <v>37</v>
      </c>
      <c r="B45" s="970"/>
      <c r="C45" s="559"/>
      <c r="D45" s="989" t="s">
        <v>1022</v>
      </c>
      <c r="E45" s="990"/>
      <c r="F45" s="991"/>
      <c r="G45" s="992"/>
      <c r="H45" s="993"/>
      <c r="I45" s="994"/>
      <c r="J45" s="561">
        <v>88900</v>
      </c>
      <c r="K45" s="561"/>
      <c r="L45" s="562">
        <f>SUM(F45:K45)</f>
        <v>88900</v>
      </c>
      <c r="M45" s="977"/>
    </row>
    <row r="46" spans="1:13" ht="37.5" customHeight="1">
      <c r="A46" s="959">
        <v>38</v>
      </c>
      <c r="B46" s="970"/>
      <c r="C46" s="556">
        <v>25</v>
      </c>
      <c r="D46" s="564" t="s">
        <v>794</v>
      </c>
      <c r="E46" s="971">
        <f>F46+G46+L48</f>
        <v>114300</v>
      </c>
      <c r="F46" s="972"/>
      <c r="G46" s="973"/>
      <c r="H46" s="974" t="s">
        <v>80</v>
      </c>
      <c r="I46" s="558"/>
      <c r="J46" s="975"/>
      <c r="K46" s="975"/>
      <c r="L46" s="976"/>
      <c r="M46" s="977"/>
    </row>
    <row r="47" spans="1:13" ht="18" customHeight="1">
      <c r="A47" s="959">
        <v>39</v>
      </c>
      <c r="B47" s="970"/>
      <c r="C47" s="559"/>
      <c r="D47" s="978" t="s">
        <v>198</v>
      </c>
      <c r="E47" s="979"/>
      <c r="F47" s="980"/>
      <c r="G47" s="981"/>
      <c r="H47" s="982"/>
      <c r="I47" s="983"/>
      <c r="J47" s="984">
        <v>114300</v>
      </c>
      <c r="K47" s="984"/>
      <c r="L47" s="985">
        <f>SUM(I47:K47)</f>
        <v>114300</v>
      </c>
      <c r="M47" s="977"/>
    </row>
    <row r="48" spans="1:13" ht="18" customHeight="1">
      <c r="A48" s="959">
        <v>40</v>
      </c>
      <c r="B48" s="970"/>
      <c r="C48" s="559"/>
      <c r="D48" s="986" t="s">
        <v>765</v>
      </c>
      <c r="E48" s="979"/>
      <c r="F48" s="980"/>
      <c r="G48" s="981"/>
      <c r="H48" s="982"/>
      <c r="I48" s="987"/>
      <c r="J48" s="988">
        <v>114300</v>
      </c>
      <c r="K48" s="988"/>
      <c r="L48" s="560">
        <f>SUM(I48:K48)</f>
        <v>114300</v>
      </c>
      <c r="M48" s="977"/>
    </row>
    <row r="49" spans="1:251" ht="18" customHeight="1">
      <c r="A49" s="959">
        <v>41</v>
      </c>
      <c r="B49" s="970"/>
      <c r="C49" s="559"/>
      <c r="D49" s="989" t="s">
        <v>1022</v>
      </c>
      <c r="E49" s="990"/>
      <c r="F49" s="991"/>
      <c r="G49" s="992"/>
      <c r="H49" s="993"/>
      <c r="I49" s="994"/>
      <c r="J49" s="561">
        <v>114300</v>
      </c>
      <c r="K49" s="561"/>
      <c r="L49" s="562">
        <f>SUM(F49:K49)</f>
        <v>114300</v>
      </c>
      <c r="M49" s="977"/>
    </row>
    <row r="50" spans="1:251" ht="50.25" customHeight="1">
      <c r="A50" s="959">
        <v>42</v>
      </c>
      <c r="B50" s="970"/>
      <c r="C50" s="556">
        <v>26</v>
      </c>
      <c r="D50" s="564" t="s">
        <v>795</v>
      </c>
      <c r="E50" s="971">
        <f>F50+G50+L52</f>
        <v>114300</v>
      </c>
      <c r="F50" s="972"/>
      <c r="G50" s="973"/>
      <c r="H50" s="974" t="s">
        <v>80</v>
      </c>
      <c r="I50" s="558"/>
      <c r="J50" s="975"/>
      <c r="K50" s="975"/>
      <c r="L50" s="976"/>
      <c r="M50" s="977"/>
    </row>
    <row r="51" spans="1:251" ht="18" customHeight="1">
      <c r="A51" s="959">
        <v>43</v>
      </c>
      <c r="B51" s="970"/>
      <c r="C51" s="559"/>
      <c r="D51" s="978" t="s">
        <v>198</v>
      </c>
      <c r="E51" s="979"/>
      <c r="F51" s="980"/>
      <c r="G51" s="981"/>
      <c r="H51" s="982"/>
      <c r="I51" s="983"/>
      <c r="J51" s="984">
        <v>114300</v>
      </c>
      <c r="K51" s="984"/>
      <c r="L51" s="985">
        <f>SUM(I51:K51)</f>
        <v>114300</v>
      </c>
      <c r="M51" s="977"/>
    </row>
    <row r="52" spans="1:251" ht="18" customHeight="1">
      <c r="A52" s="959">
        <v>44</v>
      </c>
      <c r="B52" s="970"/>
      <c r="C52" s="559"/>
      <c r="D52" s="986" t="s">
        <v>765</v>
      </c>
      <c r="E52" s="979"/>
      <c r="F52" s="980"/>
      <c r="G52" s="981"/>
      <c r="H52" s="982"/>
      <c r="I52" s="987"/>
      <c r="J52" s="988">
        <v>114300</v>
      </c>
      <c r="K52" s="988"/>
      <c r="L52" s="560">
        <f>SUM(I52:K52)</f>
        <v>114300</v>
      </c>
      <c r="M52" s="977"/>
    </row>
    <row r="53" spans="1:251" ht="18" customHeight="1">
      <c r="A53" s="959">
        <v>45</v>
      </c>
      <c r="B53" s="970"/>
      <c r="C53" s="559"/>
      <c r="D53" s="989" t="s">
        <v>1022</v>
      </c>
      <c r="E53" s="990"/>
      <c r="F53" s="991"/>
      <c r="G53" s="992"/>
      <c r="H53" s="993"/>
      <c r="I53" s="994"/>
      <c r="J53" s="561">
        <v>114300</v>
      </c>
      <c r="K53" s="561"/>
      <c r="L53" s="562">
        <f>SUM(F53:K53)</f>
        <v>114300</v>
      </c>
      <c r="M53" s="977"/>
    </row>
    <row r="54" spans="1:251" ht="21.75" customHeight="1">
      <c r="A54" s="959">
        <v>46</v>
      </c>
      <c r="B54" s="970"/>
      <c r="C54" s="559">
        <v>27</v>
      </c>
      <c r="D54" s="564" t="s">
        <v>796</v>
      </c>
      <c r="E54" s="971">
        <f>F54+G54+L56</f>
        <v>4496</v>
      </c>
      <c r="F54" s="972"/>
      <c r="G54" s="973">
        <v>2473</v>
      </c>
      <c r="H54" s="974" t="s">
        <v>231</v>
      </c>
      <c r="I54" s="558"/>
      <c r="J54" s="975"/>
      <c r="K54" s="975"/>
      <c r="L54" s="976"/>
      <c r="M54" s="977"/>
    </row>
    <row r="55" spans="1:251" ht="18" customHeight="1">
      <c r="A55" s="959">
        <v>47</v>
      </c>
      <c r="B55" s="970"/>
      <c r="C55" s="559"/>
      <c r="D55" s="978" t="s">
        <v>198</v>
      </c>
      <c r="E55" s="979"/>
      <c r="F55" s="980"/>
      <c r="G55" s="981"/>
      <c r="H55" s="982"/>
      <c r="I55" s="983"/>
      <c r="J55" s="984">
        <v>2023</v>
      </c>
      <c r="K55" s="984"/>
      <c r="L55" s="985">
        <f>SUM(I55:K55)</f>
        <v>2023</v>
      </c>
      <c r="M55" s="977"/>
    </row>
    <row r="56" spans="1:251" ht="18" customHeight="1">
      <c r="A56" s="959">
        <v>48</v>
      </c>
      <c r="B56" s="970"/>
      <c r="C56" s="559"/>
      <c r="D56" s="986" t="s">
        <v>765</v>
      </c>
      <c r="E56" s="979"/>
      <c r="F56" s="980"/>
      <c r="G56" s="981"/>
      <c r="H56" s="982"/>
      <c r="I56" s="987">
        <v>1000</v>
      </c>
      <c r="J56" s="988">
        <v>1023</v>
      </c>
      <c r="K56" s="988"/>
      <c r="L56" s="560">
        <f>SUM(I56:K56)</f>
        <v>2023</v>
      </c>
      <c r="M56" s="977"/>
    </row>
    <row r="57" spans="1:251" ht="18" customHeight="1">
      <c r="A57" s="959">
        <v>49</v>
      </c>
      <c r="B57" s="970"/>
      <c r="C57" s="559"/>
      <c r="D57" s="989" t="s">
        <v>1021</v>
      </c>
      <c r="E57" s="990"/>
      <c r="F57" s="991"/>
      <c r="G57" s="992"/>
      <c r="H57" s="993"/>
      <c r="I57" s="994">
        <v>264</v>
      </c>
      <c r="J57" s="561"/>
      <c r="K57" s="561"/>
      <c r="L57" s="562">
        <f>SUM(F57:K57)</f>
        <v>264</v>
      </c>
      <c r="M57" s="977"/>
    </row>
    <row r="58" spans="1:251" ht="69.75" customHeight="1">
      <c r="A58" s="959">
        <v>50</v>
      </c>
      <c r="B58" s="970"/>
      <c r="C58" s="556">
        <v>30</v>
      </c>
      <c r="D58" s="557" t="s">
        <v>797</v>
      </c>
      <c r="E58" s="971">
        <f>F58+G58+L60</f>
        <v>6298</v>
      </c>
      <c r="F58" s="972">
        <f>10+55</f>
        <v>65</v>
      </c>
      <c r="G58" s="973"/>
      <c r="H58" s="974" t="s">
        <v>231</v>
      </c>
      <c r="I58" s="1000"/>
      <c r="J58" s="971"/>
      <c r="K58" s="971"/>
      <c r="L58" s="976"/>
      <c r="M58" s="977"/>
      <c r="N58" s="1001"/>
      <c r="O58" s="1001"/>
      <c r="P58" s="1001"/>
      <c r="Q58" s="1001"/>
      <c r="R58" s="1001"/>
      <c r="S58" s="1001"/>
      <c r="T58" s="1001"/>
      <c r="U58" s="1001"/>
      <c r="V58" s="1001"/>
      <c r="W58" s="1001"/>
      <c r="X58" s="1001"/>
      <c r="Y58" s="1001"/>
      <c r="Z58" s="1001"/>
      <c r="AA58" s="1001"/>
      <c r="AB58" s="1001"/>
      <c r="AC58" s="1001"/>
      <c r="AD58" s="1001"/>
      <c r="AE58" s="1001"/>
      <c r="AF58" s="1001"/>
      <c r="AG58" s="1001"/>
      <c r="AH58" s="1001"/>
      <c r="AI58" s="1001"/>
      <c r="AJ58" s="1001"/>
      <c r="AK58" s="1001"/>
      <c r="AL58" s="1001"/>
      <c r="AM58" s="1001"/>
      <c r="AN58" s="1001"/>
      <c r="AO58" s="1001"/>
      <c r="AP58" s="1001"/>
      <c r="AQ58" s="1001"/>
      <c r="AR58" s="1001"/>
      <c r="AS58" s="1001"/>
      <c r="AT58" s="1001"/>
      <c r="AU58" s="1001"/>
      <c r="AV58" s="1001"/>
      <c r="AW58" s="1001"/>
      <c r="AX58" s="1001"/>
      <c r="AY58" s="1001"/>
      <c r="AZ58" s="1001"/>
      <c r="BA58" s="1001"/>
      <c r="BB58" s="1001"/>
      <c r="BC58" s="1001"/>
      <c r="BD58" s="1001"/>
      <c r="BE58" s="1001"/>
      <c r="BF58" s="1001"/>
      <c r="BG58" s="1001"/>
      <c r="BH58" s="1001"/>
      <c r="BI58" s="1001"/>
      <c r="BJ58" s="1001"/>
      <c r="BK58" s="1001"/>
      <c r="BL58" s="1001"/>
      <c r="BM58" s="1001"/>
      <c r="BN58" s="1001"/>
      <c r="BO58" s="1001"/>
      <c r="BP58" s="1001"/>
      <c r="BQ58" s="1001"/>
      <c r="BR58" s="1001"/>
      <c r="BS58" s="1001"/>
      <c r="BT58" s="1001"/>
      <c r="BU58" s="1001"/>
      <c r="BV58" s="1001"/>
      <c r="BW58" s="1001"/>
      <c r="BX58" s="1001"/>
      <c r="BY58" s="1001"/>
      <c r="BZ58" s="1001"/>
      <c r="CA58" s="1001"/>
      <c r="CB58" s="1001"/>
      <c r="CC58" s="1001"/>
      <c r="CD58" s="1001"/>
      <c r="CE58" s="1001"/>
      <c r="CF58" s="1001"/>
      <c r="CG58" s="1001"/>
      <c r="CH58" s="1001"/>
      <c r="CI58" s="1001"/>
      <c r="CJ58" s="1001"/>
      <c r="CK58" s="1001"/>
      <c r="CL58" s="1001"/>
      <c r="CM58" s="1001"/>
      <c r="CN58" s="1001"/>
      <c r="CO58" s="1001"/>
      <c r="CP58" s="1001"/>
      <c r="CQ58" s="1001"/>
      <c r="CR58" s="1001"/>
      <c r="CS58" s="1001"/>
      <c r="CT58" s="1001"/>
      <c r="CU58" s="1001"/>
      <c r="CV58" s="1001"/>
      <c r="CW58" s="1001"/>
      <c r="CX58" s="1001"/>
      <c r="CY58" s="1001"/>
      <c r="CZ58" s="1001"/>
      <c r="DA58" s="1001"/>
      <c r="DB58" s="1001"/>
      <c r="DC58" s="1001"/>
      <c r="DD58" s="1001"/>
      <c r="DE58" s="1001"/>
      <c r="DF58" s="1001"/>
      <c r="DG58" s="1001"/>
      <c r="DH58" s="1001"/>
      <c r="DI58" s="1001"/>
      <c r="DJ58" s="1001"/>
      <c r="DK58" s="1001"/>
      <c r="DL58" s="1001"/>
      <c r="DM58" s="1001"/>
      <c r="DN58" s="1001"/>
      <c r="DO58" s="1001"/>
      <c r="DP58" s="1001"/>
      <c r="DQ58" s="1001"/>
      <c r="DR58" s="1001"/>
      <c r="DS58" s="1001"/>
      <c r="DT58" s="1001"/>
      <c r="DU58" s="1001"/>
      <c r="DV58" s="1001"/>
      <c r="DW58" s="1001"/>
      <c r="DX58" s="1001"/>
      <c r="DY58" s="1001"/>
      <c r="DZ58" s="1001"/>
      <c r="EA58" s="1001"/>
      <c r="EB58" s="1001"/>
      <c r="EC58" s="1001"/>
      <c r="ED58" s="1001"/>
      <c r="EE58" s="1001"/>
      <c r="EF58" s="1001"/>
      <c r="EG58" s="1001"/>
      <c r="EH58" s="1001"/>
      <c r="EI58" s="1001"/>
      <c r="EJ58" s="1001"/>
      <c r="EK58" s="1001"/>
      <c r="EL58" s="1001"/>
      <c r="EM58" s="1001"/>
      <c r="EN58" s="1001"/>
      <c r="EO58" s="1001"/>
      <c r="EP58" s="1001"/>
      <c r="EQ58" s="1001"/>
      <c r="ER58" s="1001"/>
      <c r="ES58" s="1001"/>
      <c r="ET58" s="1001"/>
      <c r="EU58" s="1001"/>
      <c r="EV58" s="1001"/>
      <c r="EW58" s="1001"/>
      <c r="EX58" s="1001"/>
      <c r="EY58" s="1001"/>
      <c r="EZ58" s="1001"/>
      <c r="FA58" s="1001"/>
      <c r="FB58" s="1001"/>
      <c r="FC58" s="1001"/>
      <c r="FD58" s="1001"/>
      <c r="FE58" s="1001"/>
      <c r="FF58" s="1001"/>
      <c r="FG58" s="1001"/>
      <c r="FH58" s="1001"/>
      <c r="FI58" s="1001"/>
      <c r="FJ58" s="1001"/>
      <c r="FK58" s="1001"/>
      <c r="FL58" s="1001"/>
      <c r="FM58" s="1001"/>
      <c r="FN58" s="1001"/>
      <c r="FO58" s="1001"/>
      <c r="FP58" s="1001"/>
      <c r="FQ58" s="1001"/>
      <c r="FR58" s="1001"/>
      <c r="FS58" s="1001"/>
      <c r="FT58" s="1001"/>
      <c r="FU58" s="1001"/>
      <c r="FV58" s="1001"/>
      <c r="FW58" s="1001"/>
      <c r="FX58" s="1001"/>
      <c r="FY58" s="1001"/>
      <c r="FZ58" s="1001"/>
      <c r="GA58" s="1001"/>
      <c r="GB58" s="1001"/>
      <c r="GC58" s="1001"/>
      <c r="GD58" s="1001"/>
      <c r="GE58" s="1001"/>
      <c r="GF58" s="1001"/>
      <c r="GG58" s="1001"/>
      <c r="GH58" s="1001"/>
      <c r="GI58" s="1001"/>
      <c r="GJ58" s="1001"/>
      <c r="GK58" s="1001"/>
      <c r="GL58" s="1001"/>
      <c r="GM58" s="1001"/>
      <c r="GN58" s="1001"/>
      <c r="GO58" s="1001"/>
      <c r="GP58" s="1001"/>
      <c r="GQ58" s="1001"/>
      <c r="GR58" s="1001"/>
      <c r="GS58" s="1001"/>
      <c r="GT58" s="1001"/>
      <c r="GU58" s="1001"/>
      <c r="GV58" s="1001"/>
      <c r="GW58" s="1001"/>
      <c r="GX58" s="1001"/>
      <c r="GY58" s="1001"/>
      <c r="GZ58" s="1001"/>
      <c r="HA58" s="1001"/>
      <c r="HB58" s="1001"/>
      <c r="HC58" s="1001"/>
      <c r="HD58" s="1001"/>
      <c r="HE58" s="1001"/>
      <c r="HF58" s="1001"/>
      <c r="HG58" s="1001"/>
      <c r="HH58" s="1001"/>
      <c r="HI58" s="1001"/>
      <c r="HJ58" s="1001"/>
      <c r="HK58" s="1001"/>
      <c r="HL58" s="1001"/>
      <c r="HM58" s="1001"/>
      <c r="HN58" s="1001"/>
      <c r="HO58" s="1001"/>
      <c r="HP58" s="1001"/>
      <c r="HQ58" s="1001"/>
      <c r="HR58" s="1001"/>
      <c r="HS58" s="1001"/>
      <c r="HT58" s="1001"/>
      <c r="HU58" s="1001"/>
      <c r="HV58" s="1001"/>
      <c r="HW58" s="1001"/>
      <c r="HX58" s="1001"/>
      <c r="HY58" s="1001"/>
      <c r="HZ58" s="1001"/>
      <c r="IA58" s="1001"/>
      <c r="IB58" s="1001"/>
      <c r="IC58" s="1001"/>
      <c r="ID58" s="1001"/>
      <c r="IE58" s="1001"/>
      <c r="IF58" s="1001"/>
      <c r="IG58" s="1001"/>
      <c r="IH58" s="1001"/>
      <c r="II58" s="1001"/>
      <c r="IJ58" s="1001"/>
      <c r="IK58" s="1001"/>
      <c r="IL58" s="1001"/>
      <c r="IM58" s="1001"/>
      <c r="IN58" s="1001"/>
      <c r="IO58" s="1001"/>
      <c r="IP58" s="1001"/>
      <c r="IQ58" s="1001"/>
    </row>
    <row r="59" spans="1:251" ht="18" customHeight="1">
      <c r="A59" s="959">
        <v>51</v>
      </c>
      <c r="B59" s="970"/>
      <c r="C59" s="559"/>
      <c r="D59" s="978" t="s">
        <v>198</v>
      </c>
      <c r="E59" s="979"/>
      <c r="F59" s="980"/>
      <c r="G59" s="981"/>
      <c r="H59" s="982"/>
      <c r="I59" s="983"/>
      <c r="J59" s="984">
        <f>3218+3015</f>
        <v>6233</v>
      </c>
      <c r="K59" s="984"/>
      <c r="L59" s="985">
        <f>SUM(I59:K59)</f>
        <v>6233</v>
      </c>
      <c r="M59" s="977"/>
      <c r="N59" s="1001"/>
      <c r="O59" s="1001"/>
      <c r="P59" s="1001"/>
      <c r="Q59" s="1001"/>
      <c r="R59" s="1001"/>
      <c r="S59" s="1001"/>
      <c r="T59" s="1001"/>
      <c r="U59" s="1001"/>
      <c r="V59" s="1001"/>
      <c r="W59" s="1001"/>
      <c r="X59" s="1001"/>
      <c r="Y59" s="1001"/>
      <c r="Z59" s="1001"/>
      <c r="AA59" s="1001"/>
      <c r="AB59" s="1001"/>
      <c r="AC59" s="1001"/>
      <c r="AD59" s="1001"/>
      <c r="AE59" s="1001"/>
      <c r="AF59" s="1001"/>
      <c r="AG59" s="1001"/>
      <c r="AH59" s="1001"/>
      <c r="AI59" s="1001"/>
      <c r="AJ59" s="1001"/>
      <c r="AK59" s="1001"/>
      <c r="AL59" s="1001"/>
      <c r="AM59" s="1001"/>
      <c r="AN59" s="1001"/>
      <c r="AO59" s="1001"/>
      <c r="AP59" s="1001"/>
      <c r="AQ59" s="1001"/>
      <c r="AR59" s="1001"/>
      <c r="AS59" s="1001"/>
      <c r="AT59" s="1001"/>
      <c r="AU59" s="1001"/>
      <c r="AV59" s="1001"/>
      <c r="AW59" s="1001"/>
      <c r="AX59" s="1001"/>
      <c r="AY59" s="1001"/>
      <c r="AZ59" s="1001"/>
      <c r="BA59" s="1001"/>
      <c r="BB59" s="1001"/>
      <c r="BC59" s="1001"/>
      <c r="BD59" s="1001"/>
      <c r="BE59" s="1001"/>
      <c r="BF59" s="1001"/>
      <c r="BG59" s="1001"/>
      <c r="BH59" s="1001"/>
      <c r="BI59" s="1001"/>
      <c r="BJ59" s="1001"/>
      <c r="BK59" s="1001"/>
      <c r="BL59" s="1001"/>
      <c r="BM59" s="1001"/>
      <c r="BN59" s="1001"/>
      <c r="BO59" s="1001"/>
      <c r="BP59" s="1001"/>
      <c r="BQ59" s="1001"/>
      <c r="BR59" s="1001"/>
      <c r="BS59" s="1001"/>
      <c r="BT59" s="1001"/>
      <c r="BU59" s="1001"/>
      <c r="BV59" s="1001"/>
      <c r="BW59" s="1001"/>
      <c r="BX59" s="1001"/>
      <c r="BY59" s="1001"/>
      <c r="BZ59" s="1001"/>
      <c r="CA59" s="1001"/>
      <c r="CB59" s="1001"/>
      <c r="CC59" s="1001"/>
      <c r="CD59" s="1001"/>
      <c r="CE59" s="1001"/>
      <c r="CF59" s="1001"/>
      <c r="CG59" s="1001"/>
      <c r="CH59" s="1001"/>
      <c r="CI59" s="1001"/>
      <c r="CJ59" s="1001"/>
      <c r="CK59" s="1001"/>
      <c r="CL59" s="1001"/>
      <c r="CM59" s="1001"/>
      <c r="CN59" s="1001"/>
      <c r="CO59" s="1001"/>
      <c r="CP59" s="1001"/>
      <c r="CQ59" s="1001"/>
      <c r="CR59" s="1001"/>
      <c r="CS59" s="1001"/>
      <c r="CT59" s="1001"/>
      <c r="CU59" s="1001"/>
      <c r="CV59" s="1001"/>
      <c r="CW59" s="1001"/>
      <c r="CX59" s="1001"/>
      <c r="CY59" s="1001"/>
      <c r="CZ59" s="1001"/>
      <c r="DA59" s="1001"/>
      <c r="DB59" s="1001"/>
      <c r="DC59" s="1001"/>
      <c r="DD59" s="1001"/>
      <c r="DE59" s="1001"/>
      <c r="DF59" s="1001"/>
      <c r="DG59" s="1001"/>
      <c r="DH59" s="1001"/>
      <c r="DI59" s="1001"/>
      <c r="DJ59" s="1001"/>
      <c r="DK59" s="1001"/>
      <c r="DL59" s="1001"/>
      <c r="DM59" s="1001"/>
      <c r="DN59" s="1001"/>
      <c r="DO59" s="1001"/>
      <c r="DP59" s="1001"/>
      <c r="DQ59" s="1001"/>
      <c r="DR59" s="1001"/>
      <c r="DS59" s="1001"/>
      <c r="DT59" s="1001"/>
      <c r="DU59" s="1001"/>
      <c r="DV59" s="1001"/>
      <c r="DW59" s="1001"/>
      <c r="DX59" s="1001"/>
      <c r="DY59" s="1001"/>
      <c r="DZ59" s="1001"/>
      <c r="EA59" s="1001"/>
      <c r="EB59" s="1001"/>
      <c r="EC59" s="1001"/>
      <c r="ED59" s="1001"/>
      <c r="EE59" s="1001"/>
      <c r="EF59" s="1001"/>
      <c r="EG59" s="1001"/>
      <c r="EH59" s="1001"/>
      <c r="EI59" s="1001"/>
      <c r="EJ59" s="1001"/>
      <c r="EK59" s="1001"/>
      <c r="EL59" s="1001"/>
      <c r="EM59" s="1001"/>
      <c r="EN59" s="1001"/>
      <c r="EO59" s="1001"/>
      <c r="EP59" s="1001"/>
      <c r="EQ59" s="1001"/>
      <c r="ER59" s="1001"/>
      <c r="ES59" s="1001"/>
      <c r="ET59" s="1001"/>
      <c r="EU59" s="1001"/>
      <c r="EV59" s="1001"/>
      <c r="EW59" s="1001"/>
      <c r="EX59" s="1001"/>
      <c r="EY59" s="1001"/>
      <c r="EZ59" s="1001"/>
      <c r="FA59" s="1001"/>
      <c r="FB59" s="1001"/>
      <c r="FC59" s="1001"/>
      <c r="FD59" s="1001"/>
      <c r="FE59" s="1001"/>
      <c r="FF59" s="1001"/>
      <c r="FG59" s="1001"/>
      <c r="FH59" s="1001"/>
      <c r="FI59" s="1001"/>
      <c r="FJ59" s="1001"/>
      <c r="FK59" s="1001"/>
      <c r="FL59" s="1001"/>
      <c r="FM59" s="1001"/>
      <c r="FN59" s="1001"/>
      <c r="FO59" s="1001"/>
      <c r="FP59" s="1001"/>
      <c r="FQ59" s="1001"/>
      <c r="FR59" s="1001"/>
      <c r="FS59" s="1001"/>
      <c r="FT59" s="1001"/>
      <c r="FU59" s="1001"/>
      <c r="FV59" s="1001"/>
      <c r="FW59" s="1001"/>
      <c r="FX59" s="1001"/>
      <c r="FY59" s="1001"/>
      <c r="FZ59" s="1001"/>
      <c r="GA59" s="1001"/>
      <c r="GB59" s="1001"/>
      <c r="GC59" s="1001"/>
      <c r="GD59" s="1001"/>
      <c r="GE59" s="1001"/>
      <c r="GF59" s="1001"/>
      <c r="GG59" s="1001"/>
      <c r="GH59" s="1001"/>
      <c r="GI59" s="1001"/>
      <c r="GJ59" s="1001"/>
      <c r="GK59" s="1001"/>
      <c r="GL59" s="1001"/>
      <c r="GM59" s="1001"/>
      <c r="GN59" s="1001"/>
      <c r="GO59" s="1001"/>
      <c r="GP59" s="1001"/>
      <c r="GQ59" s="1001"/>
      <c r="GR59" s="1001"/>
      <c r="GS59" s="1001"/>
      <c r="GT59" s="1001"/>
      <c r="GU59" s="1001"/>
      <c r="GV59" s="1001"/>
      <c r="GW59" s="1001"/>
      <c r="GX59" s="1001"/>
      <c r="GY59" s="1001"/>
      <c r="GZ59" s="1001"/>
      <c r="HA59" s="1001"/>
      <c r="HB59" s="1001"/>
      <c r="HC59" s="1001"/>
      <c r="HD59" s="1001"/>
      <c r="HE59" s="1001"/>
      <c r="HF59" s="1001"/>
      <c r="HG59" s="1001"/>
      <c r="HH59" s="1001"/>
      <c r="HI59" s="1001"/>
      <c r="HJ59" s="1001"/>
      <c r="HK59" s="1001"/>
      <c r="HL59" s="1001"/>
      <c r="HM59" s="1001"/>
      <c r="HN59" s="1001"/>
      <c r="HO59" s="1001"/>
      <c r="HP59" s="1001"/>
      <c r="HQ59" s="1001"/>
      <c r="HR59" s="1001"/>
      <c r="HS59" s="1001"/>
      <c r="HT59" s="1001"/>
      <c r="HU59" s="1001"/>
      <c r="HV59" s="1001"/>
      <c r="HW59" s="1001"/>
      <c r="HX59" s="1001"/>
      <c r="HY59" s="1001"/>
      <c r="HZ59" s="1001"/>
      <c r="IA59" s="1001"/>
      <c r="IB59" s="1001"/>
      <c r="IC59" s="1001"/>
      <c r="ID59" s="1001"/>
      <c r="IE59" s="1001"/>
      <c r="IF59" s="1001"/>
      <c r="IG59" s="1001"/>
      <c r="IH59" s="1001"/>
      <c r="II59" s="1001"/>
      <c r="IJ59" s="1001"/>
      <c r="IK59" s="1001"/>
      <c r="IL59" s="1001"/>
      <c r="IM59" s="1001"/>
      <c r="IN59" s="1001"/>
      <c r="IO59" s="1001"/>
      <c r="IP59" s="1001"/>
      <c r="IQ59" s="1001"/>
    </row>
    <row r="60" spans="1:251" ht="18" customHeight="1">
      <c r="A60" s="959">
        <v>52</v>
      </c>
      <c r="B60" s="970"/>
      <c r="C60" s="559"/>
      <c r="D60" s="986" t="s">
        <v>765</v>
      </c>
      <c r="E60" s="979"/>
      <c r="F60" s="980"/>
      <c r="G60" s="981"/>
      <c r="H60" s="982"/>
      <c r="I60" s="987"/>
      <c r="J60" s="988">
        <v>6233</v>
      </c>
      <c r="K60" s="988"/>
      <c r="L60" s="560">
        <f>SUM(I60:K60)</f>
        <v>6233</v>
      </c>
      <c r="M60" s="1002"/>
      <c r="N60" s="1001"/>
      <c r="O60" s="1001"/>
      <c r="P60" s="1001"/>
      <c r="Q60" s="1001"/>
      <c r="R60" s="1001"/>
      <c r="S60" s="1001"/>
      <c r="T60" s="1001"/>
      <c r="U60" s="1001"/>
      <c r="V60" s="1001"/>
      <c r="W60" s="1001"/>
      <c r="X60" s="1001"/>
      <c r="Y60" s="1001"/>
      <c r="Z60" s="1001"/>
      <c r="AA60" s="1001"/>
      <c r="AB60" s="1001"/>
      <c r="AC60" s="1001"/>
      <c r="AD60" s="1001"/>
      <c r="AE60" s="1001"/>
      <c r="AF60" s="1001"/>
      <c r="AG60" s="1001"/>
      <c r="AH60" s="1001"/>
      <c r="AI60" s="1001"/>
      <c r="AJ60" s="1001"/>
      <c r="AK60" s="1001"/>
      <c r="AL60" s="1001"/>
      <c r="AM60" s="1001"/>
      <c r="AN60" s="1001"/>
      <c r="AO60" s="1001"/>
      <c r="AP60" s="1001"/>
      <c r="AQ60" s="1001"/>
      <c r="AR60" s="1001"/>
      <c r="AS60" s="1001"/>
      <c r="AT60" s="1001"/>
      <c r="AU60" s="1001"/>
      <c r="AV60" s="1001"/>
      <c r="AW60" s="1001"/>
      <c r="AX60" s="1001"/>
      <c r="AY60" s="1001"/>
      <c r="AZ60" s="1001"/>
      <c r="BA60" s="1001"/>
      <c r="BB60" s="1001"/>
      <c r="BC60" s="1001"/>
      <c r="BD60" s="1001"/>
      <c r="BE60" s="1001"/>
      <c r="BF60" s="1001"/>
      <c r="BG60" s="1001"/>
      <c r="BH60" s="1001"/>
      <c r="BI60" s="1001"/>
      <c r="BJ60" s="1001"/>
      <c r="BK60" s="1001"/>
      <c r="BL60" s="1001"/>
      <c r="BM60" s="1001"/>
      <c r="BN60" s="1001"/>
      <c r="BO60" s="1001"/>
      <c r="BP60" s="1001"/>
      <c r="BQ60" s="1001"/>
      <c r="BR60" s="1001"/>
      <c r="BS60" s="1001"/>
      <c r="BT60" s="1001"/>
      <c r="BU60" s="1001"/>
      <c r="BV60" s="1001"/>
      <c r="BW60" s="1001"/>
      <c r="BX60" s="1001"/>
      <c r="BY60" s="1001"/>
      <c r="BZ60" s="1001"/>
      <c r="CA60" s="1001"/>
      <c r="CB60" s="1001"/>
      <c r="CC60" s="1001"/>
      <c r="CD60" s="1001"/>
      <c r="CE60" s="1001"/>
      <c r="CF60" s="1001"/>
      <c r="CG60" s="1001"/>
      <c r="CH60" s="1001"/>
      <c r="CI60" s="1001"/>
      <c r="CJ60" s="1001"/>
      <c r="CK60" s="1001"/>
      <c r="CL60" s="1001"/>
      <c r="CM60" s="1001"/>
      <c r="CN60" s="1001"/>
      <c r="CO60" s="1001"/>
      <c r="CP60" s="1001"/>
      <c r="CQ60" s="1001"/>
      <c r="CR60" s="1001"/>
      <c r="CS60" s="1001"/>
      <c r="CT60" s="1001"/>
      <c r="CU60" s="1001"/>
      <c r="CV60" s="1001"/>
      <c r="CW60" s="1001"/>
      <c r="CX60" s="1001"/>
      <c r="CY60" s="1001"/>
      <c r="CZ60" s="1001"/>
      <c r="DA60" s="1001"/>
      <c r="DB60" s="1001"/>
      <c r="DC60" s="1001"/>
      <c r="DD60" s="1001"/>
      <c r="DE60" s="1001"/>
      <c r="DF60" s="1001"/>
      <c r="DG60" s="1001"/>
      <c r="DH60" s="1001"/>
      <c r="DI60" s="1001"/>
      <c r="DJ60" s="1001"/>
      <c r="DK60" s="1001"/>
      <c r="DL60" s="1001"/>
      <c r="DM60" s="1001"/>
      <c r="DN60" s="1001"/>
      <c r="DO60" s="1001"/>
      <c r="DP60" s="1001"/>
      <c r="DQ60" s="1001"/>
      <c r="DR60" s="1001"/>
      <c r="DS60" s="1001"/>
      <c r="DT60" s="1001"/>
      <c r="DU60" s="1001"/>
      <c r="DV60" s="1001"/>
      <c r="DW60" s="1001"/>
      <c r="DX60" s="1001"/>
      <c r="DY60" s="1001"/>
      <c r="DZ60" s="1001"/>
      <c r="EA60" s="1001"/>
      <c r="EB60" s="1001"/>
      <c r="EC60" s="1001"/>
      <c r="ED60" s="1001"/>
      <c r="EE60" s="1001"/>
      <c r="EF60" s="1001"/>
      <c r="EG60" s="1001"/>
      <c r="EH60" s="1001"/>
      <c r="EI60" s="1001"/>
      <c r="EJ60" s="1001"/>
      <c r="EK60" s="1001"/>
      <c r="EL60" s="1001"/>
      <c r="EM60" s="1001"/>
      <c r="EN60" s="1001"/>
      <c r="EO60" s="1001"/>
      <c r="EP60" s="1001"/>
      <c r="EQ60" s="1001"/>
      <c r="ER60" s="1001"/>
      <c r="ES60" s="1001"/>
      <c r="ET60" s="1001"/>
      <c r="EU60" s="1001"/>
      <c r="EV60" s="1001"/>
      <c r="EW60" s="1001"/>
      <c r="EX60" s="1001"/>
      <c r="EY60" s="1001"/>
      <c r="EZ60" s="1001"/>
      <c r="FA60" s="1001"/>
      <c r="FB60" s="1001"/>
      <c r="FC60" s="1001"/>
      <c r="FD60" s="1001"/>
      <c r="FE60" s="1001"/>
      <c r="FF60" s="1001"/>
      <c r="FG60" s="1001"/>
      <c r="FH60" s="1001"/>
      <c r="FI60" s="1001"/>
      <c r="FJ60" s="1001"/>
      <c r="FK60" s="1001"/>
      <c r="FL60" s="1001"/>
      <c r="FM60" s="1001"/>
      <c r="FN60" s="1001"/>
      <c r="FO60" s="1001"/>
      <c r="FP60" s="1001"/>
      <c r="FQ60" s="1001"/>
      <c r="FR60" s="1001"/>
      <c r="FS60" s="1001"/>
      <c r="FT60" s="1001"/>
      <c r="FU60" s="1001"/>
      <c r="FV60" s="1001"/>
      <c r="FW60" s="1001"/>
      <c r="FX60" s="1001"/>
      <c r="FY60" s="1001"/>
      <c r="FZ60" s="1001"/>
      <c r="GA60" s="1001"/>
      <c r="GB60" s="1001"/>
      <c r="GC60" s="1001"/>
      <c r="GD60" s="1001"/>
      <c r="GE60" s="1001"/>
      <c r="GF60" s="1001"/>
      <c r="GG60" s="1001"/>
      <c r="GH60" s="1001"/>
      <c r="GI60" s="1001"/>
      <c r="GJ60" s="1001"/>
      <c r="GK60" s="1001"/>
      <c r="GL60" s="1001"/>
      <c r="GM60" s="1001"/>
      <c r="GN60" s="1001"/>
      <c r="GO60" s="1001"/>
      <c r="GP60" s="1001"/>
      <c r="GQ60" s="1001"/>
      <c r="GR60" s="1001"/>
      <c r="GS60" s="1001"/>
      <c r="GT60" s="1001"/>
      <c r="GU60" s="1001"/>
      <c r="GV60" s="1001"/>
      <c r="GW60" s="1001"/>
      <c r="GX60" s="1001"/>
      <c r="GY60" s="1001"/>
      <c r="GZ60" s="1001"/>
      <c r="HA60" s="1001"/>
      <c r="HB60" s="1001"/>
      <c r="HC60" s="1001"/>
      <c r="HD60" s="1001"/>
      <c r="HE60" s="1001"/>
      <c r="HF60" s="1001"/>
      <c r="HG60" s="1001"/>
      <c r="HH60" s="1001"/>
      <c r="HI60" s="1001"/>
      <c r="HJ60" s="1001"/>
      <c r="HK60" s="1001"/>
      <c r="HL60" s="1001"/>
      <c r="HM60" s="1001"/>
      <c r="HN60" s="1001"/>
      <c r="HO60" s="1001"/>
      <c r="HP60" s="1001"/>
      <c r="HQ60" s="1001"/>
      <c r="HR60" s="1001"/>
      <c r="HS60" s="1001"/>
      <c r="HT60" s="1001"/>
      <c r="HU60" s="1001"/>
      <c r="HV60" s="1001"/>
      <c r="HW60" s="1001"/>
      <c r="HX60" s="1001"/>
      <c r="HY60" s="1001"/>
      <c r="HZ60" s="1001"/>
      <c r="IA60" s="1001"/>
      <c r="IB60" s="1001"/>
      <c r="IC60" s="1001"/>
      <c r="ID60" s="1001"/>
      <c r="IE60" s="1001"/>
      <c r="IF60" s="1001"/>
      <c r="IG60" s="1001"/>
      <c r="IH60" s="1001"/>
      <c r="II60" s="1001"/>
      <c r="IJ60" s="1001"/>
      <c r="IK60" s="1001"/>
      <c r="IL60" s="1001"/>
      <c r="IM60" s="1001"/>
      <c r="IN60" s="1001"/>
      <c r="IO60" s="1001"/>
      <c r="IP60" s="1001"/>
      <c r="IQ60" s="1001"/>
    </row>
    <row r="61" spans="1:251" ht="18" customHeight="1">
      <c r="A61" s="959">
        <v>53</v>
      </c>
      <c r="B61" s="970"/>
      <c r="C61" s="559"/>
      <c r="D61" s="989" t="s">
        <v>1022</v>
      </c>
      <c r="E61" s="990"/>
      <c r="F61" s="991"/>
      <c r="G61" s="992"/>
      <c r="H61" s="993"/>
      <c r="I61" s="994"/>
      <c r="J61" s="561">
        <v>862</v>
      </c>
      <c r="K61" s="561"/>
      <c r="L61" s="562">
        <f>SUM(F61:K61)</f>
        <v>862</v>
      </c>
      <c r="M61" s="1002"/>
      <c r="N61" s="1001"/>
      <c r="O61" s="1001"/>
      <c r="P61" s="1001"/>
      <c r="Q61" s="1001"/>
      <c r="R61" s="1001"/>
      <c r="S61" s="1001"/>
      <c r="T61" s="1001"/>
      <c r="U61" s="1001"/>
      <c r="V61" s="1001"/>
      <c r="W61" s="1001"/>
      <c r="X61" s="1001"/>
      <c r="Y61" s="1001"/>
      <c r="Z61" s="1001"/>
      <c r="AA61" s="1001"/>
      <c r="AB61" s="1001"/>
      <c r="AC61" s="1001"/>
      <c r="AD61" s="1001"/>
      <c r="AE61" s="1001"/>
      <c r="AF61" s="1001"/>
      <c r="AG61" s="1001"/>
      <c r="AH61" s="1001"/>
      <c r="AI61" s="1001"/>
      <c r="AJ61" s="1001"/>
      <c r="AK61" s="1001"/>
      <c r="AL61" s="1001"/>
      <c r="AM61" s="1001"/>
      <c r="AN61" s="1001"/>
      <c r="AO61" s="1001"/>
      <c r="AP61" s="1001"/>
      <c r="AQ61" s="1001"/>
      <c r="AR61" s="1001"/>
      <c r="AS61" s="1001"/>
      <c r="AT61" s="1001"/>
      <c r="AU61" s="1001"/>
      <c r="AV61" s="1001"/>
      <c r="AW61" s="1001"/>
      <c r="AX61" s="1001"/>
      <c r="AY61" s="1001"/>
      <c r="AZ61" s="1001"/>
      <c r="BA61" s="1001"/>
      <c r="BB61" s="1001"/>
      <c r="BC61" s="1001"/>
      <c r="BD61" s="1001"/>
      <c r="BE61" s="1001"/>
      <c r="BF61" s="1001"/>
      <c r="BG61" s="1001"/>
      <c r="BH61" s="1001"/>
      <c r="BI61" s="1001"/>
      <c r="BJ61" s="1001"/>
      <c r="BK61" s="1001"/>
      <c r="BL61" s="1001"/>
      <c r="BM61" s="1001"/>
      <c r="BN61" s="1001"/>
      <c r="BO61" s="1001"/>
      <c r="BP61" s="1001"/>
      <c r="BQ61" s="1001"/>
      <c r="BR61" s="1001"/>
      <c r="BS61" s="1001"/>
      <c r="BT61" s="1001"/>
      <c r="BU61" s="1001"/>
      <c r="BV61" s="1001"/>
      <c r="BW61" s="1001"/>
      <c r="BX61" s="1001"/>
      <c r="BY61" s="1001"/>
      <c r="BZ61" s="1001"/>
      <c r="CA61" s="1001"/>
      <c r="CB61" s="1001"/>
      <c r="CC61" s="1001"/>
      <c r="CD61" s="1001"/>
      <c r="CE61" s="1001"/>
      <c r="CF61" s="1001"/>
      <c r="CG61" s="1001"/>
      <c r="CH61" s="1001"/>
      <c r="CI61" s="1001"/>
      <c r="CJ61" s="1001"/>
      <c r="CK61" s="1001"/>
      <c r="CL61" s="1001"/>
      <c r="CM61" s="1001"/>
      <c r="CN61" s="1001"/>
      <c r="CO61" s="1001"/>
      <c r="CP61" s="1001"/>
      <c r="CQ61" s="1001"/>
      <c r="CR61" s="1001"/>
      <c r="CS61" s="1001"/>
      <c r="CT61" s="1001"/>
      <c r="CU61" s="1001"/>
      <c r="CV61" s="1001"/>
      <c r="CW61" s="1001"/>
      <c r="CX61" s="1001"/>
      <c r="CY61" s="1001"/>
      <c r="CZ61" s="1001"/>
      <c r="DA61" s="1001"/>
      <c r="DB61" s="1001"/>
      <c r="DC61" s="1001"/>
      <c r="DD61" s="1001"/>
      <c r="DE61" s="1001"/>
      <c r="DF61" s="1001"/>
      <c r="DG61" s="1001"/>
      <c r="DH61" s="1001"/>
      <c r="DI61" s="1001"/>
      <c r="DJ61" s="1001"/>
      <c r="DK61" s="1001"/>
      <c r="DL61" s="1001"/>
      <c r="DM61" s="1001"/>
      <c r="DN61" s="1001"/>
      <c r="DO61" s="1001"/>
      <c r="DP61" s="1001"/>
      <c r="DQ61" s="1001"/>
      <c r="DR61" s="1001"/>
      <c r="DS61" s="1001"/>
      <c r="DT61" s="1001"/>
      <c r="DU61" s="1001"/>
      <c r="DV61" s="1001"/>
      <c r="DW61" s="1001"/>
      <c r="DX61" s="1001"/>
      <c r="DY61" s="1001"/>
      <c r="DZ61" s="1001"/>
      <c r="EA61" s="1001"/>
      <c r="EB61" s="1001"/>
      <c r="EC61" s="1001"/>
      <c r="ED61" s="1001"/>
      <c r="EE61" s="1001"/>
      <c r="EF61" s="1001"/>
      <c r="EG61" s="1001"/>
      <c r="EH61" s="1001"/>
      <c r="EI61" s="1001"/>
      <c r="EJ61" s="1001"/>
      <c r="EK61" s="1001"/>
      <c r="EL61" s="1001"/>
      <c r="EM61" s="1001"/>
      <c r="EN61" s="1001"/>
      <c r="EO61" s="1001"/>
      <c r="EP61" s="1001"/>
      <c r="EQ61" s="1001"/>
      <c r="ER61" s="1001"/>
      <c r="ES61" s="1001"/>
      <c r="ET61" s="1001"/>
      <c r="EU61" s="1001"/>
      <c r="EV61" s="1001"/>
      <c r="EW61" s="1001"/>
      <c r="EX61" s="1001"/>
      <c r="EY61" s="1001"/>
      <c r="EZ61" s="1001"/>
      <c r="FA61" s="1001"/>
      <c r="FB61" s="1001"/>
      <c r="FC61" s="1001"/>
      <c r="FD61" s="1001"/>
      <c r="FE61" s="1001"/>
      <c r="FF61" s="1001"/>
      <c r="FG61" s="1001"/>
      <c r="FH61" s="1001"/>
      <c r="FI61" s="1001"/>
      <c r="FJ61" s="1001"/>
      <c r="FK61" s="1001"/>
      <c r="FL61" s="1001"/>
      <c r="FM61" s="1001"/>
      <c r="FN61" s="1001"/>
      <c r="FO61" s="1001"/>
      <c r="FP61" s="1001"/>
      <c r="FQ61" s="1001"/>
      <c r="FR61" s="1001"/>
      <c r="FS61" s="1001"/>
      <c r="FT61" s="1001"/>
      <c r="FU61" s="1001"/>
      <c r="FV61" s="1001"/>
      <c r="FW61" s="1001"/>
      <c r="FX61" s="1001"/>
      <c r="FY61" s="1001"/>
      <c r="FZ61" s="1001"/>
      <c r="GA61" s="1001"/>
      <c r="GB61" s="1001"/>
      <c r="GC61" s="1001"/>
      <c r="GD61" s="1001"/>
      <c r="GE61" s="1001"/>
      <c r="GF61" s="1001"/>
      <c r="GG61" s="1001"/>
      <c r="GH61" s="1001"/>
      <c r="GI61" s="1001"/>
      <c r="GJ61" s="1001"/>
      <c r="GK61" s="1001"/>
      <c r="GL61" s="1001"/>
      <c r="GM61" s="1001"/>
      <c r="GN61" s="1001"/>
      <c r="GO61" s="1001"/>
      <c r="GP61" s="1001"/>
      <c r="GQ61" s="1001"/>
      <c r="GR61" s="1001"/>
      <c r="GS61" s="1001"/>
      <c r="GT61" s="1001"/>
      <c r="GU61" s="1001"/>
      <c r="GV61" s="1001"/>
      <c r="GW61" s="1001"/>
      <c r="GX61" s="1001"/>
      <c r="GY61" s="1001"/>
      <c r="GZ61" s="1001"/>
      <c r="HA61" s="1001"/>
      <c r="HB61" s="1001"/>
      <c r="HC61" s="1001"/>
      <c r="HD61" s="1001"/>
      <c r="HE61" s="1001"/>
      <c r="HF61" s="1001"/>
      <c r="HG61" s="1001"/>
      <c r="HH61" s="1001"/>
      <c r="HI61" s="1001"/>
      <c r="HJ61" s="1001"/>
      <c r="HK61" s="1001"/>
      <c r="HL61" s="1001"/>
      <c r="HM61" s="1001"/>
      <c r="HN61" s="1001"/>
      <c r="HO61" s="1001"/>
      <c r="HP61" s="1001"/>
      <c r="HQ61" s="1001"/>
      <c r="HR61" s="1001"/>
      <c r="HS61" s="1001"/>
      <c r="HT61" s="1001"/>
      <c r="HU61" s="1001"/>
      <c r="HV61" s="1001"/>
      <c r="HW61" s="1001"/>
      <c r="HX61" s="1001"/>
      <c r="HY61" s="1001"/>
      <c r="HZ61" s="1001"/>
      <c r="IA61" s="1001"/>
      <c r="IB61" s="1001"/>
      <c r="IC61" s="1001"/>
      <c r="ID61" s="1001"/>
      <c r="IE61" s="1001"/>
      <c r="IF61" s="1001"/>
      <c r="IG61" s="1001"/>
      <c r="IH61" s="1001"/>
      <c r="II61" s="1001"/>
      <c r="IJ61" s="1001"/>
      <c r="IK61" s="1001"/>
      <c r="IL61" s="1001"/>
      <c r="IM61" s="1001"/>
      <c r="IN61" s="1001"/>
      <c r="IO61" s="1001"/>
      <c r="IP61" s="1001"/>
      <c r="IQ61" s="1001"/>
    </row>
    <row r="62" spans="1:251" ht="21.75" customHeight="1">
      <c r="A62" s="959">
        <v>54</v>
      </c>
      <c r="B62" s="970"/>
      <c r="C62" s="559">
        <v>31</v>
      </c>
      <c r="D62" s="564" t="s">
        <v>798</v>
      </c>
      <c r="E62" s="971">
        <f>F62+G62+L64</f>
        <v>5000</v>
      </c>
      <c r="F62" s="972"/>
      <c r="G62" s="973">
        <v>3359</v>
      </c>
      <c r="H62" s="974" t="s">
        <v>231</v>
      </c>
      <c r="I62" s="1000"/>
      <c r="J62" s="971"/>
      <c r="K62" s="971"/>
      <c r="L62" s="976"/>
      <c r="M62" s="1002"/>
    </row>
    <row r="63" spans="1:251" ht="18" customHeight="1">
      <c r="A63" s="959">
        <v>55</v>
      </c>
      <c r="B63" s="970"/>
      <c r="C63" s="559"/>
      <c r="D63" s="978" t="s">
        <v>198</v>
      </c>
      <c r="E63" s="979"/>
      <c r="F63" s="980"/>
      <c r="G63" s="981"/>
      <c r="H63" s="982"/>
      <c r="I63" s="983"/>
      <c r="J63" s="984">
        <v>1641</v>
      </c>
      <c r="K63" s="984"/>
      <c r="L63" s="985">
        <f>SUM(I63:K63)</f>
        <v>1641</v>
      </c>
      <c r="M63" s="1002"/>
    </row>
    <row r="64" spans="1:251" ht="18" customHeight="1">
      <c r="A64" s="959">
        <v>56</v>
      </c>
      <c r="B64" s="970"/>
      <c r="C64" s="559"/>
      <c r="D64" s="986" t="s">
        <v>765</v>
      </c>
      <c r="E64" s="979"/>
      <c r="F64" s="980"/>
      <c r="G64" s="981"/>
      <c r="H64" s="982"/>
      <c r="I64" s="987"/>
      <c r="J64" s="988">
        <v>1641</v>
      </c>
      <c r="K64" s="988"/>
      <c r="L64" s="560">
        <f>SUM(I64:K64)</f>
        <v>1641</v>
      </c>
      <c r="M64" s="1002"/>
    </row>
    <row r="65" spans="1:13" ht="18" customHeight="1">
      <c r="A65" s="959">
        <v>57</v>
      </c>
      <c r="B65" s="970"/>
      <c r="C65" s="559"/>
      <c r="D65" s="989" t="s">
        <v>1022</v>
      </c>
      <c r="E65" s="990"/>
      <c r="F65" s="991"/>
      <c r="G65" s="992"/>
      <c r="H65" s="993"/>
      <c r="I65" s="994"/>
      <c r="J65" s="561"/>
      <c r="K65" s="561"/>
      <c r="L65" s="562">
        <f>SUM(F65:K65)</f>
        <v>0</v>
      </c>
      <c r="M65" s="1002"/>
    </row>
    <row r="66" spans="1:13" ht="21.75" customHeight="1">
      <c r="A66" s="959">
        <v>58</v>
      </c>
      <c r="B66" s="970"/>
      <c r="C66" s="559">
        <v>37</v>
      </c>
      <c r="D66" s="1003" t="s">
        <v>601</v>
      </c>
      <c r="E66" s="971">
        <f>F66+G66+L68</f>
        <v>10506</v>
      </c>
      <c r="F66" s="972"/>
      <c r="G66" s="973">
        <v>850</v>
      </c>
      <c r="H66" s="974" t="s">
        <v>231</v>
      </c>
      <c r="I66" s="971"/>
      <c r="J66" s="971"/>
      <c r="K66" s="971"/>
      <c r="L66" s="1004"/>
      <c r="M66" s="1002"/>
    </row>
    <row r="67" spans="1:13" ht="18" customHeight="1">
      <c r="A67" s="959">
        <v>59</v>
      </c>
      <c r="B67" s="970"/>
      <c r="C67" s="559"/>
      <c r="D67" s="1005" t="s">
        <v>198</v>
      </c>
      <c r="E67" s="971"/>
      <c r="F67" s="972"/>
      <c r="G67" s="973"/>
      <c r="H67" s="974"/>
      <c r="I67" s="971"/>
      <c r="J67" s="995">
        <f>J75+J79+J83+J87+J91+J95+J99+J103+J107+J71</f>
        <v>5188</v>
      </c>
      <c r="K67" s="995">
        <f>K75+K79+K83+K87+K91+K95+K99+K103+K107+K71</f>
        <v>150</v>
      </c>
      <c r="L67" s="565">
        <f>SUM(I67:K67)</f>
        <v>5338</v>
      </c>
      <c r="M67" s="1002"/>
    </row>
    <row r="68" spans="1:13" ht="18" customHeight="1">
      <c r="A68" s="959">
        <v>60</v>
      </c>
      <c r="B68" s="970"/>
      <c r="C68" s="559"/>
      <c r="D68" s="986" t="s">
        <v>765</v>
      </c>
      <c r="E68" s="971"/>
      <c r="F68" s="972"/>
      <c r="G68" s="973"/>
      <c r="H68" s="974"/>
      <c r="I68" s="971"/>
      <c r="J68" s="995">
        <f>J76+J80+J84+J88+J92+J96+J100+J104+J108+J72+J111+J114+J117+J120+J123+J126+J129+J132+J135+J138+J141+J144+J147+J150+J153+J156+J159+J162</f>
        <v>8856</v>
      </c>
      <c r="K68" s="995">
        <f>K76+K80+K84+K88+K92+K96+K100+K104+K108+K72+K111+K114+K117+K120+K123+K126+K129+K132+K135+K138+K141+K144+K147+K150+K153+K156+K159+K162</f>
        <v>800</v>
      </c>
      <c r="L68" s="565">
        <f>SUM(I68:K68)</f>
        <v>9656</v>
      </c>
      <c r="M68" s="1002"/>
    </row>
    <row r="69" spans="1:13" ht="18" customHeight="1">
      <c r="A69" s="959">
        <v>61</v>
      </c>
      <c r="B69" s="970"/>
      <c r="C69" s="559"/>
      <c r="D69" s="989" t="s">
        <v>1022</v>
      </c>
      <c r="E69" s="971"/>
      <c r="F69" s="972"/>
      <c r="G69" s="973"/>
      <c r="H69" s="974"/>
      <c r="I69" s="990"/>
      <c r="J69" s="990">
        <f>J73+J77+J81+J85+J89+J93+J97+J101+J105+J109+J121+J124+J127+J154+J157+J151+J130+J133+J136+J139+J142+J145+J148+J112+J115+J118+J160+J163</f>
        <v>4662</v>
      </c>
      <c r="K69" s="990">
        <f>K73+K77+K81+K85+K89+K93+K97+K101+K105+K109+K121+K124+K127+K154+K157+K151+K130+K133+K136+K139+K142+K145+K148+K112+K115+K118+K160+K163</f>
        <v>450</v>
      </c>
      <c r="L69" s="562">
        <f>SUM(F69:K69)</f>
        <v>5112</v>
      </c>
      <c r="M69" s="1002"/>
    </row>
    <row r="70" spans="1:13" ht="33.75" customHeight="1">
      <c r="A70" s="959">
        <v>62</v>
      </c>
      <c r="B70" s="970"/>
      <c r="C70" s="559"/>
      <c r="D70" s="374" t="s">
        <v>799</v>
      </c>
      <c r="E70" s="971">
        <f>F70+G70+L72</f>
        <v>150</v>
      </c>
      <c r="F70" s="1007"/>
      <c r="G70" s="1008"/>
      <c r="H70" s="1009"/>
      <c r="I70" s="1010"/>
      <c r="J70" s="1011"/>
      <c r="K70" s="1011"/>
      <c r="L70" s="1012"/>
      <c r="M70" s="1013"/>
    </row>
    <row r="71" spans="1:13" ht="18" customHeight="1">
      <c r="A71" s="959">
        <v>63</v>
      </c>
      <c r="B71" s="970"/>
      <c r="C71" s="559"/>
      <c r="D71" s="391" t="s">
        <v>198</v>
      </c>
      <c r="E71" s="1014"/>
      <c r="F71" s="1015"/>
      <c r="G71" s="1016"/>
      <c r="H71" s="1017"/>
      <c r="I71" s="1014"/>
      <c r="J71" s="1014"/>
      <c r="K71" s="1018">
        <v>150</v>
      </c>
      <c r="L71" s="1019">
        <f>SUM(I71:K71)</f>
        <v>150</v>
      </c>
      <c r="M71" s="1013"/>
    </row>
    <row r="72" spans="1:13" ht="18" customHeight="1">
      <c r="A72" s="959">
        <v>64</v>
      </c>
      <c r="B72" s="970"/>
      <c r="C72" s="559"/>
      <c r="D72" s="1020" t="s">
        <v>765</v>
      </c>
      <c r="E72" s="1014"/>
      <c r="F72" s="1015"/>
      <c r="G72" s="1016"/>
      <c r="H72" s="1017"/>
      <c r="I72" s="1014"/>
      <c r="J72" s="1014"/>
      <c r="K72" s="1021">
        <v>150</v>
      </c>
      <c r="L72" s="1019">
        <f>SUM(I72:K72)</f>
        <v>150</v>
      </c>
      <c r="M72" s="1013"/>
    </row>
    <row r="73" spans="1:13" ht="18" customHeight="1">
      <c r="A73" s="959">
        <v>65</v>
      </c>
      <c r="B73" s="970"/>
      <c r="C73" s="559"/>
      <c r="D73" s="379" t="s">
        <v>1022</v>
      </c>
      <c r="E73" s="1010"/>
      <c r="F73" s="1007"/>
      <c r="G73" s="1008"/>
      <c r="H73" s="1009"/>
      <c r="I73" s="1010"/>
      <c r="J73" s="1011"/>
      <c r="K73" s="1006"/>
      <c r="L73" s="1022">
        <f>SUM(F73:K73)</f>
        <v>0</v>
      </c>
      <c r="M73" s="1013"/>
    </row>
    <row r="74" spans="1:13" ht="21.75" customHeight="1">
      <c r="A74" s="959">
        <v>66</v>
      </c>
      <c r="B74" s="970"/>
      <c r="C74" s="559"/>
      <c r="D74" s="374" t="s">
        <v>800</v>
      </c>
      <c r="E74" s="971">
        <f>F74+G74+L76</f>
        <v>740</v>
      </c>
      <c r="F74" s="1007"/>
      <c r="G74" s="1008"/>
      <c r="H74" s="1009"/>
      <c r="I74" s="1010"/>
      <c r="J74" s="1010"/>
      <c r="K74" s="1010"/>
      <c r="L74" s="1028"/>
      <c r="M74" s="1013"/>
    </row>
    <row r="75" spans="1:13" ht="18" customHeight="1">
      <c r="A75" s="959">
        <v>67</v>
      </c>
      <c r="B75" s="970"/>
      <c r="C75" s="559"/>
      <c r="D75" s="391" t="s">
        <v>198</v>
      </c>
      <c r="E75" s="1014"/>
      <c r="F75" s="1015"/>
      <c r="G75" s="1016"/>
      <c r="H75" s="1017"/>
      <c r="I75" s="1014"/>
      <c r="J75" s="1014">
        <v>740</v>
      </c>
      <c r="K75" s="1018"/>
      <c r="L75" s="1019">
        <f>SUM(I75:K75)</f>
        <v>740</v>
      </c>
      <c r="M75" s="1013"/>
    </row>
    <row r="76" spans="1:13" ht="18" customHeight="1">
      <c r="A76" s="959">
        <v>68</v>
      </c>
      <c r="B76" s="970"/>
      <c r="C76" s="559"/>
      <c r="D76" s="1020" t="s">
        <v>765</v>
      </c>
      <c r="E76" s="1014"/>
      <c r="F76" s="1015"/>
      <c r="G76" s="1016"/>
      <c r="H76" s="1017"/>
      <c r="I76" s="1023"/>
      <c r="J76" s="1023">
        <v>740</v>
      </c>
      <c r="K76" s="1021"/>
      <c r="L76" s="1029">
        <f>SUM(I76:K76)</f>
        <v>740</v>
      </c>
      <c r="M76" s="1013"/>
    </row>
    <row r="77" spans="1:13" ht="18" customHeight="1">
      <c r="A77" s="959">
        <v>69</v>
      </c>
      <c r="B77" s="970"/>
      <c r="C77" s="559"/>
      <c r="D77" s="379" t="s">
        <v>1022</v>
      </c>
      <c r="E77" s="1010"/>
      <c r="F77" s="1007"/>
      <c r="G77" s="1008"/>
      <c r="H77" s="1009"/>
      <c r="I77" s="1010"/>
      <c r="J77" s="1006">
        <v>640</v>
      </c>
      <c r="K77" s="1006"/>
      <c r="L77" s="1022">
        <f>SUM(F77:K77)</f>
        <v>640</v>
      </c>
      <c r="M77" s="1013"/>
    </row>
    <row r="78" spans="1:13" ht="32.25" customHeight="1">
      <c r="A78" s="959">
        <v>70</v>
      </c>
      <c r="B78" s="970"/>
      <c r="C78" s="559"/>
      <c r="D78" s="374" t="s">
        <v>801</v>
      </c>
      <c r="E78" s="971">
        <f>F78+G78+L80</f>
        <v>272</v>
      </c>
      <c r="F78" s="1007"/>
      <c r="G78" s="1008"/>
      <c r="H78" s="1009"/>
      <c r="I78" s="1010"/>
      <c r="J78" s="1006"/>
      <c r="K78" s="1006"/>
      <c r="L78" s="1030"/>
      <c r="M78" s="1013"/>
    </row>
    <row r="79" spans="1:13" ht="18" customHeight="1">
      <c r="A79" s="959">
        <v>71</v>
      </c>
      <c r="B79" s="970"/>
      <c r="C79" s="559"/>
      <c r="D79" s="391" t="s">
        <v>198</v>
      </c>
      <c r="E79" s="1014"/>
      <c r="F79" s="1015"/>
      <c r="G79" s="1016"/>
      <c r="H79" s="1017"/>
      <c r="I79" s="1014"/>
      <c r="J79" s="1014">
        <v>272</v>
      </c>
      <c r="K79" s="1018"/>
      <c r="L79" s="1019">
        <f>SUM(I79:K79)</f>
        <v>272</v>
      </c>
      <c r="M79" s="1013"/>
    </row>
    <row r="80" spans="1:13" ht="18" customHeight="1">
      <c r="A80" s="959">
        <v>72</v>
      </c>
      <c r="B80" s="970"/>
      <c r="C80" s="559"/>
      <c r="D80" s="1020" t="s">
        <v>765</v>
      </c>
      <c r="E80" s="1014"/>
      <c r="F80" s="1015"/>
      <c r="G80" s="1016"/>
      <c r="H80" s="1017"/>
      <c r="I80" s="1023"/>
      <c r="J80" s="1023">
        <v>272</v>
      </c>
      <c r="K80" s="1021"/>
      <c r="L80" s="1029">
        <f>SUM(I80:K80)</f>
        <v>272</v>
      </c>
      <c r="M80" s="1013"/>
    </row>
    <row r="81" spans="1:13" ht="18" customHeight="1">
      <c r="A81" s="959">
        <v>73</v>
      </c>
      <c r="B81" s="970"/>
      <c r="C81" s="559"/>
      <c r="D81" s="379" t="s">
        <v>1022</v>
      </c>
      <c r="E81" s="1010"/>
      <c r="F81" s="1007"/>
      <c r="G81" s="1008"/>
      <c r="H81" s="1009"/>
      <c r="I81" s="1010"/>
      <c r="J81" s="1006">
        <v>200</v>
      </c>
      <c r="K81" s="1006"/>
      <c r="L81" s="1022">
        <f>SUM(F81:K81)</f>
        <v>200</v>
      </c>
      <c r="M81" s="1013"/>
    </row>
    <row r="82" spans="1:13" ht="19.5" customHeight="1">
      <c r="A82" s="959">
        <v>74</v>
      </c>
      <c r="B82" s="970"/>
      <c r="C82" s="559"/>
      <c r="D82" s="374" t="s">
        <v>802</v>
      </c>
      <c r="E82" s="971">
        <f>F82+G82+L84</f>
        <v>660</v>
      </c>
      <c r="F82" s="1007"/>
      <c r="G82" s="1008"/>
      <c r="H82" s="1009"/>
      <c r="I82" s="1010"/>
      <c r="J82" s="1006"/>
      <c r="K82" s="1006"/>
      <c r="L82" s="1030"/>
      <c r="M82" s="1013"/>
    </row>
    <row r="83" spans="1:13" ht="18" customHeight="1">
      <c r="A83" s="959">
        <v>75</v>
      </c>
      <c r="B83" s="970"/>
      <c r="C83" s="559"/>
      <c r="D83" s="391" t="s">
        <v>198</v>
      </c>
      <c r="E83" s="1014"/>
      <c r="F83" s="1015"/>
      <c r="G83" s="1016"/>
      <c r="H83" s="1017"/>
      <c r="I83" s="1014"/>
      <c r="J83" s="1014">
        <v>550</v>
      </c>
      <c r="K83" s="1018"/>
      <c r="L83" s="1019">
        <f>SUM(I83:K83)</f>
        <v>550</v>
      </c>
      <c r="M83" s="1013"/>
    </row>
    <row r="84" spans="1:13" ht="18" customHeight="1">
      <c r="A84" s="959">
        <v>76</v>
      </c>
      <c r="B84" s="970"/>
      <c r="C84" s="559"/>
      <c r="D84" s="1020" t="s">
        <v>765</v>
      </c>
      <c r="E84" s="1014"/>
      <c r="F84" s="1015"/>
      <c r="G84" s="1016"/>
      <c r="H84" s="1017"/>
      <c r="I84" s="1014"/>
      <c r="J84" s="1021">
        <v>660</v>
      </c>
      <c r="K84" s="1018"/>
      <c r="L84" s="1019">
        <f>SUM(I84:K84)</f>
        <v>660</v>
      </c>
      <c r="M84" s="1013"/>
    </row>
    <row r="85" spans="1:13" ht="18" customHeight="1">
      <c r="A85" s="959">
        <v>77</v>
      </c>
      <c r="B85" s="970"/>
      <c r="C85" s="559"/>
      <c r="D85" s="379" t="s">
        <v>1022</v>
      </c>
      <c r="E85" s="1010"/>
      <c r="F85" s="1007"/>
      <c r="G85" s="1008"/>
      <c r="H85" s="1009"/>
      <c r="I85" s="1010"/>
      <c r="J85" s="1006">
        <v>660</v>
      </c>
      <c r="K85" s="1006"/>
      <c r="L85" s="1022">
        <f>SUM(F85:K85)</f>
        <v>660</v>
      </c>
      <c r="M85" s="1013"/>
    </row>
    <row r="86" spans="1:13" ht="19.5" customHeight="1">
      <c r="A86" s="959">
        <v>78</v>
      </c>
      <c r="B86" s="970"/>
      <c r="C86" s="559"/>
      <c r="D86" s="374" t="s">
        <v>803</v>
      </c>
      <c r="E86" s="971">
        <f>F86+G86+L88</f>
        <v>0</v>
      </c>
      <c r="F86" s="1007"/>
      <c r="G86" s="1008"/>
      <c r="H86" s="1009"/>
      <c r="I86" s="1010"/>
      <c r="J86" s="1006"/>
      <c r="K86" s="1006"/>
      <c r="L86" s="1030"/>
      <c r="M86" s="1013"/>
    </row>
    <row r="87" spans="1:13" ht="18" customHeight="1">
      <c r="A87" s="959">
        <v>79</v>
      </c>
      <c r="B87" s="970"/>
      <c r="C87" s="559"/>
      <c r="D87" s="391" t="s">
        <v>198</v>
      </c>
      <c r="E87" s="1014"/>
      <c r="F87" s="1015"/>
      <c r="G87" s="1016"/>
      <c r="H87" s="1017"/>
      <c r="I87" s="1014"/>
      <c r="J87" s="1018">
        <v>600</v>
      </c>
      <c r="K87" s="1018"/>
      <c r="L87" s="1019">
        <f>SUM(I87:K87)</f>
        <v>600</v>
      </c>
      <c r="M87" s="1013"/>
    </row>
    <row r="88" spans="1:13" ht="18" customHeight="1">
      <c r="A88" s="959">
        <v>80</v>
      </c>
      <c r="B88" s="970"/>
      <c r="C88" s="559"/>
      <c r="D88" s="1020" t="s">
        <v>765</v>
      </c>
      <c r="E88" s="1014"/>
      <c r="F88" s="1015"/>
      <c r="G88" s="1016"/>
      <c r="H88" s="1017"/>
      <c r="I88" s="1023"/>
      <c r="J88" s="1021">
        <v>0</v>
      </c>
      <c r="K88" s="1021"/>
      <c r="L88" s="1029">
        <f>SUM(I88:K88)</f>
        <v>0</v>
      </c>
      <c r="M88" s="1013"/>
    </row>
    <row r="89" spans="1:13" ht="18" customHeight="1">
      <c r="A89" s="959">
        <v>81</v>
      </c>
      <c r="B89" s="970"/>
      <c r="C89" s="559"/>
      <c r="D89" s="379" t="s">
        <v>1022</v>
      </c>
      <c r="E89" s="1010"/>
      <c r="F89" s="1007"/>
      <c r="G89" s="1008"/>
      <c r="H89" s="1009"/>
      <c r="I89" s="1010"/>
      <c r="J89" s="1006"/>
      <c r="K89" s="1006"/>
      <c r="L89" s="1022">
        <f>SUM(F89:K89)</f>
        <v>0</v>
      </c>
      <c r="M89" s="1013"/>
    </row>
    <row r="90" spans="1:13" ht="18" customHeight="1">
      <c r="A90" s="959">
        <v>82</v>
      </c>
      <c r="B90" s="970"/>
      <c r="C90" s="559"/>
      <c r="D90" s="374" t="s">
        <v>804</v>
      </c>
      <c r="E90" s="971">
        <f>F90+G90+L92</f>
        <v>180</v>
      </c>
      <c r="F90" s="1007"/>
      <c r="G90" s="1008"/>
      <c r="H90" s="1009"/>
      <c r="I90" s="1010"/>
      <c r="J90" s="1006"/>
      <c r="K90" s="1006"/>
      <c r="L90" s="1030"/>
      <c r="M90" s="1013"/>
    </row>
    <row r="91" spans="1:13" ht="18" customHeight="1">
      <c r="A91" s="959">
        <v>83</v>
      </c>
      <c r="B91" s="970"/>
      <c r="C91" s="559"/>
      <c r="D91" s="391" t="s">
        <v>198</v>
      </c>
      <c r="E91" s="1014"/>
      <c r="F91" s="1015"/>
      <c r="G91" s="1016"/>
      <c r="H91" s="1017"/>
      <c r="I91" s="1014"/>
      <c r="J91" s="1014">
        <v>180</v>
      </c>
      <c r="K91" s="1018"/>
      <c r="L91" s="1019">
        <f>SUM(I91:K91)</f>
        <v>180</v>
      </c>
      <c r="M91" s="1013"/>
    </row>
    <row r="92" spans="1:13" ht="18" customHeight="1">
      <c r="A92" s="959">
        <v>84</v>
      </c>
      <c r="B92" s="970"/>
      <c r="C92" s="559"/>
      <c r="D92" s="1020" t="s">
        <v>765</v>
      </c>
      <c r="E92" s="1014"/>
      <c r="F92" s="1015"/>
      <c r="G92" s="1016"/>
      <c r="H92" s="1017"/>
      <c r="I92" s="1023"/>
      <c r="J92" s="1023">
        <v>180</v>
      </c>
      <c r="K92" s="1021"/>
      <c r="L92" s="1029">
        <f>SUM(I92:K92)</f>
        <v>180</v>
      </c>
      <c r="M92" s="1013"/>
    </row>
    <row r="93" spans="1:13" ht="18" customHeight="1">
      <c r="A93" s="959">
        <v>85</v>
      </c>
      <c r="B93" s="970"/>
      <c r="C93" s="559"/>
      <c r="D93" s="379" t="s">
        <v>1022</v>
      </c>
      <c r="E93" s="1010"/>
      <c r="F93" s="1007"/>
      <c r="G93" s="1008"/>
      <c r="H93" s="1009"/>
      <c r="I93" s="1010"/>
      <c r="J93" s="1006">
        <v>180</v>
      </c>
      <c r="K93" s="1006"/>
      <c r="L93" s="1022">
        <f>SUM(F93:K93)</f>
        <v>180</v>
      </c>
      <c r="M93" s="1013"/>
    </row>
    <row r="94" spans="1:13" ht="18" customHeight="1">
      <c r="A94" s="959">
        <v>86</v>
      </c>
      <c r="B94" s="970"/>
      <c r="C94" s="559"/>
      <c r="D94" s="374" t="s">
        <v>805</v>
      </c>
      <c r="E94" s="971">
        <f>F94+G94+L96</f>
        <v>0</v>
      </c>
      <c r="F94" s="1007"/>
      <c r="G94" s="1008"/>
      <c r="H94" s="1009"/>
      <c r="I94" s="1010"/>
      <c r="J94" s="1006"/>
      <c r="K94" s="1006"/>
      <c r="L94" s="1030"/>
      <c r="M94" s="1013"/>
    </row>
    <row r="95" spans="1:13" ht="18" customHeight="1">
      <c r="A95" s="959">
        <v>87</v>
      </c>
      <c r="B95" s="970"/>
      <c r="C95" s="559"/>
      <c r="D95" s="391" t="s">
        <v>198</v>
      </c>
      <c r="E95" s="1014"/>
      <c r="F95" s="1015"/>
      <c r="G95" s="1016"/>
      <c r="H95" s="1017"/>
      <c r="I95" s="1014"/>
      <c r="J95" s="1014">
        <v>320</v>
      </c>
      <c r="K95" s="1018"/>
      <c r="L95" s="1019">
        <f>SUM(I95:K95)</f>
        <v>320</v>
      </c>
      <c r="M95" s="1013"/>
    </row>
    <row r="96" spans="1:13" ht="18" customHeight="1">
      <c r="A96" s="959">
        <v>88</v>
      </c>
      <c r="B96" s="970"/>
      <c r="C96" s="559"/>
      <c r="D96" s="1020" t="s">
        <v>765</v>
      </c>
      <c r="E96" s="1014"/>
      <c r="F96" s="1015"/>
      <c r="G96" s="1016"/>
      <c r="H96" s="1017"/>
      <c r="I96" s="1021"/>
      <c r="J96" s="1021">
        <v>0</v>
      </c>
      <c r="K96" s="1021"/>
      <c r="L96" s="1029">
        <f>SUM(I96:K96)</f>
        <v>0</v>
      </c>
      <c r="M96" s="1013"/>
    </row>
    <row r="97" spans="1:13" ht="18" customHeight="1">
      <c r="A97" s="959">
        <v>89</v>
      </c>
      <c r="B97" s="970"/>
      <c r="C97" s="559"/>
      <c r="D97" s="379" t="s">
        <v>1022</v>
      </c>
      <c r="E97" s="1010"/>
      <c r="F97" s="1007"/>
      <c r="G97" s="1008"/>
      <c r="H97" s="1009"/>
      <c r="I97" s="1021"/>
      <c r="J97" s="1021"/>
      <c r="K97" s="1021"/>
      <c r="L97" s="1022">
        <f>SUM(F97:K97)</f>
        <v>0</v>
      </c>
      <c r="M97" s="1013"/>
    </row>
    <row r="98" spans="1:13" ht="28.5" customHeight="1">
      <c r="A98" s="959">
        <v>90</v>
      </c>
      <c r="B98" s="970"/>
      <c r="C98" s="559"/>
      <c r="D98" s="374" t="s">
        <v>806</v>
      </c>
      <c r="E98" s="971">
        <f>F98+G98+L100</f>
        <v>0</v>
      </c>
      <c r="F98" s="1007"/>
      <c r="G98" s="1008"/>
      <c r="H98" s="1009"/>
      <c r="I98" s="1010"/>
      <c r="J98" s="1006"/>
      <c r="K98" s="1006"/>
      <c r="L98" s="1030"/>
      <c r="M98" s="1013"/>
    </row>
    <row r="99" spans="1:13" ht="18" customHeight="1">
      <c r="A99" s="959">
        <v>91</v>
      </c>
      <c r="B99" s="970"/>
      <c r="C99" s="559"/>
      <c r="D99" s="391" t="s">
        <v>198</v>
      </c>
      <c r="E99" s="1014"/>
      <c r="F99" s="1015"/>
      <c r="G99" s="1016"/>
      <c r="H99" s="1017"/>
      <c r="I99" s="1014"/>
      <c r="J99" s="1014">
        <v>1345</v>
      </c>
      <c r="K99" s="1018"/>
      <c r="L99" s="1019">
        <f>SUM(I99:K99)</f>
        <v>1345</v>
      </c>
      <c r="M99" s="1013"/>
    </row>
    <row r="100" spans="1:13" ht="18" customHeight="1">
      <c r="A100" s="959">
        <v>92</v>
      </c>
      <c r="B100" s="970"/>
      <c r="C100" s="559"/>
      <c r="D100" s="1020" t="s">
        <v>765</v>
      </c>
      <c r="E100" s="1014"/>
      <c r="F100" s="1015"/>
      <c r="G100" s="1016"/>
      <c r="H100" s="1017"/>
      <c r="I100" s="1014"/>
      <c r="J100" s="1014">
        <v>0</v>
      </c>
      <c r="K100" s="1018"/>
      <c r="L100" s="1019">
        <f>SUM(I100:K100)</f>
        <v>0</v>
      </c>
      <c r="M100" s="1013"/>
    </row>
    <row r="101" spans="1:13" ht="18" customHeight="1">
      <c r="A101" s="959">
        <v>93</v>
      </c>
      <c r="B101" s="970"/>
      <c r="C101" s="559"/>
      <c r="D101" s="379" t="s">
        <v>1022</v>
      </c>
      <c r="E101" s="1010"/>
      <c r="F101" s="1007"/>
      <c r="G101" s="1008"/>
      <c r="H101" s="1009"/>
      <c r="I101" s="1010"/>
      <c r="J101" s="1011"/>
      <c r="K101" s="1006"/>
      <c r="L101" s="1022">
        <f>SUM(F101:K101)</f>
        <v>0</v>
      </c>
      <c r="M101" s="1013"/>
    </row>
    <row r="102" spans="1:13" ht="31.5" customHeight="1">
      <c r="A102" s="959">
        <v>94</v>
      </c>
      <c r="B102" s="970"/>
      <c r="C102" s="559"/>
      <c r="D102" s="374" t="s">
        <v>1239</v>
      </c>
      <c r="E102" s="971">
        <f>F102+G102+L104</f>
        <v>0</v>
      </c>
      <c r="F102" s="1007"/>
      <c r="G102" s="1008"/>
      <c r="H102" s="1009"/>
      <c r="I102" s="1010"/>
      <c r="J102" s="1006"/>
      <c r="K102" s="1006"/>
      <c r="L102" s="1030"/>
      <c r="M102" s="1013"/>
    </row>
    <row r="103" spans="1:13" ht="18" customHeight="1">
      <c r="A103" s="959">
        <v>95</v>
      </c>
      <c r="B103" s="970"/>
      <c r="C103" s="559"/>
      <c r="D103" s="391" t="s">
        <v>198</v>
      </c>
      <c r="E103" s="1014"/>
      <c r="F103" s="1015"/>
      <c r="G103" s="1016"/>
      <c r="H103" s="1017"/>
      <c r="I103" s="1014"/>
      <c r="J103" s="1014">
        <v>300</v>
      </c>
      <c r="K103" s="1018"/>
      <c r="L103" s="1019">
        <f>SUM(I103:K103)</f>
        <v>300</v>
      </c>
      <c r="M103" s="1013"/>
    </row>
    <row r="104" spans="1:13" ht="18" customHeight="1">
      <c r="A104" s="959">
        <v>96</v>
      </c>
      <c r="B104" s="970"/>
      <c r="C104" s="559"/>
      <c r="D104" s="1020" t="s">
        <v>765</v>
      </c>
      <c r="E104" s="1014"/>
      <c r="F104" s="1015"/>
      <c r="G104" s="1016"/>
      <c r="H104" s="1017"/>
      <c r="I104" s="1023"/>
      <c r="J104" s="1023">
        <v>0</v>
      </c>
      <c r="K104" s="1021"/>
      <c r="L104" s="1029">
        <f>SUM(I104:K104)</f>
        <v>0</v>
      </c>
      <c r="M104" s="1013"/>
    </row>
    <row r="105" spans="1:13" ht="18" customHeight="1">
      <c r="A105" s="959">
        <v>97</v>
      </c>
      <c r="B105" s="970"/>
      <c r="C105" s="559"/>
      <c r="D105" s="379" t="s">
        <v>1021</v>
      </c>
      <c r="E105" s="1010"/>
      <c r="F105" s="1007"/>
      <c r="G105" s="1008"/>
      <c r="H105" s="1009"/>
      <c r="I105" s="1010"/>
      <c r="J105" s="1006"/>
      <c r="K105" s="1006"/>
      <c r="L105" s="1022">
        <f>SUM(F105:K105)</f>
        <v>0</v>
      </c>
      <c r="M105" s="1013"/>
    </row>
    <row r="106" spans="1:13" ht="30.75" customHeight="1">
      <c r="A106" s="959">
        <v>98</v>
      </c>
      <c r="B106" s="970"/>
      <c r="C106" s="559"/>
      <c r="D106" s="374" t="s">
        <v>1240</v>
      </c>
      <c r="E106" s="971">
        <f>F106+G106+L108</f>
        <v>881</v>
      </c>
      <c r="F106" s="1007"/>
      <c r="G106" s="1008"/>
      <c r="H106" s="1009"/>
      <c r="I106" s="1010"/>
      <c r="J106" s="1006"/>
      <c r="K106" s="1006"/>
      <c r="L106" s="1030"/>
      <c r="M106" s="1013"/>
    </row>
    <row r="107" spans="1:13" ht="18" customHeight="1">
      <c r="A107" s="959">
        <v>99</v>
      </c>
      <c r="B107" s="970"/>
      <c r="C107" s="559"/>
      <c r="D107" s="391" t="s">
        <v>198</v>
      </c>
      <c r="E107" s="1014"/>
      <c r="F107" s="1015"/>
      <c r="G107" s="1016"/>
      <c r="H107" s="1017"/>
      <c r="I107" s="1014"/>
      <c r="J107" s="1014">
        <v>881</v>
      </c>
      <c r="K107" s="1018"/>
      <c r="L107" s="1019">
        <f>SUM(I107:K107)</f>
        <v>881</v>
      </c>
      <c r="M107" s="1013"/>
    </row>
    <row r="108" spans="1:13" ht="18" customHeight="1">
      <c r="A108" s="959">
        <v>100</v>
      </c>
      <c r="B108" s="970"/>
      <c r="C108" s="559"/>
      <c r="D108" s="1020" t="s">
        <v>765</v>
      </c>
      <c r="E108" s="1014"/>
      <c r="F108" s="1015"/>
      <c r="G108" s="1016"/>
      <c r="H108" s="1017"/>
      <c r="I108" s="1023"/>
      <c r="J108" s="1023">
        <v>881</v>
      </c>
      <c r="K108" s="1021"/>
      <c r="L108" s="1029">
        <f>SUM(I108:K108)</f>
        <v>881</v>
      </c>
      <c r="M108" s="1013"/>
    </row>
    <row r="109" spans="1:13" ht="18" customHeight="1">
      <c r="A109" s="959">
        <v>101</v>
      </c>
      <c r="B109" s="970"/>
      <c r="C109" s="559"/>
      <c r="D109" s="379" t="s">
        <v>1022</v>
      </c>
      <c r="E109" s="1010"/>
      <c r="F109" s="1007"/>
      <c r="G109" s="1008"/>
      <c r="H109" s="1009"/>
      <c r="I109" s="1010"/>
      <c r="J109" s="1006">
        <v>660</v>
      </c>
      <c r="K109" s="1006"/>
      <c r="L109" s="1022">
        <f>SUM(F109:K109)</f>
        <v>660</v>
      </c>
      <c r="M109" s="1013"/>
    </row>
    <row r="110" spans="1:13" ht="18" customHeight="1">
      <c r="A110" s="959">
        <v>102</v>
      </c>
      <c r="B110" s="970"/>
      <c r="C110" s="559"/>
      <c r="D110" s="374" t="s">
        <v>1241</v>
      </c>
      <c r="E110" s="971">
        <f>F110+G110+L112</f>
        <v>0</v>
      </c>
      <c r="F110" s="1007"/>
      <c r="G110" s="1008"/>
      <c r="H110" s="1009"/>
      <c r="I110" s="1010"/>
      <c r="J110" s="1006"/>
      <c r="K110" s="1006"/>
      <c r="L110" s="1032"/>
      <c r="M110" s="1013"/>
    </row>
    <row r="111" spans="1:13" ht="18" customHeight="1">
      <c r="A111" s="959">
        <v>103</v>
      </c>
      <c r="B111" s="970"/>
      <c r="C111" s="559"/>
      <c r="D111" s="1020" t="s">
        <v>765</v>
      </c>
      <c r="E111" s="1006"/>
      <c r="F111" s="1007"/>
      <c r="G111" s="1008"/>
      <c r="H111" s="1009"/>
      <c r="I111" s="1010"/>
      <c r="J111" s="1033">
        <v>0</v>
      </c>
      <c r="K111" s="1033"/>
      <c r="L111" s="1031">
        <f>SUM(F111:K111)</f>
        <v>0</v>
      </c>
      <c r="M111" s="1013"/>
    </row>
    <row r="112" spans="1:13" ht="18" customHeight="1">
      <c r="A112" s="959">
        <v>104</v>
      </c>
      <c r="B112" s="970"/>
      <c r="C112" s="559"/>
      <c r="D112" s="379" t="s">
        <v>1021</v>
      </c>
      <c r="E112" s="1010"/>
      <c r="F112" s="1007"/>
      <c r="G112" s="1008"/>
      <c r="H112" s="1009"/>
      <c r="I112" s="1010"/>
      <c r="J112" s="1006"/>
      <c r="K112" s="1006"/>
      <c r="L112" s="1022">
        <f>SUM(F112:K112)</f>
        <v>0</v>
      </c>
      <c r="M112" s="1013"/>
    </row>
    <row r="113" spans="1:13" ht="18" customHeight="1">
      <c r="A113" s="959">
        <v>105</v>
      </c>
      <c r="B113" s="970"/>
      <c r="C113" s="559"/>
      <c r="D113" s="374" t="s">
        <v>1242</v>
      </c>
      <c r="E113" s="971">
        <f>F113+G113+L115</f>
        <v>0</v>
      </c>
      <c r="F113" s="1007"/>
      <c r="G113" s="1008"/>
      <c r="H113" s="1009"/>
      <c r="I113" s="1010"/>
      <c r="J113" s="1006"/>
      <c r="K113" s="1006"/>
      <c r="L113" s="1032"/>
      <c r="M113" s="1013"/>
    </row>
    <row r="114" spans="1:13" ht="18" customHeight="1">
      <c r="A114" s="959">
        <v>106</v>
      </c>
      <c r="B114" s="970"/>
      <c r="C114" s="559"/>
      <c r="D114" s="1020" t="s">
        <v>765</v>
      </c>
      <c r="E114" s="1006"/>
      <c r="F114" s="1007"/>
      <c r="G114" s="1008"/>
      <c r="H114" s="1009"/>
      <c r="I114" s="1010"/>
      <c r="J114" s="1033">
        <v>300</v>
      </c>
      <c r="K114" s="1033"/>
      <c r="L114" s="1031">
        <f>SUM(F114:K114)</f>
        <v>300</v>
      </c>
      <c r="M114" s="1013"/>
    </row>
    <row r="115" spans="1:13" ht="18" customHeight="1">
      <c r="A115" s="959">
        <v>107</v>
      </c>
      <c r="B115" s="970"/>
      <c r="C115" s="559"/>
      <c r="D115" s="379" t="s">
        <v>1022</v>
      </c>
      <c r="E115" s="1010"/>
      <c r="F115" s="1007"/>
      <c r="G115" s="1008"/>
      <c r="H115" s="1009"/>
      <c r="I115" s="1010"/>
      <c r="J115" s="1006"/>
      <c r="K115" s="1006"/>
      <c r="L115" s="1022">
        <f>SUM(F115:K115)</f>
        <v>0</v>
      </c>
      <c r="M115" s="1013"/>
    </row>
    <row r="116" spans="1:13" ht="18" customHeight="1">
      <c r="A116" s="959">
        <v>108</v>
      </c>
      <c r="B116" s="970"/>
      <c r="C116" s="559"/>
      <c r="D116" s="374" t="s">
        <v>1243</v>
      </c>
      <c r="E116" s="971">
        <f>F116+G116+L118</f>
        <v>0</v>
      </c>
      <c r="F116" s="1007"/>
      <c r="G116" s="1008"/>
      <c r="H116" s="1009"/>
      <c r="I116" s="1010"/>
      <c r="J116" s="1006"/>
      <c r="K116" s="1006"/>
      <c r="L116" s="1032"/>
      <c r="M116" s="1013"/>
    </row>
    <row r="117" spans="1:13" ht="18" customHeight="1">
      <c r="A117" s="959">
        <v>109</v>
      </c>
      <c r="B117" s="970"/>
      <c r="C117" s="559"/>
      <c r="D117" s="1020" t="s">
        <v>765</v>
      </c>
      <c r="E117" s="1006"/>
      <c r="F117" s="1007"/>
      <c r="G117" s="1008"/>
      <c r="H117" s="1009"/>
      <c r="I117" s="1010"/>
      <c r="J117" s="1021">
        <v>1200</v>
      </c>
      <c r="K117" s="1006"/>
      <c r="L117" s="1031">
        <f>SUM(F117:K117)</f>
        <v>1200</v>
      </c>
      <c r="M117" s="1013"/>
    </row>
    <row r="118" spans="1:13" ht="18" customHeight="1">
      <c r="A118" s="959">
        <v>110</v>
      </c>
      <c r="B118" s="970"/>
      <c r="C118" s="559"/>
      <c r="D118" s="379" t="s">
        <v>1022</v>
      </c>
      <c r="E118" s="1010"/>
      <c r="F118" s="1007"/>
      <c r="G118" s="1008"/>
      <c r="H118" s="1009"/>
      <c r="I118" s="1010"/>
      <c r="J118" s="1006"/>
      <c r="K118" s="1006"/>
      <c r="L118" s="1022">
        <f>SUM(F118:K118)</f>
        <v>0</v>
      </c>
      <c r="M118" s="1013"/>
    </row>
    <row r="119" spans="1:13" ht="18" customHeight="1">
      <c r="A119" s="959">
        <v>111</v>
      </c>
      <c r="B119" s="970"/>
      <c r="C119" s="559"/>
      <c r="D119" s="374" t="s">
        <v>1244</v>
      </c>
      <c r="E119" s="971">
        <f>F119+G119+L121</f>
        <v>0</v>
      </c>
      <c r="F119" s="1007"/>
      <c r="G119" s="1008"/>
      <c r="H119" s="1009"/>
      <c r="I119" s="1010"/>
      <c r="J119" s="1006"/>
      <c r="K119" s="1006"/>
      <c r="L119" s="1032"/>
      <c r="M119" s="1013"/>
    </row>
    <row r="120" spans="1:13" ht="18" customHeight="1">
      <c r="A120" s="959">
        <v>112</v>
      </c>
      <c r="B120" s="970"/>
      <c r="C120" s="559"/>
      <c r="D120" s="1020" t="s">
        <v>765</v>
      </c>
      <c r="E120" s="1010"/>
      <c r="F120" s="1007"/>
      <c r="G120" s="1008"/>
      <c r="H120" s="1009"/>
      <c r="I120" s="1010"/>
      <c r="J120" s="1021">
        <v>801</v>
      </c>
      <c r="K120" s="1006"/>
      <c r="L120" s="1031">
        <f>SUM(F120:K120)</f>
        <v>801</v>
      </c>
      <c r="M120" s="1013"/>
    </row>
    <row r="121" spans="1:13" ht="18" customHeight="1">
      <c r="A121" s="959">
        <v>113</v>
      </c>
      <c r="B121" s="970"/>
      <c r="C121" s="559"/>
      <c r="D121" s="379" t="s">
        <v>1021</v>
      </c>
      <c r="E121" s="1010"/>
      <c r="F121" s="1007"/>
      <c r="G121" s="1008"/>
      <c r="H121" s="1009"/>
      <c r="I121" s="1010"/>
      <c r="J121" s="1006"/>
      <c r="K121" s="1006"/>
      <c r="L121" s="1022">
        <f>SUM(F121:K121)</f>
        <v>0</v>
      </c>
      <c r="M121" s="1013"/>
    </row>
    <row r="122" spans="1:13" ht="48" customHeight="1">
      <c r="A122" s="959">
        <v>114</v>
      </c>
      <c r="B122" s="970"/>
      <c r="C122" s="559"/>
      <c r="D122" s="374" t="s">
        <v>1245</v>
      </c>
      <c r="E122" s="971">
        <f>F122+G122+L124</f>
        <v>450</v>
      </c>
      <c r="F122" s="1007"/>
      <c r="G122" s="1008"/>
      <c r="H122" s="1009"/>
      <c r="I122" s="1010"/>
      <c r="J122" s="1006"/>
      <c r="K122" s="1006"/>
      <c r="L122" s="1032"/>
      <c r="M122" s="1013"/>
    </row>
    <row r="123" spans="1:13" ht="18" customHeight="1">
      <c r="A123" s="959">
        <v>115</v>
      </c>
      <c r="B123" s="970"/>
      <c r="C123" s="559"/>
      <c r="D123" s="1020" t="s">
        <v>765</v>
      </c>
      <c r="E123" s="1010"/>
      <c r="F123" s="1007"/>
      <c r="G123" s="1008"/>
      <c r="H123" s="1009"/>
      <c r="I123" s="1010"/>
      <c r="J123" s="1006"/>
      <c r="K123" s="1021">
        <v>450</v>
      </c>
      <c r="L123" s="1034">
        <f>SUM(F123:K123)</f>
        <v>450</v>
      </c>
      <c r="M123" s="1013"/>
    </row>
    <row r="124" spans="1:13" ht="18" customHeight="1">
      <c r="A124" s="959">
        <v>116</v>
      </c>
      <c r="B124" s="970"/>
      <c r="C124" s="559"/>
      <c r="D124" s="379" t="s">
        <v>1022</v>
      </c>
      <c r="E124" s="1010"/>
      <c r="F124" s="1007"/>
      <c r="G124" s="1008"/>
      <c r="H124" s="1009"/>
      <c r="I124" s="1010"/>
      <c r="J124" s="1006"/>
      <c r="K124" s="1006">
        <v>450</v>
      </c>
      <c r="L124" s="1022">
        <f>SUM(F124:K124)</f>
        <v>450</v>
      </c>
      <c r="M124" s="1013"/>
    </row>
    <row r="125" spans="1:13" ht="30.75" customHeight="1">
      <c r="A125" s="959">
        <v>117</v>
      </c>
      <c r="B125" s="970"/>
      <c r="C125" s="559"/>
      <c r="D125" s="374" t="s">
        <v>1246</v>
      </c>
      <c r="E125" s="971">
        <f>F125+G125+L127</f>
        <v>0</v>
      </c>
      <c r="F125" s="1007"/>
      <c r="G125" s="1008"/>
      <c r="H125" s="1009"/>
      <c r="I125" s="1010"/>
      <c r="J125" s="1006"/>
      <c r="K125" s="1006"/>
      <c r="L125" s="1032"/>
      <c r="M125" s="1013"/>
    </row>
    <row r="126" spans="1:13" ht="18" customHeight="1">
      <c r="A126" s="959">
        <v>118</v>
      </c>
      <c r="B126" s="970"/>
      <c r="C126" s="559"/>
      <c r="D126" s="1020" t="s">
        <v>765</v>
      </c>
      <c r="E126" s="1010"/>
      <c r="F126" s="1007"/>
      <c r="G126" s="1008"/>
      <c r="H126" s="1009"/>
      <c r="I126" s="1010"/>
      <c r="J126" s="1006"/>
      <c r="K126" s="1021">
        <v>200</v>
      </c>
      <c r="L126" s="1034">
        <f>SUM(F126:K126)</f>
        <v>200</v>
      </c>
      <c r="M126" s="1013"/>
    </row>
    <row r="127" spans="1:13" ht="18" customHeight="1">
      <c r="A127" s="959">
        <v>119</v>
      </c>
      <c r="B127" s="970"/>
      <c r="C127" s="559"/>
      <c r="D127" s="379" t="s">
        <v>1022</v>
      </c>
      <c r="E127" s="1010"/>
      <c r="F127" s="1007"/>
      <c r="G127" s="1008"/>
      <c r="H127" s="1009"/>
      <c r="I127" s="1010"/>
      <c r="J127" s="1006"/>
      <c r="K127" s="1006"/>
      <c r="L127" s="1022">
        <f>SUM(F127:K127)</f>
        <v>0</v>
      </c>
      <c r="M127" s="1013"/>
    </row>
    <row r="128" spans="1:13" ht="18" customHeight="1">
      <c r="A128" s="959">
        <v>120</v>
      </c>
      <c r="B128" s="970"/>
      <c r="C128" s="559"/>
      <c r="D128" s="374" t="s">
        <v>1247</v>
      </c>
      <c r="E128" s="971">
        <f>F128+G128+L130</f>
        <v>0</v>
      </c>
      <c r="F128" s="1007"/>
      <c r="G128" s="1008"/>
      <c r="H128" s="1009"/>
      <c r="I128" s="1010"/>
      <c r="J128" s="1006"/>
      <c r="K128" s="1006"/>
      <c r="L128" s="1032"/>
      <c r="M128" s="1013"/>
    </row>
    <row r="129" spans="1:13" ht="18" customHeight="1">
      <c r="A129" s="959">
        <v>121</v>
      </c>
      <c r="B129" s="970"/>
      <c r="C129" s="559"/>
      <c r="D129" s="1020" t="s">
        <v>765</v>
      </c>
      <c r="E129" s="1010"/>
      <c r="F129" s="1007"/>
      <c r="G129" s="1008"/>
      <c r="H129" s="1009"/>
      <c r="I129" s="1010"/>
      <c r="J129" s="1033">
        <v>0</v>
      </c>
      <c r="K129" s="1033"/>
      <c r="L129" s="1031">
        <f>SUM(F129:K129)</f>
        <v>0</v>
      </c>
      <c r="M129" s="1013"/>
    </row>
    <row r="130" spans="1:13" ht="18" customHeight="1">
      <c r="A130" s="959">
        <v>122</v>
      </c>
      <c r="B130" s="970"/>
      <c r="C130" s="559"/>
      <c r="D130" s="379" t="s">
        <v>1021</v>
      </c>
      <c r="E130" s="1010"/>
      <c r="F130" s="1007"/>
      <c r="G130" s="1008"/>
      <c r="H130" s="1009"/>
      <c r="I130" s="1010"/>
      <c r="J130" s="1006"/>
      <c r="K130" s="1006"/>
      <c r="L130" s="1022">
        <f>SUM(F130:K130)</f>
        <v>0</v>
      </c>
      <c r="M130" s="1013"/>
    </row>
    <row r="131" spans="1:13" ht="31.5" customHeight="1">
      <c r="A131" s="959">
        <v>123</v>
      </c>
      <c r="B131" s="970"/>
      <c r="C131" s="559"/>
      <c r="D131" s="374" t="s">
        <v>1248</v>
      </c>
      <c r="E131" s="971">
        <f>F131+G131+L133</f>
        <v>0</v>
      </c>
      <c r="F131" s="1007"/>
      <c r="G131" s="1008"/>
      <c r="H131" s="1009"/>
      <c r="I131" s="1010"/>
      <c r="J131" s="1006"/>
      <c r="K131" s="1006"/>
      <c r="L131" s="1032"/>
      <c r="M131" s="1013"/>
    </row>
    <row r="132" spans="1:13" ht="18" customHeight="1">
      <c r="A132" s="959">
        <v>124</v>
      </c>
      <c r="B132" s="970"/>
      <c r="C132" s="559"/>
      <c r="D132" s="1020" t="s">
        <v>765</v>
      </c>
      <c r="E132" s="1010"/>
      <c r="F132" s="1007"/>
      <c r="G132" s="1008"/>
      <c r="H132" s="1009"/>
      <c r="I132" s="1010"/>
      <c r="J132" s="1021">
        <v>0</v>
      </c>
      <c r="K132" s="1006"/>
      <c r="L132" s="1034">
        <f>SUM(F132:K132)</f>
        <v>0</v>
      </c>
      <c r="M132" s="1013"/>
    </row>
    <row r="133" spans="1:13" ht="18" customHeight="1">
      <c r="A133" s="959">
        <v>125</v>
      </c>
      <c r="B133" s="970"/>
      <c r="C133" s="559"/>
      <c r="D133" s="379" t="s">
        <v>1021</v>
      </c>
      <c r="E133" s="1010"/>
      <c r="F133" s="1007"/>
      <c r="G133" s="1008"/>
      <c r="H133" s="1009"/>
      <c r="I133" s="1010"/>
      <c r="J133" s="1006"/>
      <c r="K133" s="1006"/>
      <c r="L133" s="1022">
        <f>SUM(F133:K133)</f>
        <v>0</v>
      </c>
      <c r="M133" s="1013"/>
    </row>
    <row r="134" spans="1:13" ht="18" customHeight="1">
      <c r="A134" s="959">
        <v>126</v>
      </c>
      <c r="B134" s="970"/>
      <c r="C134" s="559"/>
      <c r="D134" s="374" t="s">
        <v>1249</v>
      </c>
      <c r="E134" s="971">
        <f>F134+G134+L136</f>
        <v>0</v>
      </c>
      <c r="F134" s="1007"/>
      <c r="G134" s="1008"/>
      <c r="H134" s="1009"/>
      <c r="I134" s="1010"/>
      <c r="J134" s="1006"/>
      <c r="K134" s="1006"/>
      <c r="L134" s="1032"/>
      <c r="M134" s="1013"/>
    </row>
    <row r="135" spans="1:13" ht="18" customHeight="1">
      <c r="A135" s="959">
        <v>127</v>
      </c>
      <c r="B135" s="970"/>
      <c r="C135" s="559"/>
      <c r="D135" s="1020" t="s">
        <v>765</v>
      </c>
      <c r="E135" s="1010"/>
      <c r="F135" s="1007"/>
      <c r="G135" s="1008"/>
      <c r="H135" s="1009"/>
      <c r="I135" s="1010"/>
      <c r="J135" s="1021">
        <v>0</v>
      </c>
      <c r="K135" s="1006"/>
      <c r="L135" s="1035">
        <f>SUM(F135:K135)</f>
        <v>0</v>
      </c>
      <c r="M135" s="1013"/>
    </row>
    <row r="136" spans="1:13" ht="18" customHeight="1">
      <c r="A136" s="959">
        <v>128</v>
      </c>
      <c r="B136" s="970"/>
      <c r="C136" s="559"/>
      <c r="D136" s="379" t="s">
        <v>1021</v>
      </c>
      <c r="E136" s="1010"/>
      <c r="F136" s="1007"/>
      <c r="G136" s="1008"/>
      <c r="H136" s="1009"/>
      <c r="I136" s="1010"/>
      <c r="J136" s="1006"/>
      <c r="K136" s="1006"/>
      <c r="L136" s="1022">
        <f>SUM(F136:K136)</f>
        <v>0</v>
      </c>
      <c r="M136" s="1013"/>
    </row>
    <row r="137" spans="1:13" ht="18" customHeight="1">
      <c r="A137" s="959">
        <v>129</v>
      </c>
      <c r="B137" s="970"/>
      <c r="C137" s="559"/>
      <c r="D137" s="374" t="s">
        <v>1250</v>
      </c>
      <c r="E137" s="971">
        <f>F137+G137+L139</f>
        <v>0</v>
      </c>
      <c r="F137" s="1007"/>
      <c r="G137" s="1008"/>
      <c r="H137" s="1009"/>
      <c r="I137" s="1010"/>
      <c r="J137" s="1006"/>
      <c r="K137" s="1006"/>
      <c r="L137" s="1032"/>
      <c r="M137" s="1013"/>
    </row>
    <row r="138" spans="1:13" ht="18" customHeight="1">
      <c r="A138" s="959">
        <v>130</v>
      </c>
      <c r="B138" s="970"/>
      <c r="C138" s="559"/>
      <c r="D138" s="1020" t="s">
        <v>765</v>
      </c>
      <c r="E138" s="1010"/>
      <c r="F138" s="1007"/>
      <c r="G138" s="1008"/>
      <c r="H138" s="1009"/>
      <c r="I138" s="1010"/>
      <c r="J138" s="1021">
        <v>0</v>
      </c>
      <c r="K138" s="1021"/>
      <c r="L138" s="1035">
        <f>SUM(F138:K138)</f>
        <v>0</v>
      </c>
      <c r="M138" s="1013"/>
    </row>
    <row r="139" spans="1:13" ht="18" customHeight="1">
      <c r="A139" s="959">
        <v>131</v>
      </c>
      <c r="B139" s="970"/>
      <c r="C139" s="559"/>
      <c r="D139" s="379" t="s">
        <v>1021</v>
      </c>
      <c r="E139" s="1010"/>
      <c r="F139" s="1007"/>
      <c r="G139" s="1008"/>
      <c r="H139" s="1009"/>
      <c r="I139" s="1010"/>
      <c r="J139" s="1006"/>
      <c r="K139" s="1006"/>
      <c r="L139" s="1022">
        <f>SUM(F139:K139)</f>
        <v>0</v>
      </c>
      <c r="M139" s="1013"/>
    </row>
    <row r="140" spans="1:13" ht="18" customHeight="1">
      <c r="A140" s="959">
        <v>132</v>
      </c>
      <c r="B140" s="970"/>
      <c r="C140" s="559"/>
      <c r="D140" s="374" t="s">
        <v>1251</v>
      </c>
      <c r="E140" s="971">
        <f>F140+G140+L142</f>
        <v>0</v>
      </c>
      <c r="F140" s="1007"/>
      <c r="G140" s="1008"/>
      <c r="H140" s="1009"/>
      <c r="I140" s="1010"/>
      <c r="J140" s="1006"/>
      <c r="K140" s="1006"/>
      <c r="L140" s="1032"/>
      <c r="M140" s="1013"/>
    </row>
    <row r="141" spans="1:13" ht="18" customHeight="1">
      <c r="A141" s="959">
        <v>133</v>
      </c>
      <c r="B141" s="970"/>
      <c r="C141" s="559"/>
      <c r="D141" s="1020" t="s">
        <v>765</v>
      </c>
      <c r="E141" s="1010"/>
      <c r="F141" s="1007"/>
      <c r="G141" s="1008"/>
      <c r="H141" s="1009"/>
      <c r="I141" s="1010"/>
      <c r="J141" s="1021">
        <v>0</v>
      </c>
      <c r="K141" s="1006"/>
      <c r="L141" s="1035">
        <f>SUM(F141:K141)</f>
        <v>0</v>
      </c>
      <c r="M141" s="1013"/>
    </row>
    <row r="142" spans="1:13" ht="18" customHeight="1">
      <c r="A142" s="959">
        <v>134</v>
      </c>
      <c r="B142" s="970"/>
      <c r="C142" s="559"/>
      <c r="D142" s="379" t="s">
        <v>1021</v>
      </c>
      <c r="E142" s="1010"/>
      <c r="F142" s="1007"/>
      <c r="G142" s="1008"/>
      <c r="H142" s="1009"/>
      <c r="I142" s="1010"/>
      <c r="J142" s="1006"/>
      <c r="K142" s="1006"/>
      <c r="L142" s="1022">
        <f>SUM(F142:K142)</f>
        <v>0</v>
      </c>
      <c r="M142" s="1013"/>
    </row>
    <row r="143" spans="1:13" ht="18" customHeight="1">
      <c r="A143" s="959">
        <v>135</v>
      </c>
      <c r="B143" s="970"/>
      <c r="C143" s="559"/>
      <c r="D143" s="374" t="s">
        <v>1252</v>
      </c>
      <c r="E143" s="971">
        <f>F143+G143+L145</f>
        <v>0</v>
      </c>
      <c r="F143" s="1007"/>
      <c r="G143" s="1008"/>
      <c r="H143" s="1009"/>
      <c r="I143" s="1010"/>
      <c r="J143" s="1006"/>
      <c r="K143" s="1006"/>
      <c r="L143" s="1032"/>
      <c r="M143" s="1013"/>
    </row>
    <row r="144" spans="1:13" ht="18" customHeight="1">
      <c r="A144" s="959">
        <v>136</v>
      </c>
      <c r="B144" s="970"/>
      <c r="C144" s="559"/>
      <c r="D144" s="1020" t="s">
        <v>765</v>
      </c>
      <c r="E144" s="1010"/>
      <c r="F144" s="1007"/>
      <c r="G144" s="1008"/>
      <c r="H144" s="1009"/>
      <c r="I144" s="1010"/>
      <c r="J144" s="1021">
        <v>0</v>
      </c>
      <c r="K144" s="1006"/>
      <c r="L144" s="1035">
        <f>SUM(F144:K144)</f>
        <v>0</v>
      </c>
      <c r="M144" s="1013"/>
    </row>
    <row r="145" spans="1:13" ht="18" customHeight="1">
      <c r="A145" s="959">
        <v>137</v>
      </c>
      <c r="B145" s="970"/>
      <c r="C145" s="559"/>
      <c r="D145" s="379" t="s">
        <v>1021</v>
      </c>
      <c r="E145" s="1010"/>
      <c r="F145" s="1007"/>
      <c r="G145" s="1008"/>
      <c r="H145" s="1009"/>
      <c r="I145" s="1010"/>
      <c r="J145" s="1006"/>
      <c r="K145" s="1006"/>
      <c r="L145" s="1022">
        <f>SUM(F145:K145)</f>
        <v>0</v>
      </c>
      <c r="M145" s="1013"/>
    </row>
    <row r="146" spans="1:13" ht="18" customHeight="1">
      <c r="A146" s="959">
        <v>138</v>
      </c>
      <c r="B146" s="970"/>
      <c r="C146" s="559"/>
      <c r="D146" s="374" t="s">
        <v>1253</v>
      </c>
      <c r="E146" s="971">
        <f>F146+G146+L148</f>
        <v>0</v>
      </c>
      <c r="F146" s="1007"/>
      <c r="G146" s="1008"/>
      <c r="H146" s="1009"/>
      <c r="I146" s="1010"/>
      <c r="J146" s="1006"/>
      <c r="K146" s="1006"/>
      <c r="L146" s="1032"/>
      <c r="M146" s="1013"/>
    </row>
    <row r="147" spans="1:13" ht="18" customHeight="1">
      <c r="A147" s="959">
        <v>139</v>
      </c>
      <c r="B147" s="970"/>
      <c r="C147" s="559"/>
      <c r="D147" s="1020" t="s">
        <v>765</v>
      </c>
      <c r="E147" s="1010"/>
      <c r="F147" s="1007"/>
      <c r="G147" s="1008"/>
      <c r="H147" s="1009"/>
      <c r="I147" s="1010"/>
      <c r="J147" s="1021">
        <v>0</v>
      </c>
      <c r="K147" s="1006"/>
      <c r="L147" s="1035">
        <f>SUM(F147:K147)</f>
        <v>0</v>
      </c>
      <c r="M147" s="1013"/>
    </row>
    <row r="148" spans="1:13" ht="18" customHeight="1">
      <c r="A148" s="959">
        <v>140</v>
      </c>
      <c r="B148" s="970"/>
      <c r="C148" s="559"/>
      <c r="D148" s="379" t="s">
        <v>1021</v>
      </c>
      <c r="E148" s="1010"/>
      <c r="F148" s="1007"/>
      <c r="G148" s="1008"/>
      <c r="H148" s="1009"/>
      <c r="I148" s="1010"/>
      <c r="J148" s="1006"/>
      <c r="K148" s="1006"/>
      <c r="L148" s="1022">
        <f>SUM(F148:K148)</f>
        <v>0</v>
      </c>
      <c r="M148" s="1013"/>
    </row>
    <row r="149" spans="1:13" ht="18" customHeight="1">
      <c r="A149" s="959">
        <v>141</v>
      </c>
      <c r="B149" s="970"/>
      <c r="C149" s="559"/>
      <c r="D149" s="374" t="s">
        <v>1254</v>
      </c>
      <c r="E149" s="971">
        <f>F149+G149+L151</f>
        <v>1500</v>
      </c>
      <c r="F149" s="1007"/>
      <c r="G149" s="1008"/>
      <c r="H149" s="1009"/>
      <c r="I149" s="1010"/>
      <c r="J149" s="1006"/>
      <c r="K149" s="1006"/>
      <c r="L149" s="1032"/>
      <c r="M149" s="1013"/>
    </row>
    <row r="150" spans="1:13" ht="18" customHeight="1">
      <c r="A150" s="959">
        <v>142</v>
      </c>
      <c r="B150" s="970"/>
      <c r="C150" s="559"/>
      <c r="D150" s="1020" t="s">
        <v>765</v>
      </c>
      <c r="E150" s="1010"/>
      <c r="F150" s="1007"/>
      <c r="G150" s="1008"/>
      <c r="H150" s="1009"/>
      <c r="I150" s="1010"/>
      <c r="J150" s="1021">
        <v>1500</v>
      </c>
      <c r="K150" s="1006"/>
      <c r="L150" s="1035">
        <f>SUM(F150:K150)</f>
        <v>1500</v>
      </c>
      <c r="M150" s="1013"/>
    </row>
    <row r="151" spans="1:13" ht="18" customHeight="1">
      <c r="A151" s="959">
        <v>143</v>
      </c>
      <c r="B151" s="970"/>
      <c r="C151" s="559"/>
      <c r="D151" s="379" t="s">
        <v>1022</v>
      </c>
      <c r="E151" s="1010"/>
      <c r="F151" s="1007"/>
      <c r="G151" s="1008"/>
      <c r="H151" s="1009"/>
      <c r="I151" s="1010"/>
      <c r="J151" s="1006">
        <v>1500</v>
      </c>
      <c r="K151" s="1006"/>
      <c r="L151" s="1022">
        <f>SUM(F151:K151)</f>
        <v>1500</v>
      </c>
      <c r="M151" s="1013"/>
    </row>
    <row r="152" spans="1:13" ht="18" customHeight="1">
      <c r="A152" s="959">
        <v>144</v>
      </c>
      <c r="B152" s="970"/>
      <c r="C152" s="559"/>
      <c r="D152" s="374" t="s">
        <v>1255</v>
      </c>
      <c r="E152" s="971">
        <f>F152+G152+L154</f>
        <v>0</v>
      </c>
      <c r="F152" s="1007"/>
      <c r="G152" s="1008"/>
      <c r="H152" s="1009"/>
      <c r="I152" s="1010"/>
      <c r="J152" s="1006"/>
      <c r="K152" s="1006"/>
      <c r="L152" s="1032"/>
      <c r="M152" s="1013"/>
    </row>
    <row r="153" spans="1:13" ht="18" customHeight="1">
      <c r="A153" s="959">
        <v>145</v>
      </c>
      <c r="B153" s="970"/>
      <c r="C153" s="559"/>
      <c r="D153" s="1020" t="s">
        <v>765</v>
      </c>
      <c r="E153" s="1010"/>
      <c r="F153" s="1007"/>
      <c r="G153" s="1008"/>
      <c r="H153" s="1009"/>
      <c r="I153" s="1010"/>
      <c r="J153" s="1021">
        <v>1500</v>
      </c>
      <c r="K153" s="1006"/>
      <c r="L153" s="1035">
        <f>SUM(F153:K153)</f>
        <v>1500</v>
      </c>
      <c r="M153" s="1013"/>
    </row>
    <row r="154" spans="1:13" ht="18" customHeight="1">
      <c r="A154" s="959">
        <v>146</v>
      </c>
      <c r="B154" s="970"/>
      <c r="C154" s="559"/>
      <c r="D154" s="379" t="s">
        <v>1022</v>
      </c>
      <c r="E154" s="1010"/>
      <c r="F154" s="1007"/>
      <c r="G154" s="1008"/>
      <c r="H154" s="1009"/>
      <c r="I154" s="1010"/>
      <c r="J154" s="1006"/>
      <c r="K154" s="1006"/>
      <c r="L154" s="1022">
        <f>SUM(F154:K154)</f>
        <v>0</v>
      </c>
      <c r="M154" s="1013"/>
    </row>
    <row r="155" spans="1:13" ht="18" customHeight="1">
      <c r="A155" s="959">
        <v>147</v>
      </c>
      <c r="B155" s="970"/>
      <c r="C155" s="559"/>
      <c r="D155" s="374" t="s">
        <v>1256</v>
      </c>
      <c r="E155" s="971">
        <f>F155+G155+L157</f>
        <v>160</v>
      </c>
      <c r="F155" s="1007"/>
      <c r="G155" s="1008"/>
      <c r="H155" s="1009"/>
      <c r="I155" s="1010"/>
      <c r="J155" s="1006"/>
      <c r="K155" s="1006"/>
      <c r="L155" s="1032"/>
      <c r="M155" s="1013"/>
    </row>
    <row r="156" spans="1:13" ht="18" customHeight="1">
      <c r="A156" s="959">
        <v>148</v>
      </c>
      <c r="B156" s="970"/>
      <c r="C156" s="559"/>
      <c r="D156" s="1020" t="s">
        <v>765</v>
      </c>
      <c r="E156" s="1010"/>
      <c r="F156" s="1007"/>
      <c r="G156" s="1008"/>
      <c r="H156" s="1009"/>
      <c r="I156" s="1010"/>
      <c r="J156" s="1021">
        <v>160</v>
      </c>
      <c r="K156" s="1006"/>
      <c r="L156" s="1035">
        <f>SUM(F156:K156)</f>
        <v>160</v>
      </c>
      <c r="M156" s="1013"/>
    </row>
    <row r="157" spans="1:13" ht="18" customHeight="1">
      <c r="A157" s="959">
        <v>149</v>
      </c>
      <c r="B157" s="970"/>
      <c r="C157" s="559"/>
      <c r="D157" s="379" t="s">
        <v>1022</v>
      </c>
      <c r="E157" s="1010"/>
      <c r="F157" s="1007"/>
      <c r="G157" s="1008"/>
      <c r="H157" s="1009"/>
      <c r="I157" s="1010"/>
      <c r="J157" s="1006">
        <v>160</v>
      </c>
      <c r="K157" s="1006"/>
      <c r="L157" s="1022">
        <f>SUM(F157:K157)</f>
        <v>160</v>
      </c>
      <c r="M157" s="1013"/>
    </row>
    <row r="158" spans="1:13" ht="30.75" customHeight="1">
      <c r="A158" s="959">
        <v>150</v>
      </c>
      <c r="B158" s="970"/>
      <c r="C158" s="559"/>
      <c r="D158" s="374" t="s">
        <v>1257</v>
      </c>
      <c r="E158" s="971">
        <f>F158+G158+L160</f>
        <v>187</v>
      </c>
      <c r="F158" s="1024"/>
      <c r="G158" s="1025"/>
      <c r="H158" s="1026"/>
      <c r="I158" s="1023"/>
      <c r="J158" s="1021"/>
      <c r="K158" s="1021"/>
      <c r="L158" s="1032"/>
      <c r="M158" s="1013"/>
    </row>
    <row r="159" spans="1:13" ht="18" customHeight="1">
      <c r="A159" s="959">
        <v>151</v>
      </c>
      <c r="B159" s="970"/>
      <c r="C159" s="559"/>
      <c r="D159" s="1020" t="s">
        <v>765</v>
      </c>
      <c r="E159" s="1010"/>
      <c r="F159" s="1024"/>
      <c r="G159" s="1025"/>
      <c r="H159" s="1026"/>
      <c r="I159" s="1023"/>
      <c r="J159" s="1021">
        <v>187</v>
      </c>
      <c r="K159" s="1021"/>
      <c r="L159" s="1027">
        <f>SUM(F159:K159)</f>
        <v>187</v>
      </c>
      <c r="M159" s="1013"/>
    </row>
    <row r="160" spans="1:13" ht="18" customHeight="1">
      <c r="A160" s="959">
        <v>152</v>
      </c>
      <c r="B160" s="970"/>
      <c r="C160" s="559"/>
      <c r="D160" s="379" t="s">
        <v>1021</v>
      </c>
      <c r="E160" s="1023"/>
      <c r="F160" s="1024"/>
      <c r="G160" s="1025"/>
      <c r="H160" s="1026"/>
      <c r="I160" s="1023"/>
      <c r="J160" s="1006">
        <v>187</v>
      </c>
      <c r="K160" s="1021"/>
      <c r="L160" s="1022">
        <f>SUM(F160:K160)</f>
        <v>187</v>
      </c>
      <c r="M160" s="1013"/>
    </row>
    <row r="161" spans="1:13" ht="29.25" customHeight="1">
      <c r="A161" s="959">
        <v>153</v>
      </c>
      <c r="B161" s="970"/>
      <c r="C161" s="559"/>
      <c r="D161" s="374" t="s">
        <v>1258</v>
      </c>
      <c r="E161" s="971">
        <f>F161+G161+L163</f>
        <v>475</v>
      </c>
      <c r="F161" s="1024"/>
      <c r="G161" s="1025"/>
      <c r="H161" s="1026"/>
      <c r="I161" s="1023"/>
      <c r="J161" s="1021"/>
      <c r="K161" s="1021"/>
      <c r="L161" s="1032"/>
      <c r="M161" s="1013"/>
    </row>
    <row r="162" spans="1:13" ht="18" customHeight="1">
      <c r="A162" s="959">
        <v>154</v>
      </c>
      <c r="B162" s="970"/>
      <c r="C162" s="559"/>
      <c r="D162" s="1020" t="s">
        <v>765</v>
      </c>
      <c r="E162" s="1023"/>
      <c r="F162" s="1024"/>
      <c r="G162" s="1025"/>
      <c r="H162" s="1026"/>
      <c r="I162" s="1023"/>
      <c r="J162" s="1021">
        <v>475</v>
      </c>
      <c r="K162" s="1021"/>
      <c r="L162" s="1027">
        <f>SUM(F162:K162)</f>
        <v>475</v>
      </c>
      <c r="M162" s="1013"/>
    </row>
    <row r="163" spans="1:13" ht="18" customHeight="1">
      <c r="A163" s="959">
        <v>155</v>
      </c>
      <c r="B163" s="970"/>
      <c r="C163" s="559"/>
      <c r="D163" s="379" t="s">
        <v>1021</v>
      </c>
      <c r="E163" s="1023"/>
      <c r="F163" s="1024"/>
      <c r="G163" s="1025"/>
      <c r="H163" s="1026"/>
      <c r="I163" s="1023"/>
      <c r="J163" s="1006">
        <v>475</v>
      </c>
      <c r="K163" s="1021"/>
      <c r="L163" s="1022">
        <f>SUM(F163:K163)</f>
        <v>475</v>
      </c>
      <c r="M163" s="1013"/>
    </row>
    <row r="164" spans="1:13" ht="21.75" customHeight="1">
      <c r="A164" s="959">
        <v>156</v>
      </c>
      <c r="B164" s="970"/>
      <c r="C164" s="559">
        <v>41</v>
      </c>
      <c r="D164" s="557" t="s">
        <v>807</v>
      </c>
      <c r="E164" s="971">
        <f>F164+G164+L166</f>
        <v>46390</v>
      </c>
      <c r="F164" s="972"/>
      <c r="G164" s="973">
        <v>459</v>
      </c>
      <c r="H164" s="974" t="s">
        <v>231</v>
      </c>
      <c r="I164" s="971"/>
      <c r="J164" s="971"/>
      <c r="K164" s="971"/>
      <c r="L164" s="1004"/>
      <c r="M164" s="1002"/>
    </row>
    <row r="165" spans="1:13" ht="18" customHeight="1">
      <c r="A165" s="959">
        <v>157</v>
      </c>
      <c r="B165" s="970"/>
      <c r="C165" s="559"/>
      <c r="D165" s="978" t="s">
        <v>198</v>
      </c>
      <c r="E165" s="979"/>
      <c r="F165" s="980"/>
      <c r="G165" s="981"/>
      <c r="H165" s="982"/>
      <c r="I165" s="983">
        <v>641</v>
      </c>
      <c r="J165" s="984">
        <v>22290</v>
      </c>
      <c r="K165" s="984"/>
      <c r="L165" s="985">
        <f>SUM(I165:K165)</f>
        <v>22931</v>
      </c>
      <c r="M165" s="1002"/>
    </row>
    <row r="166" spans="1:13" ht="18" customHeight="1">
      <c r="A166" s="959">
        <v>158</v>
      </c>
      <c r="B166" s="970"/>
      <c r="C166" s="559"/>
      <c r="D166" s="986" t="s">
        <v>765</v>
      </c>
      <c r="E166" s="979"/>
      <c r="F166" s="980"/>
      <c r="G166" s="981"/>
      <c r="H166" s="982"/>
      <c r="I166" s="987">
        <v>2641</v>
      </c>
      <c r="J166" s="988">
        <v>43290</v>
      </c>
      <c r="K166" s="988"/>
      <c r="L166" s="560">
        <f>SUM(I166:K166)</f>
        <v>45931</v>
      </c>
      <c r="M166" s="1002"/>
    </row>
    <row r="167" spans="1:13" ht="18" customHeight="1">
      <c r="A167" s="959">
        <v>159</v>
      </c>
      <c r="B167" s="970"/>
      <c r="C167" s="559"/>
      <c r="D167" s="989" t="s">
        <v>1021</v>
      </c>
      <c r="E167" s="990"/>
      <c r="F167" s="991"/>
      <c r="G167" s="992"/>
      <c r="H167" s="993"/>
      <c r="I167" s="994">
        <v>53</v>
      </c>
      <c r="J167" s="561">
        <v>43161</v>
      </c>
      <c r="K167" s="561"/>
      <c r="L167" s="562">
        <f>SUM(F167:K167)</f>
        <v>43214</v>
      </c>
      <c r="M167" s="1002"/>
    </row>
    <row r="168" spans="1:13" ht="21.75" customHeight="1">
      <c r="A168" s="959">
        <v>160</v>
      </c>
      <c r="B168" s="970"/>
      <c r="C168" s="559">
        <v>42</v>
      </c>
      <c r="D168" s="557" t="s">
        <v>808</v>
      </c>
      <c r="E168" s="971">
        <f>F168+G168+L170</f>
        <v>10540</v>
      </c>
      <c r="F168" s="972"/>
      <c r="G168" s="973"/>
      <c r="H168" s="974" t="s">
        <v>80</v>
      </c>
      <c r="I168" s="971"/>
      <c r="J168" s="971"/>
      <c r="K168" s="971"/>
      <c r="L168" s="1004"/>
      <c r="M168" s="1002"/>
    </row>
    <row r="169" spans="1:13" ht="18" customHeight="1">
      <c r="A169" s="959">
        <v>161</v>
      </c>
      <c r="B169" s="970"/>
      <c r="C169" s="559"/>
      <c r="D169" s="978" t="s">
        <v>198</v>
      </c>
      <c r="E169" s="979"/>
      <c r="F169" s="980"/>
      <c r="G169" s="981"/>
      <c r="H169" s="982"/>
      <c r="I169" s="983"/>
      <c r="J169" s="984">
        <v>10540</v>
      </c>
      <c r="K169" s="984"/>
      <c r="L169" s="985">
        <f>SUM(I169:K169)</f>
        <v>10540</v>
      </c>
      <c r="M169" s="1002"/>
    </row>
    <row r="170" spans="1:13" ht="18" customHeight="1">
      <c r="A170" s="959">
        <v>162</v>
      </c>
      <c r="B170" s="970"/>
      <c r="C170" s="559"/>
      <c r="D170" s="986" t="s">
        <v>765</v>
      </c>
      <c r="E170" s="979"/>
      <c r="F170" s="980"/>
      <c r="G170" s="981"/>
      <c r="H170" s="982"/>
      <c r="I170" s="987"/>
      <c r="J170" s="988">
        <v>10540</v>
      </c>
      <c r="K170" s="988"/>
      <c r="L170" s="560">
        <f>SUM(I170:K170)</f>
        <v>10540</v>
      </c>
      <c r="M170" s="1002"/>
    </row>
    <row r="171" spans="1:13" ht="18" customHeight="1">
      <c r="A171" s="959">
        <v>163</v>
      </c>
      <c r="B171" s="970"/>
      <c r="C171" s="559"/>
      <c r="D171" s="989" t="s">
        <v>1022</v>
      </c>
      <c r="E171" s="990"/>
      <c r="F171" s="991"/>
      <c r="G171" s="992"/>
      <c r="H171" s="993"/>
      <c r="I171" s="994"/>
      <c r="J171" s="561">
        <v>10540</v>
      </c>
      <c r="K171" s="561"/>
      <c r="L171" s="562">
        <f>SUM(F171:K171)</f>
        <v>10540</v>
      </c>
      <c r="M171" s="1002"/>
    </row>
    <row r="172" spans="1:13" ht="21.75" customHeight="1">
      <c r="A172" s="959">
        <v>164</v>
      </c>
      <c r="B172" s="970"/>
      <c r="C172" s="559">
        <v>43</v>
      </c>
      <c r="D172" s="564" t="s">
        <v>809</v>
      </c>
      <c r="E172" s="971">
        <f>F172+G172+L174+M173</f>
        <v>3840000</v>
      </c>
      <c r="F172" s="972"/>
      <c r="G172" s="973">
        <v>354544</v>
      </c>
      <c r="H172" s="974" t="s">
        <v>80</v>
      </c>
      <c r="I172" s="971"/>
      <c r="J172" s="971"/>
      <c r="K172" s="971"/>
      <c r="L172" s="1004"/>
      <c r="M172" s="1002"/>
    </row>
    <row r="173" spans="1:13" ht="18" customHeight="1">
      <c r="A173" s="959">
        <v>165</v>
      </c>
      <c r="B173" s="970"/>
      <c r="C173" s="559"/>
      <c r="D173" s="978" t="s">
        <v>198</v>
      </c>
      <c r="E173" s="979"/>
      <c r="F173" s="980"/>
      <c r="G173" s="981"/>
      <c r="H173" s="982"/>
      <c r="I173" s="983"/>
      <c r="J173" s="984"/>
      <c r="K173" s="984">
        <v>354544</v>
      </c>
      <c r="L173" s="985">
        <f>SUM(I173:K173)</f>
        <v>354544</v>
      </c>
      <c r="M173" s="1002">
        <v>3130912</v>
      </c>
    </row>
    <row r="174" spans="1:13" ht="18" customHeight="1">
      <c r="A174" s="959">
        <v>166</v>
      </c>
      <c r="B174" s="970"/>
      <c r="C174" s="559"/>
      <c r="D174" s="986" t="s">
        <v>765</v>
      </c>
      <c r="E174" s="979"/>
      <c r="F174" s="980"/>
      <c r="G174" s="981"/>
      <c r="H174" s="982"/>
      <c r="I174" s="983"/>
      <c r="J174" s="984"/>
      <c r="K174" s="988">
        <v>354544</v>
      </c>
      <c r="L174" s="560">
        <f>SUM(I174:K174)</f>
        <v>354544</v>
      </c>
      <c r="M174" s="1002"/>
    </row>
    <row r="175" spans="1:13" ht="18" customHeight="1">
      <c r="A175" s="959">
        <v>167</v>
      </c>
      <c r="B175" s="970"/>
      <c r="C175" s="559"/>
      <c r="D175" s="989" t="s">
        <v>1022</v>
      </c>
      <c r="E175" s="990"/>
      <c r="F175" s="991"/>
      <c r="G175" s="992"/>
      <c r="H175" s="993"/>
      <c r="I175" s="994"/>
      <c r="J175" s="561"/>
      <c r="K175" s="561">
        <v>354544</v>
      </c>
      <c r="L175" s="562">
        <f>SUM(F175:K175)</f>
        <v>354544</v>
      </c>
      <c r="M175" s="1002"/>
    </row>
    <row r="176" spans="1:13" ht="21.75" customHeight="1">
      <c r="A176" s="959">
        <v>168</v>
      </c>
      <c r="B176" s="970"/>
      <c r="C176" s="559">
        <v>44</v>
      </c>
      <c r="D176" s="564" t="s">
        <v>810</v>
      </c>
      <c r="E176" s="971">
        <f>F176+G176</f>
        <v>1507</v>
      </c>
      <c r="F176" s="972">
        <f>899+383</f>
        <v>1282</v>
      </c>
      <c r="G176" s="973">
        <v>225</v>
      </c>
      <c r="H176" s="974" t="s">
        <v>80</v>
      </c>
      <c r="I176" s="971"/>
      <c r="J176" s="971"/>
      <c r="K176" s="971"/>
      <c r="L176" s="1004"/>
      <c r="M176" s="1002"/>
    </row>
    <row r="177" spans="1:13" ht="21.75" customHeight="1">
      <c r="A177" s="959">
        <v>169</v>
      </c>
      <c r="B177" s="970"/>
      <c r="C177" s="559">
        <v>45</v>
      </c>
      <c r="D177" s="564" t="s">
        <v>811</v>
      </c>
      <c r="E177" s="971">
        <f>F177+G177+L179</f>
        <v>0</v>
      </c>
      <c r="F177" s="972"/>
      <c r="G177" s="973"/>
      <c r="H177" s="974" t="s">
        <v>231</v>
      </c>
      <c r="I177" s="971"/>
      <c r="J177" s="971"/>
      <c r="K177" s="971"/>
      <c r="L177" s="976"/>
      <c r="M177" s="1002"/>
    </row>
    <row r="178" spans="1:13" ht="18" customHeight="1">
      <c r="A178" s="959">
        <v>170</v>
      </c>
      <c r="B178" s="970"/>
      <c r="C178" s="566"/>
      <c r="D178" s="978" t="s">
        <v>198</v>
      </c>
      <c r="E178" s="979"/>
      <c r="F178" s="980"/>
      <c r="G178" s="981"/>
      <c r="H178" s="982"/>
      <c r="I178" s="983"/>
      <c r="J178" s="984">
        <v>12000</v>
      </c>
      <c r="K178" s="984"/>
      <c r="L178" s="985">
        <f>SUM(I178:K178)</f>
        <v>12000</v>
      </c>
      <c r="M178" s="1036"/>
    </row>
    <row r="179" spans="1:13" ht="18" customHeight="1">
      <c r="A179" s="959">
        <v>171</v>
      </c>
      <c r="B179" s="970"/>
      <c r="C179" s="566"/>
      <c r="D179" s="986" t="s">
        <v>765</v>
      </c>
      <c r="E179" s="979"/>
      <c r="F179" s="980"/>
      <c r="G179" s="981"/>
      <c r="H179" s="982"/>
      <c r="I179" s="987"/>
      <c r="J179" s="988">
        <v>0</v>
      </c>
      <c r="K179" s="988"/>
      <c r="L179" s="560">
        <f>SUM(I179:K179)</f>
        <v>0</v>
      </c>
      <c r="M179" s="1036"/>
    </row>
    <row r="180" spans="1:13" ht="18" customHeight="1">
      <c r="A180" s="959">
        <v>172</v>
      </c>
      <c r="B180" s="970"/>
      <c r="C180" s="566"/>
      <c r="D180" s="989" t="s">
        <v>1021</v>
      </c>
      <c r="E180" s="990"/>
      <c r="F180" s="991"/>
      <c r="G180" s="992"/>
      <c r="H180" s="993"/>
      <c r="I180" s="994"/>
      <c r="J180" s="561"/>
      <c r="K180" s="561"/>
      <c r="L180" s="562">
        <f>SUM(F180:K180)</f>
        <v>0</v>
      </c>
      <c r="M180" s="1036"/>
    </row>
    <row r="181" spans="1:13" ht="36" customHeight="1">
      <c r="A181" s="959">
        <v>173</v>
      </c>
      <c r="B181" s="1037"/>
      <c r="C181" s="556">
        <v>47</v>
      </c>
      <c r="D181" s="557" t="s">
        <v>1259</v>
      </c>
      <c r="E181" s="971">
        <f>F181+G181+L183</f>
        <v>783</v>
      </c>
      <c r="F181" s="972"/>
      <c r="G181" s="1038">
        <v>527</v>
      </c>
      <c r="H181" s="974" t="s">
        <v>231</v>
      </c>
      <c r="I181" s="971"/>
      <c r="J181" s="971"/>
      <c r="K181" s="971"/>
      <c r="L181" s="976"/>
      <c r="M181" s="1002"/>
    </row>
    <row r="182" spans="1:13" ht="18" customHeight="1">
      <c r="A182" s="959">
        <v>174</v>
      </c>
      <c r="B182" s="1037"/>
      <c r="C182" s="559"/>
      <c r="D182" s="978" t="s">
        <v>198</v>
      </c>
      <c r="E182" s="979"/>
      <c r="F182" s="980"/>
      <c r="G182" s="981"/>
      <c r="H182" s="982"/>
      <c r="I182" s="983"/>
      <c r="J182" s="984">
        <v>256</v>
      </c>
      <c r="K182" s="984"/>
      <c r="L182" s="985">
        <f>SUM(I182:K182)</f>
        <v>256</v>
      </c>
      <c r="M182" s="1002"/>
    </row>
    <row r="183" spans="1:13" ht="18" customHeight="1">
      <c r="A183" s="959">
        <v>175</v>
      </c>
      <c r="B183" s="1037"/>
      <c r="C183" s="559"/>
      <c r="D183" s="986" t="s">
        <v>765</v>
      </c>
      <c r="E183" s="979"/>
      <c r="F183" s="980"/>
      <c r="G183" s="981"/>
      <c r="H183" s="982"/>
      <c r="I183" s="987"/>
      <c r="J183" s="988">
        <v>256</v>
      </c>
      <c r="K183" s="988"/>
      <c r="L183" s="560">
        <f>SUM(I183:K183)</f>
        <v>256</v>
      </c>
      <c r="M183" s="1002"/>
    </row>
    <row r="184" spans="1:13" ht="18" customHeight="1">
      <c r="A184" s="959">
        <v>176</v>
      </c>
      <c r="B184" s="1037"/>
      <c r="C184" s="559"/>
      <c r="D184" s="989" t="s">
        <v>1022</v>
      </c>
      <c r="E184" s="990"/>
      <c r="F184" s="991"/>
      <c r="G184" s="992"/>
      <c r="H184" s="993"/>
      <c r="I184" s="994"/>
      <c r="J184" s="561"/>
      <c r="K184" s="561"/>
      <c r="L184" s="562">
        <f>SUM(F184:K184)</f>
        <v>0</v>
      </c>
      <c r="M184" s="1002"/>
    </row>
    <row r="185" spans="1:13" ht="33" customHeight="1">
      <c r="A185" s="959">
        <v>177</v>
      </c>
      <c r="B185" s="1037"/>
      <c r="C185" s="556">
        <v>48</v>
      </c>
      <c r="D185" s="1039" t="s">
        <v>1260</v>
      </c>
      <c r="E185" s="971">
        <f>F185+G185+L187</f>
        <v>38000</v>
      </c>
      <c r="F185" s="972"/>
      <c r="G185" s="1038"/>
      <c r="H185" s="974" t="s">
        <v>80</v>
      </c>
      <c r="I185" s="971"/>
      <c r="J185" s="971"/>
      <c r="K185" s="971"/>
      <c r="L185" s="976"/>
      <c r="M185" s="1002"/>
    </row>
    <row r="186" spans="1:13" ht="18" customHeight="1">
      <c r="A186" s="959">
        <v>178</v>
      </c>
      <c r="B186" s="1037"/>
      <c r="C186" s="559"/>
      <c r="D186" s="978" t="s">
        <v>198</v>
      </c>
      <c r="E186" s="979"/>
      <c r="F186" s="980"/>
      <c r="G186" s="981"/>
      <c r="H186" s="982"/>
      <c r="I186" s="983"/>
      <c r="J186" s="984">
        <f>15000+15000</f>
        <v>30000</v>
      </c>
      <c r="K186" s="984"/>
      <c r="L186" s="985">
        <f>SUM(I186:K186)</f>
        <v>30000</v>
      </c>
      <c r="M186" s="1002"/>
    </row>
    <row r="187" spans="1:13" ht="18" customHeight="1">
      <c r="A187" s="959">
        <v>179</v>
      </c>
      <c r="B187" s="1037"/>
      <c r="C187" s="559"/>
      <c r="D187" s="986" t="s">
        <v>765</v>
      </c>
      <c r="E187" s="995"/>
      <c r="F187" s="996"/>
      <c r="G187" s="997"/>
      <c r="H187" s="998"/>
      <c r="I187" s="987"/>
      <c r="J187" s="988">
        <v>38000</v>
      </c>
      <c r="K187" s="988"/>
      <c r="L187" s="560">
        <f>SUM(I187:K187)</f>
        <v>38000</v>
      </c>
      <c r="M187" s="1002"/>
    </row>
    <row r="188" spans="1:13" ht="18" customHeight="1">
      <c r="A188" s="959">
        <v>180</v>
      </c>
      <c r="B188" s="1037"/>
      <c r="C188" s="559"/>
      <c r="D188" s="989" t="s">
        <v>1021</v>
      </c>
      <c r="E188" s="990"/>
      <c r="F188" s="991"/>
      <c r="G188" s="992"/>
      <c r="H188" s="993"/>
      <c r="I188" s="994"/>
      <c r="J188" s="561">
        <v>14976</v>
      </c>
      <c r="K188" s="561"/>
      <c r="L188" s="562">
        <f>SUM(F188:K188)</f>
        <v>14976</v>
      </c>
      <c r="M188" s="1002"/>
    </row>
    <row r="189" spans="1:13" ht="21.75" customHeight="1">
      <c r="A189" s="959">
        <v>181</v>
      </c>
      <c r="B189" s="1037"/>
      <c r="C189" s="559">
        <v>49</v>
      </c>
      <c r="D189" s="1039" t="s">
        <v>812</v>
      </c>
      <c r="E189" s="971">
        <f>F189+G189+L191</f>
        <v>0</v>
      </c>
      <c r="F189" s="972"/>
      <c r="G189" s="1038"/>
      <c r="H189" s="974" t="s">
        <v>231</v>
      </c>
      <c r="I189" s="971"/>
      <c r="J189" s="971"/>
      <c r="K189" s="971"/>
      <c r="L189" s="976"/>
      <c r="M189" s="1002"/>
    </row>
    <row r="190" spans="1:13" ht="18" customHeight="1">
      <c r="A190" s="959">
        <v>182</v>
      </c>
      <c r="B190" s="1037"/>
      <c r="C190" s="559"/>
      <c r="D190" s="1040" t="s">
        <v>198</v>
      </c>
      <c r="E190" s="971"/>
      <c r="F190" s="972"/>
      <c r="G190" s="1038"/>
      <c r="H190" s="974"/>
      <c r="I190" s="971"/>
      <c r="J190" s="984">
        <v>2600</v>
      </c>
      <c r="K190" s="971"/>
      <c r="L190" s="985">
        <f>SUM(I190:K190)</f>
        <v>2600</v>
      </c>
      <c r="M190" s="1002"/>
    </row>
    <row r="191" spans="1:13" ht="18" customHeight="1">
      <c r="A191" s="959">
        <v>183</v>
      </c>
      <c r="B191" s="1037"/>
      <c r="C191" s="559"/>
      <c r="D191" s="986" t="s">
        <v>765</v>
      </c>
      <c r="E191" s="971"/>
      <c r="F191" s="972"/>
      <c r="G191" s="1038"/>
      <c r="H191" s="974"/>
      <c r="I191" s="971"/>
      <c r="J191" s="988">
        <v>0</v>
      </c>
      <c r="K191" s="971"/>
      <c r="L191" s="560">
        <f>SUM(I191:K191)</f>
        <v>0</v>
      </c>
      <c r="M191" s="1002"/>
    </row>
    <row r="192" spans="1:13" ht="18" customHeight="1">
      <c r="A192" s="959">
        <v>184</v>
      </c>
      <c r="B192" s="1037"/>
      <c r="C192" s="559"/>
      <c r="D192" s="989" t="s">
        <v>1021</v>
      </c>
      <c r="E192" s="971"/>
      <c r="F192" s="972"/>
      <c r="G192" s="1038"/>
      <c r="H192" s="974"/>
      <c r="I192" s="971"/>
      <c r="J192" s="990"/>
      <c r="K192" s="971"/>
      <c r="L192" s="562">
        <f>SUM(F192:K192)</f>
        <v>0</v>
      </c>
      <c r="M192" s="1002"/>
    </row>
    <row r="193" spans="1:13" ht="21.75" customHeight="1">
      <c r="A193" s="959">
        <v>185</v>
      </c>
      <c r="B193" s="1037"/>
      <c r="C193" s="559">
        <v>50</v>
      </c>
      <c r="D193" s="1039" t="s">
        <v>813</v>
      </c>
      <c r="E193" s="971">
        <f>F193+G193+L195</f>
        <v>5500</v>
      </c>
      <c r="F193" s="972"/>
      <c r="G193" s="1038">
        <v>980</v>
      </c>
      <c r="H193" s="974" t="s">
        <v>80</v>
      </c>
      <c r="I193" s="971"/>
      <c r="J193" s="971"/>
      <c r="K193" s="971"/>
      <c r="L193" s="976"/>
      <c r="M193" s="1002"/>
    </row>
    <row r="194" spans="1:13" ht="18" customHeight="1">
      <c r="A194" s="959">
        <v>186</v>
      </c>
      <c r="B194" s="1037"/>
      <c r="C194" s="559"/>
      <c r="D194" s="978" t="s">
        <v>198</v>
      </c>
      <c r="E194" s="979"/>
      <c r="F194" s="980"/>
      <c r="G194" s="981"/>
      <c r="H194" s="982"/>
      <c r="I194" s="983"/>
      <c r="J194" s="984">
        <f>2500+2020</f>
        <v>4520</v>
      </c>
      <c r="K194" s="984"/>
      <c r="L194" s="985">
        <f>SUM(I194:K194)</f>
        <v>4520</v>
      </c>
      <c r="M194" s="1002"/>
    </row>
    <row r="195" spans="1:13" ht="18" customHeight="1">
      <c r="A195" s="959">
        <v>187</v>
      </c>
      <c r="B195" s="1037"/>
      <c r="C195" s="559"/>
      <c r="D195" s="986" t="s">
        <v>765</v>
      </c>
      <c r="E195" s="979"/>
      <c r="F195" s="980"/>
      <c r="G195" s="981"/>
      <c r="H195" s="982"/>
      <c r="I195" s="987"/>
      <c r="J195" s="988">
        <v>4520</v>
      </c>
      <c r="K195" s="988"/>
      <c r="L195" s="560">
        <f>SUM(I195:K195)</f>
        <v>4520</v>
      </c>
      <c r="M195" s="1002"/>
    </row>
    <row r="196" spans="1:13" ht="18" customHeight="1">
      <c r="A196" s="959">
        <v>188</v>
      </c>
      <c r="B196" s="1037"/>
      <c r="C196" s="559"/>
      <c r="D196" s="989" t="s">
        <v>1022</v>
      </c>
      <c r="E196" s="990"/>
      <c r="F196" s="991"/>
      <c r="G196" s="992"/>
      <c r="H196" s="993"/>
      <c r="I196" s="994"/>
      <c r="J196" s="561">
        <v>4218</v>
      </c>
      <c r="K196" s="561"/>
      <c r="L196" s="562">
        <f>SUM(F196:K196)</f>
        <v>4218</v>
      </c>
      <c r="M196" s="1002"/>
    </row>
    <row r="197" spans="1:13" ht="37.5" customHeight="1">
      <c r="A197" s="959">
        <v>189</v>
      </c>
      <c r="B197" s="1037"/>
      <c r="C197" s="556">
        <v>51</v>
      </c>
      <c r="D197" s="1041" t="s">
        <v>814</v>
      </c>
      <c r="E197" s="971">
        <f>F197+G197+L199</f>
        <v>72561</v>
      </c>
      <c r="F197" s="972"/>
      <c r="G197" s="1038"/>
      <c r="H197" s="974" t="s">
        <v>231</v>
      </c>
      <c r="I197" s="971"/>
      <c r="J197" s="971"/>
      <c r="K197" s="971"/>
      <c r="L197" s="976"/>
      <c r="M197" s="1002"/>
    </row>
    <row r="198" spans="1:13" ht="18" customHeight="1">
      <c r="A198" s="959">
        <v>190</v>
      </c>
      <c r="B198" s="1037"/>
      <c r="C198" s="559"/>
      <c r="D198" s="978" t="s">
        <v>198</v>
      </c>
      <c r="E198" s="979"/>
      <c r="F198" s="980"/>
      <c r="G198" s="981"/>
      <c r="H198" s="982"/>
      <c r="I198" s="983"/>
      <c r="J198" s="984">
        <v>72561</v>
      </c>
      <c r="K198" s="984"/>
      <c r="L198" s="985">
        <f>SUM(I198:K198)</f>
        <v>72561</v>
      </c>
      <c r="M198" s="1002"/>
    </row>
    <row r="199" spans="1:13" ht="18" customHeight="1">
      <c r="A199" s="959">
        <v>191</v>
      </c>
      <c r="B199" s="1037"/>
      <c r="C199" s="559"/>
      <c r="D199" s="986" t="s">
        <v>765</v>
      </c>
      <c r="E199" s="979"/>
      <c r="F199" s="980"/>
      <c r="G199" s="981"/>
      <c r="H199" s="982"/>
      <c r="I199" s="987"/>
      <c r="J199" s="988">
        <v>72561</v>
      </c>
      <c r="K199" s="988"/>
      <c r="L199" s="560">
        <f>SUM(I199:K199)</f>
        <v>72561</v>
      </c>
      <c r="M199" s="1002"/>
    </row>
    <row r="200" spans="1:13" ht="18" customHeight="1">
      <c r="A200" s="959">
        <v>192</v>
      </c>
      <c r="B200" s="1037"/>
      <c r="C200" s="559"/>
      <c r="D200" s="989" t="s">
        <v>1022</v>
      </c>
      <c r="E200" s="990"/>
      <c r="F200" s="991"/>
      <c r="G200" s="992"/>
      <c r="H200" s="993"/>
      <c r="I200" s="994"/>
      <c r="J200" s="561">
        <v>72561</v>
      </c>
      <c r="K200" s="561"/>
      <c r="L200" s="562">
        <f>SUM(F200:K200)</f>
        <v>72561</v>
      </c>
      <c r="M200" s="1002"/>
    </row>
    <row r="201" spans="1:13" ht="34.5" customHeight="1">
      <c r="A201" s="959">
        <v>193</v>
      </c>
      <c r="B201" s="1037"/>
      <c r="C201" s="556">
        <v>52</v>
      </c>
      <c r="D201" s="1041" t="s">
        <v>815</v>
      </c>
      <c r="E201" s="971">
        <f>F201+G201+L203</f>
        <v>20000</v>
      </c>
      <c r="F201" s="972"/>
      <c r="G201" s="1038"/>
      <c r="H201" s="974" t="s">
        <v>231</v>
      </c>
      <c r="I201" s="971"/>
      <c r="J201" s="971"/>
      <c r="K201" s="971"/>
      <c r="L201" s="976"/>
      <c r="M201" s="1002"/>
    </row>
    <row r="202" spans="1:13" ht="18" customHeight="1">
      <c r="A202" s="959">
        <v>194</v>
      </c>
      <c r="B202" s="1037"/>
      <c r="C202" s="559"/>
      <c r="D202" s="978" t="s">
        <v>198</v>
      </c>
      <c r="E202" s="979"/>
      <c r="F202" s="980"/>
      <c r="G202" s="981"/>
      <c r="H202" s="982"/>
      <c r="I202" s="983"/>
      <c r="J202" s="984">
        <v>20000</v>
      </c>
      <c r="K202" s="984"/>
      <c r="L202" s="985">
        <f>SUM(I202:K202)</f>
        <v>20000</v>
      </c>
      <c r="M202" s="1002"/>
    </row>
    <row r="203" spans="1:13" ht="18" customHeight="1">
      <c r="A203" s="959">
        <v>195</v>
      </c>
      <c r="B203" s="1037"/>
      <c r="C203" s="559"/>
      <c r="D203" s="986" t="s">
        <v>765</v>
      </c>
      <c r="E203" s="979"/>
      <c r="F203" s="980"/>
      <c r="G203" s="981"/>
      <c r="H203" s="982"/>
      <c r="I203" s="987"/>
      <c r="J203" s="988">
        <v>20000</v>
      </c>
      <c r="K203" s="988"/>
      <c r="L203" s="560">
        <f>SUM(I203:K203)</f>
        <v>20000</v>
      </c>
      <c r="M203" s="1002"/>
    </row>
    <row r="204" spans="1:13" ht="18" customHeight="1">
      <c r="A204" s="959">
        <v>196</v>
      </c>
      <c r="B204" s="1037"/>
      <c r="C204" s="559"/>
      <c r="D204" s="989" t="s">
        <v>1022</v>
      </c>
      <c r="E204" s="990"/>
      <c r="F204" s="991"/>
      <c r="G204" s="992"/>
      <c r="H204" s="993"/>
      <c r="I204" s="994"/>
      <c r="J204" s="561">
        <v>18404</v>
      </c>
      <c r="K204" s="561"/>
      <c r="L204" s="562">
        <f>SUM(F204:K204)</f>
        <v>18404</v>
      </c>
      <c r="M204" s="1002"/>
    </row>
    <row r="205" spans="1:13" ht="21.75" customHeight="1">
      <c r="A205" s="959">
        <v>197</v>
      </c>
      <c r="B205" s="1037"/>
      <c r="C205" s="559">
        <v>54</v>
      </c>
      <c r="D205" s="1041" t="s">
        <v>816</v>
      </c>
      <c r="E205" s="971">
        <f>F205+G205+L207</f>
        <v>28000</v>
      </c>
      <c r="F205" s="972"/>
      <c r="G205" s="1038"/>
      <c r="H205" s="974" t="s">
        <v>231</v>
      </c>
      <c r="I205" s="971"/>
      <c r="J205" s="971"/>
      <c r="K205" s="971"/>
      <c r="L205" s="976"/>
      <c r="M205" s="1002"/>
    </row>
    <row r="206" spans="1:13" ht="18" customHeight="1">
      <c r="A206" s="959">
        <v>198</v>
      </c>
      <c r="B206" s="1037"/>
      <c r="C206" s="559"/>
      <c r="D206" s="978" t="s">
        <v>198</v>
      </c>
      <c r="E206" s="979"/>
      <c r="F206" s="980"/>
      <c r="G206" s="981"/>
      <c r="H206" s="982"/>
      <c r="I206" s="983"/>
      <c r="J206" s="984">
        <v>28000</v>
      </c>
      <c r="K206" s="984"/>
      <c r="L206" s="985">
        <f>SUM(I206:K206)</f>
        <v>28000</v>
      </c>
      <c r="M206" s="1002"/>
    </row>
    <row r="207" spans="1:13" ht="18" customHeight="1">
      <c r="A207" s="959">
        <v>199</v>
      </c>
      <c r="B207" s="1037"/>
      <c r="C207" s="559"/>
      <c r="D207" s="986" t="s">
        <v>765</v>
      </c>
      <c r="E207" s="979"/>
      <c r="F207" s="980"/>
      <c r="G207" s="981"/>
      <c r="H207" s="982"/>
      <c r="I207" s="987"/>
      <c r="J207" s="988">
        <v>28000</v>
      </c>
      <c r="K207" s="988"/>
      <c r="L207" s="560">
        <f>SUM(I207:K207)</f>
        <v>28000</v>
      </c>
      <c r="M207" s="1002"/>
    </row>
    <row r="208" spans="1:13" ht="18" customHeight="1">
      <c r="A208" s="959">
        <v>200</v>
      </c>
      <c r="B208" s="1037"/>
      <c r="C208" s="559"/>
      <c r="D208" s="989" t="s">
        <v>1022</v>
      </c>
      <c r="E208" s="990"/>
      <c r="F208" s="991"/>
      <c r="G208" s="992"/>
      <c r="H208" s="993"/>
      <c r="I208" s="994"/>
      <c r="J208" s="561"/>
      <c r="K208" s="561"/>
      <c r="L208" s="562">
        <f>SUM(F208:K208)</f>
        <v>0</v>
      </c>
      <c r="M208" s="1002"/>
    </row>
    <row r="209" spans="1:13" ht="21.75" customHeight="1">
      <c r="A209" s="959">
        <v>201</v>
      </c>
      <c r="B209" s="1037"/>
      <c r="C209" s="559">
        <v>57</v>
      </c>
      <c r="D209" s="1041" t="s">
        <v>817</v>
      </c>
      <c r="E209" s="971">
        <f>F209+G209+L211</f>
        <v>0</v>
      </c>
      <c r="F209" s="972"/>
      <c r="G209" s="1038"/>
      <c r="H209" s="974" t="s">
        <v>231</v>
      </c>
      <c r="I209" s="971"/>
      <c r="J209" s="971"/>
      <c r="K209" s="971"/>
      <c r="L209" s="976"/>
      <c r="M209" s="1002"/>
    </row>
    <row r="210" spans="1:13" ht="18" customHeight="1">
      <c r="A210" s="959">
        <v>202</v>
      </c>
      <c r="B210" s="1037"/>
      <c r="C210" s="559"/>
      <c r="D210" s="978" t="s">
        <v>198</v>
      </c>
      <c r="E210" s="979"/>
      <c r="F210" s="980"/>
      <c r="G210" s="981"/>
      <c r="H210" s="982"/>
      <c r="I210" s="983">
        <v>10000</v>
      </c>
      <c r="J210" s="984"/>
      <c r="K210" s="984"/>
      <c r="L210" s="985">
        <f>SUM(I210:K210)</f>
        <v>10000</v>
      </c>
      <c r="M210" s="1002"/>
    </row>
    <row r="211" spans="1:13" ht="18" customHeight="1">
      <c r="A211" s="959">
        <v>203</v>
      </c>
      <c r="B211" s="1037"/>
      <c r="C211" s="559"/>
      <c r="D211" s="986" t="s">
        <v>765</v>
      </c>
      <c r="E211" s="979"/>
      <c r="F211" s="980"/>
      <c r="G211" s="981"/>
      <c r="H211" s="982"/>
      <c r="I211" s="987">
        <v>0</v>
      </c>
      <c r="J211" s="988"/>
      <c r="K211" s="988"/>
      <c r="L211" s="560">
        <f>SUM(I211:K211)</f>
        <v>0</v>
      </c>
      <c r="M211" s="1002"/>
    </row>
    <row r="212" spans="1:13" ht="18" customHeight="1">
      <c r="A212" s="959">
        <v>204</v>
      </c>
      <c r="B212" s="1037"/>
      <c r="C212" s="559"/>
      <c r="D212" s="989" t="s">
        <v>1021</v>
      </c>
      <c r="E212" s="990"/>
      <c r="F212" s="991"/>
      <c r="G212" s="992"/>
      <c r="H212" s="993"/>
      <c r="I212" s="994"/>
      <c r="J212" s="561"/>
      <c r="K212" s="561"/>
      <c r="L212" s="562">
        <f>SUM(F212:K212)</f>
        <v>0</v>
      </c>
      <c r="M212" s="1002"/>
    </row>
    <row r="213" spans="1:13" ht="21.75" customHeight="1">
      <c r="A213" s="959">
        <v>205</v>
      </c>
      <c r="B213" s="1037"/>
      <c r="C213" s="559">
        <v>58</v>
      </c>
      <c r="D213" s="1042" t="s">
        <v>818</v>
      </c>
      <c r="E213" s="971">
        <f>F213+G213+L215</f>
        <v>10000</v>
      </c>
      <c r="F213" s="972"/>
      <c r="G213" s="1038"/>
      <c r="H213" s="974" t="s">
        <v>231</v>
      </c>
      <c r="I213" s="971"/>
      <c r="J213" s="971"/>
      <c r="K213" s="971"/>
      <c r="L213" s="976"/>
      <c r="M213" s="1002"/>
    </row>
    <row r="214" spans="1:13" ht="18" customHeight="1">
      <c r="A214" s="959">
        <v>206</v>
      </c>
      <c r="B214" s="1037"/>
      <c r="C214" s="559"/>
      <c r="D214" s="978" t="s">
        <v>198</v>
      </c>
      <c r="E214" s="979"/>
      <c r="F214" s="980"/>
      <c r="G214" s="981"/>
      <c r="H214" s="982"/>
      <c r="I214" s="983"/>
      <c r="J214" s="984">
        <v>10000</v>
      </c>
      <c r="K214" s="984"/>
      <c r="L214" s="985">
        <f>SUM(I214:K214)</f>
        <v>10000</v>
      </c>
      <c r="M214" s="1002"/>
    </row>
    <row r="215" spans="1:13" ht="18" customHeight="1">
      <c r="A215" s="959">
        <v>207</v>
      </c>
      <c r="B215" s="1037"/>
      <c r="C215" s="559"/>
      <c r="D215" s="986" t="s">
        <v>765</v>
      </c>
      <c r="E215" s="979"/>
      <c r="F215" s="980"/>
      <c r="G215" s="981"/>
      <c r="H215" s="982"/>
      <c r="I215" s="987"/>
      <c r="J215" s="988">
        <v>10000</v>
      </c>
      <c r="K215" s="988"/>
      <c r="L215" s="560">
        <f>SUM(I215:K215)</f>
        <v>10000</v>
      </c>
      <c r="M215" s="1002"/>
    </row>
    <row r="216" spans="1:13" ht="18" customHeight="1">
      <c r="A216" s="959">
        <v>208</v>
      </c>
      <c r="B216" s="1037"/>
      <c r="C216" s="559"/>
      <c r="D216" s="989" t="s">
        <v>1022</v>
      </c>
      <c r="E216" s="990"/>
      <c r="F216" s="991"/>
      <c r="G216" s="992"/>
      <c r="H216" s="993"/>
      <c r="I216" s="994"/>
      <c r="J216" s="561"/>
      <c r="K216" s="561"/>
      <c r="L216" s="562">
        <f>SUM(F216:K216)</f>
        <v>0</v>
      </c>
      <c r="M216" s="1002"/>
    </row>
    <row r="217" spans="1:13" ht="36" customHeight="1">
      <c r="A217" s="959">
        <v>209</v>
      </c>
      <c r="B217" s="1037"/>
      <c r="C217" s="556">
        <v>59</v>
      </c>
      <c r="D217" s="1041" t="s">
        <v>819</v>
      </c>
      <c r="E217" s="971">
        <f>F217+G217+L219</f>
        <v>92000</v>
      </c>
      <c r="F217" s="972"/>
      <c r="G217" s="1038"/>
      <c r="H217" s="974" t="s">
        <v>231</v>
      </c>
      <c r="I217" s="971"/>
      <c r="J217" s="971"/>
      <c r="K217" s="971"/>
      <c r="L217" s="976"/>
      <c r="M217" s="1002"/>
    </row>
    <row r="218" spans="1:13" ht="18" customHeight="1">
      <c r="A218" s="959">
        <v>210</v>
      </c>
      <c r="B218" s="1037"/>
      <c r="C218" s="559"/>
      <c r="D218" s="978" t="s">
        <v>198</v>
      </c>
      <c r="E218" s="979"/>
      <c r="F218" s="980"/>
      <c r="G218" s="981"/>
      <c r="H218" s="982"/>
      <c r="I218" s="983"/>
      <c r="J218" s="984">
        <v>54000</v>
      </c>
      <c r="K218" s="984"/>
      <c r="L218" s="985">
        <f>SUM(I218:K218)</f>
        <v>54000</v>
      </c>
      <c r="M218" s="1002"/>
    </row>
    <row r="219" spans="1:13" ht="18" customHeight="1">
      <c r="A219" s="959">
        <v>211</v>
      </c>
      <c r="B219" s="1037"/>
      <c r="C219" s="559"/>
      <c r="D219" s="986" t="s">
        <v>765</v>
      </c>
      <c r="E219" s="979"/>
      <c r="F219" s="980"/>
      <c r="G219" s="981"/>
      <c r="H219" s="982"/>
      <c r="I219" s="987"/>
      <c r="J219" s="988">
        <v>92000</v>
      </c>
      <c r="K219" s="988"/>
      <c r="L219" s="560">
        <f>SUM(I219:K219)</f>
        <v>92000</v>
      </c>
      <c r="M219" s="1002"/>
    </row>
    <row r="220" spans="1:13" ht="18" customHeight="1">
      <c r="A220" s="959">
        <v>212</v>
      </c>
      <c r="B220" s="1037"/>
      <c r="C220" s="559"/>
      <c r="D220" s="989" t="s">
        <v>1021</v>
      </c>
      <c r="E220" s="990"/>
      <c r="F220" s="991"/>
      <c r="G220" s="992"/>
      <c r="H220" s="993"/>
      <c r="I220" s="994"/>
      <c r="J220" s="561">
        <v>4318</v>
      </c>
      <c r="K220" s="561"/>
      <c r="L220" s="562">
        <f>SUM(F220:K220)</f>
        <v>4318</v>
      </c>
      <c r="M220" s="1002"/>
    </row>
    <row r="221" spans="1:13" ht="51.75" customHeight="1">
      <c r="A221" s="959">
        <v>213</v>
      </c>
      <c r="B221" s="1037"/>
      <c r="C221" s="556">
        <v>60</v>
      </c>
      <c r="D221" s="1041" t="s">
        <v>1261</v>
      </c>
      <c r="E221" s="971">
        <f>F221+G221+L223</f>
        <v>4255</v>
      </c>
      <c r="F221" s="972"/>
      <c r="G221" s="1038"/>
      <c r="H221" s="974" t="s">
        <v>231</v>
      </c>
      <c r="I221" s="971"/>
      <c r="J221" s="971"/>
      <c r="K221" s="971"/>
      <c r="L221" s="976"/>
      <c r="M221" s="1002"/>
    </row>
    <row r="222" spans="1:13" ht="18" customHeight="1">
      <c r="A222" s="959">
        <v>214</v>
      </c>
      <c r="B222" s="1037"/>
      <c r="C222" s="559"/>
      <c r="D222" s="978" t="s">
        <v>198</v>
      </c>
      <c r="E222" s="979"/>
      <c r="F222" s="980"/>
      <c r="G222" s="981"/>
      <c r="H222" s="982"/>
      <c r="I222" s="983"/>
      <c r="J222" s="984">
        <v>4000</v>
      </c>
      <c r="K222" s="984"/>
      <c r="L222" s="985">
        <f>SUM(I222:K222)</f>
        <v>4000</v>
      </c>
      <c r="M222" s="1002"/>
    </row>
    <row r="223" spans="1:13" ht="18" customHeight="1">
      <c r="A223" s="959">
        <v>215</v>
      </c>
      <c r="B223" s="1037"/>
      <c r="C223" s="559"/>
      <c r="D223" s="986" t="s">
        <v>765</v>
      </c>
      <c r="E223" s="979"/>
      <c r="F223" s="980"/>
      <c r="G223" s="981"/>
      <c r="H223" s="982"/>
      <c r="I223" s="987"/>
      <c r="J223" s="988">
        <v>4255</v>
      </c>
      <c r="K223" s="988"/>
      <c r="L223" s="560">
        <f>SUM(I223:K223)</f>
        <v>4255</v>
      </c>
      <c r="M223" s="1002"/>
    </row>
    <row r="224" spans="1:13" ht="18" customHeight="1">
      <c r="A224" s="959">
        <v>216</v>
      </c>
      <c r="B224" s="1037"/>
      <c r="C224" s="559"/>
      <c r="D224" s="989" t="s">
        <v>1022</v>
      </c>
      <c r="E224" s="990"/>
      <c r="F224" s="991"/>
      <c r="G224" s="992"/>
      <c r="H224" s="993"/>
      <c r="I224" s="994"/>
      <c r="J224" s="561">
        <v>4255</v>
      </c>
      <c r="K224" s="561"/>
      <c r="L224" s="562">
        <f>SUM(F224:K224)</f>
        <v>4255</v>
      </c>
      <c r="M224" s="1002"/>
    </row>
    <row r="225" spans="1:13" ht="35.25" customHeight="1">
      <c r="A225" s="959">
        <v>217</v>
      </c>
      <c r="B225" s="1037"/>
      <c r="C225" s="556">
        <v>61</v>
      </c>
      <c r="D225" s="1041" t="s">
        <v>820</v>
      </c>
      <c r="E225" s="971">
        <f>F225+G225+L227</f>
        <v>47000</v>
      </c>
      <c r="F225" s="972"/>
      <c r="G225" s="1038"/>
      <c r="H225" s="974" t="s">
        <v>231</v>
      </c>
      <c r="I225" s="971"/>
      <c r="J225" s="971"/>
      <c r="K225" s="971"/>
      <c r="L225" s="976"/>
      <c r="M225" s="1002"/>
    </row>
    <row r="226" spans="1:13" ht="18" customHeight="1">
      <c r="A226" s="959">
        <v>218</v>
      </c>
      <c r="B226" s="1037"/>
      <c r="C226" s="559"/>
      <c r="D226" s="978" t="s">
        <v>198</v>
      </c>
      <c r="E226" s="979"/>
      <c r="F226" s="980"/>
      <c r="G226" s="981"/>
      <c r="H226" s="982"/>
      <c r="I226" s="983"/>
      <c r="J226" s="984">
        <v>47000</v>
      </c>
      <c r="K226" s="984"/>
      <c r="L226" s="985">
        <f>SUM(I226:K226)</f>
        <v>47000</v>
      </c>
      <c r="M226" s="1002"/>
    </row>
    <row r="227" spans="1:13" ht="18" customHeight="1">
      <c r="A227" s="959">
        <v>219</v>
      </c>
      <c r="B227" s="1037"/>
      <c r="C227" s="559"/>
      <c r="D227" s="986" t="s">
        <v>765</v>
      </c>
      <c r="E227" s="979"/>
      <c r="F227" s="980"/>
      <c r="G227" s="981"/>
      <c r="H227" s="982"/>
      <c r="I227" s="987"/>
      <c r="J227" s="988">
        <v>47000</v>
      </c>
      <c r="K227" s="988"/>
      <c r="L227" s="560">
        <f>SUM(I227:K227)</f>
        <v>47000</v>
      </c>
      <c r="M227" s="1002"/>
    </row>
    <row r="228" spans="1:13" ht="18" customHeight="1">
      <c r="A228" s="959">
        <v>220</v>
      </c>
      <c r="B228" s="1037"/>
      <c r="C228" s="559"/>
      <c r="D228" s="989" t="s">
        <v>1022</v>
      </c>
      <c r="E228" s="990"/>
      <c r="F228" s="991"/>
      <c r="G228" s="992"/>
      <c r="H228" s="993"/>
      <c r="I228" s="994"/>
      <c r="J228" s="561">
        <v>43270</v>
      </c>
      <c r="K228" s="561"/>
      <c r="L228" s="562">
        <f>SUM(F228:K228)</f>
        <v>43270</v>
      </c>
      <c r="M228" s="1002"/>
    </row>
    <row r="229" spans="1:13" ht="21.75" customHeight="1">
      <c r="A229" s="959">
        <v>221</v>
      </c>
      <c r="B229" s="1037"/>
      <c r="C229" s="559">
        <v>65</v>
      </c>
      <c r="D229" s="1041" t="s">
        <v>1262</v>
      </c>
      <c r="E229" s="971">
        <f>F229+G229+L231</f>
        <v>6600</v>
      </c>
      <c r="F229" s="972"/>
      <c r="G229" s="1038"/>
      <c r="H229" s="974" t="s">
        <v>231</v>
      </c>
      <c r="I229" s="971"/>
      <c r="J229" s="971"/>
      <c r="K229" s="971"/>
      <c r="L229" s="976"/>
      <c r="M229" s="1002"/>
    </row>
    <row r="230" spans="1:13" ht="18" customHeight="1">
      <c r="A230" s="959">
        <v>222</v>
      </c>
      <c r="B230" s="1037"/>
      <c r="C230" s="559"/>
      <c r="D230" s="978" t="s">
        <v>198</v>
      </c>
      <c r="E230" s="979"/>
      <c r="F230" s="980"/>
      <c r="G230" s="981"/>
      <c r="H230" s="982"/>
      <c r="I230" s="983"/>
      <c r="J230" s="984">
        <v>6600</v>
      </c>
      <c r="K230" s="984"/>
      <c r="L230" s="985">
        <f>SUM(I230:K230)</f>
        <v>6600</v>
      </c>
      <c r="M230" s="1002"/>
    </row>
    <row r="231" spans="1:13" ht="18" customHeight="1">
      <c r="A231" s="959">
        <v>223</v>
      </c>
      <c r="B231" s="1037"/>
      <c r="C231" s="559"/>
      <c r="D231" s="986" t="s">
        <v>765</v>
      </c>
      <c r="E231" s="979"/>
      <c r="F231" s="980"/>
      <c r="G231" s="981"/>
      <c r="H231" s="982"/>
      <c r="I231" s="987"/>
      <c r="J231" s="988">
        <v>6600</v>
      </c>
      <c r="K231" s="988"/>
      <c r="L231" s="560">
        <f>SUM(I231:K231)</f>
        <v>6600</v>
      </c>
      <c r="M231" s="1002"/>
    </row>
    <row r="232" spans="1:13" ht="18" customHeight="1">
      <c r="A232" s="959">
        <v>224</v>
      </c>
      <c r="B232" s="1037"/>
      <c r="C232" s="559"/>
      <c r="D232" s="989" t="s">
        <v>1022</v>
      </c>
      <c r="E232" s="990"/>
      <c r="F232" s="991"/>
      <c r="G232" s="992"/>
      <c r="H232" s="993"/>
      <c r="I232" s="994"/>
      <c r="J232" s="561">
        <v>5972</v>
      </c>
      <c r="K232" s="561"/>
      <c r="L232" s="562">
        <f>SUM(F232:K232)</f>
        <v>5972</v>
      </c>
      <c r="M232" s="1002"/>
    </row>
    <row r="233" spans="1:13" ht="55.5" customHeight="1">
      <c r="A233" s="959">
        <v>225</v>
      </c>
      <c r="B233" s="1037"/>
      <c r="C233" s="556">
        <v>66</v>
      </c>
      <c r="D233" s="1041" t="s">
        <v>1263</v>
      </c>
      <c r="E233" s="971">
        <f>F233+G233+L235</f>
        <v>30000</v>
      </c>
      <c r="F233" s="972"/>
      <c r="G233" s="1038"/>
      <c r="H233" s="974" t="s">
        <v>80</v>
      </c>
      <c r="I233" s="971"/>
      <c r="J233" s="971"/>
      <c r="K233" s="971"/>
      <c r="L233" s="976"/>
      <c r="M233" s="1002"/>
    </row>
    <row r="234" spans="1:13" ht="18" customHeight="1">
      <c r="A234" s="959">
        <v>226</v>
      </c>
      <c r="B234" s="1037"/>
      <c r="C234" s="559"/>
      <c r="D234" s="978" t="s">
        <v>198</v>
      </c>
      <c r="E234" s="979"/>
      <c r="F234" s="980"/>
      <c r="G234" s="981"/>
      <c r="H234" s="982"/>
      <c r="I234" s="983"/>
      <c r="J234" s="984">
        <v>30000</v>
      </c>
      <c r="K234" s="984"/>
      <c r="L234" s="985">
        <f>SUM(I234:K234)</f>
        <v>30000</v>
      </c>
      <c r="M234" s="1002"/>
    </row>
    <row r="235" spans="1:13" ht="18" customHeight="1">
      <c r="A235" s="959">
        <v>227</v>
      </c>
      <c r="B235" s="1037"/>
      <c r="C235" s="559"/>
      <c r="D235" s="986" t="s">
        <v>765</v>
      </c>
      <c r="E235" s="979"/>
      <c r="F235" s="980"/>
      <c r="G235" s="981"/>
      <c r="H235" s="982"/>
      <c r="I235" s="987"/>
      <c r="J235" s="988">
        <v>30000</v>
      </c>
      <c r="K235" s="988"/>
      <c r="L235" s="560">
        <f>SUM(I235:K235)</f>
        <v>30000</v>
      </c>
      <c r="M235" s="1002"/>
    </row>
    <row r="236" spans="1:13" ht="18" customHeight="1">
      <c r="A236" s="959">
        <v>228</v>
      </c>
      <c r="B236" s="1037"/>
      <c r="C236" s="559"/>
      <c r="D236" s="989" t="s">
        <v>1022</v>
      </c>
      <c r="E236" s="990"/>
      <c r="F236" s="991"/>
      <c r="G236" s="992"/>
      <c r="H236" s="993"/>
      <c r="I236" s="994"/>
      <c r="J236" s="561">
        <v>29971</v>
      </c>
      <c r="K236" s="561"/>
      <c r="L236" s="562">
        <f>SUM(F236:K236)</f>
        <v>29971</v>
      </c>
      <c r="M236" s="1002"/>
    </row>
    <row r="237" spans="1:13" ht="21.75" customHeight="1">
      <c r="A237" s="959">
        <v>229</v>
      </c>
      <c r="B237" s="1037"/>
      <c r="C237" s="559">
        <v>67</v>
      </c>
      <c r="D237" s="1041" t="s">
        <v>821</v>
      </c>
      <c r="E237" s="971">
        <f>F237+G237+L239</f>
        <v>47500</v>
      </c>
      <c r="F237" s="972"/>
      <c r="G237" s="1038"/>
      <c r="H237" s="974" t="s">
        <v>231</v>
      </c>
      <c r="I237" s="971"/>
      <c r="J237" s="971"/>
      <c r="K237" s="971"/>
      <c r="L237" s="976"/>
      <c r="M237" s="1002"/>
    </row>
    <row r="238" spans="1:13" ht="18" customHeight="1">
      <c r="A238" s="959">
        <v>230</v>
      </c>
      <c r="B238" s="1037"/>
      <c r="C238" s="559"/>
      <c r="D238" s="978" t="s">
        <v>198</v>
      </c>
      <c r="E238" s="979"/>
      <c r="F238" s="980"/>
      <c r="G238" s="981"/>
      <c r="H238" s="982"/>
      <c r="I238" s="983"/>
      <c r="J238" s="984">
        <v>7500</v>
      </c>
      <c r="K238" s="984"/>
      <c r="L238" s="985">
        <f>SUM(I238:K238)</f>
        <v>7500</v>
      </c>
      <c r="M238" s="1002"/>
    </row>
    <row r="239" spans="1:13" ht="18" customHeight="1">
      <c r="A239" s="959">
        <v>231</v>
      </c>
      <c r="B239" s="1037"/>
      <c r="C239" s="559"/>
      <c r="D239" s="986" t="s">
        <v>765</v>
      </c>
      <c r="E239" s="979"/>
      <c r="F239" s="980"/>
      <c r="G239" s="981"/>
      <c r="H239" s="982"/>
      <c r="I239" s="987"/>
      <c r="J239" s="988">
        <v>47500</v>
      </c>
      <c r="K239" s="988"/>
      <c r="L239" s="560">
        <f>SUM(I239:K239)</f>
        <v>47500</v>
      </c>
      <c r="M239" s="1002"/>
    </row>
    <row r="240" spans="1:13" ht="18" customHeight="1">
      <c r="A240" s="959">
        <v>232</v>
      </c>
      <c r="B240" s="1037"/>
      <c r="C240" s="559"/>
      <c r="D240" s="989" t="s">
        <v>1021</v>
      </c>
      <c r="E240" s="990"/>
      <c r="F240" s="991"/>
      <c r="G240" s="992"/>
      <c r="H240" s="993"/>
      <c r="I240" s="994"/>
      <c r="J240" s="561">
        <v>4001</v>
      </c>
      <c r="K240" s="561"/>
      <c r="L240" s="562">
        <f>SUM(F240:K240)</f>
        <v>4001</v>
      </c>
      <c r="M240" s="1002"/>
    </row>
    <row r="241" spans="1:13" ht="21.75" customHeight="1">
      <c r="A241" s="959">
        <v>233</v>
      </c>
      <c r="B241" s="1037"/>
      <c r="C241" s="559">
        <v>68</v>
      </c>
      <c r="D241" s="1041" t="s">
        <v>822</v>
      </c>
      <c r="E241" s="971">
        <f>F241+G241+L243</f>
        <v>13075</v>
      </c>
      <c r="F241" s="972"/>
      <c r="G241" s="1038"/>
      <c r="H241" s="974" t="s">
        <v>231</v>
      </c>
      <c r="I241" s="971"/>
      <c r="J241" s="971"/>
      <c r="K241" s="971"/>
      <c r="L241" s="976"/>
      <c r="M241" s="1002"/>
    </row>
    <row r="242" spans="1:13" ht="18" customHeight="1">
      <c r="A242" s="959">
        <v>234</v>
      </c>
      <c r="B242" s="1037"/>
      <c r="C242" s="559"/>
      <c r="D242" s="978" t="s">
        <v>198</v>
      </c>
      <c r="E242" s="979"/>
      <c r="F242" s="980"/>
      <c r="G242" s="981"/>
      <c r="H242" s="982"/>
      <c r="I242" s="983">
        <v>1525</v>
      </c>
      <c r="J242" s="984">
        <v>11550</v>
      </c>
      <c r="K242" s="984"/>
      <c r="L242" s="985">
        <f>SUM(I242:K242)</f>
        <v>13075</v>
      </c>
      <c r="M242" s="1002"/>
    </row>
    <row r="243" spans="1:13" ht="18" customHeight="1">
      <c r="A243" s="959">
        <v>235</v>
      </c>
      <c r="B243" s="1037"/>
      <c r="C243" s="559"/>
      <c r="D243" s="986" t="s">
        <v>765</v>
      </c>
      <c r="E243" s="979"/>
      <c r="F243" s="980"/>
      <c r="G243" s="981"/>
      <c r="H243" s="982"/>
      <c r="I243" s="987">
        <v>1525</v>
      </c>
      <c r="J243" s="988">
        <v>11550</v>
      </c>
      <c r="K243" s="988"/>
      <c r="L243" s="560">
        <f>SUM(I243:K243)</f>
        <v>13075</v>
      </c>
      <c r="M243" s="1002"/>
    </row>
    <row r="244" spans="1:13" ht="18" customHeight="1">
      <c r="A244" s="959">
        <v>236</v>
      </c>
      <c r="B244" s="1037"/>
      <c r="C244" s="559"/>
      <c r="D244" s="989" t="s">
        <v>1022</v>
      </c>
      <c r="E244" s="990"/>
      <c r="F244" s="991"/>
      <c r="G244" s="992"/>
      <c r="H244" s="993"/>
      <c r="I244" s="994"/>
      <c r="J244" s="561"/>
      <c r="K244" s="561"/>
      <c r="L244" s="562">
        <f>SUM(F244:K244)</f>
        <v>0</v>
      </c>
      <c r="M244" s="1002"/>
    </row>
    <row r="245" spans="1:13" ht="21.75" customHeight="1">
      <c r="A245" s="959">
        <v>237</v>
      </c>
      <c r="B245" s="1037"/>
      <c r="C245" s="559">
        <v>72</v>
      </c>
      <c r="D245" s="564" t="s">
        <v>823</v>
      </c>
      <c r="E245" s="971">
        <f>F245+G245+L247</f>
        <v>11503</v>
      </c>
      <c r="F245" s="972"/>
      <c r="G245" s="1038">
        <v>8033</v>
      </c>
      <c r="H245" s="974" t="s">
        <v>231</v>
      </c>
      <c r="I245" s="971"/>
      <c r="J245" s="971"/>
      <c r="K245" s="971"/>
      <c r="L245" s="976"/>
      <c r="M245" s="1002"/>
    </row>
    <row r="246" spans="1:13" ht="18" customHeight="1">
      <c r="A246" s="959">
        <v>238</v>
      </c>
      <c r="B246" s="1037"/>
      <c r="C246" s="559"/>
      <c r="D246" s="978" t="s">
        <v>198</v>
      </c>
      <c r="E246" s="979"/>
      <c r="F246" s="980"/>
      <c r="G246" s="981"/>
      <c r="H246" s="982"/>
      <c r="I246" s="983"/>
      <c r="J246" s="984">
        <v>3771</v>
      </c>
      <c r="K246" s="984"/>
      <c r="L246" s="985">
        <f>SUM(I246:K246)</f>
        <v>3771</v>
      </c>
      <c r="M246" s="1002"/>
    </row>
    <row r="247" spans="1:13" ht="18" customHeight="1">
      <c r="A247" s="959">
        <v>239</v>
      </c>
      <c r="B247" s="1037"/>
      <c r="C247" s="559"/>
      <c r="D247" s="986" t="s">
        <v>765</v>
      </c>
      <c r="E247" s="979"/>
      <c r="F247" s="980"/>
      <c r="G247" s="981"/>
      <c r="H247" s="982"/>
      <c r="I247" s="987"/>
      <c r="J247" s="988">
        <v>3470</v>
      </c>
      <c r="K247" s="988"/>
      <c r="L247" s="560">
        <f>SUM(I247:K247)</f>
        <v>3470</v>
      </c>
      <c r="M247" s="1002"/>
    </row>
    <row r="248" spans="1:13" ht="18" customHeight="1">
      <c r="A248" s="959">
        <v>240</v>
      </c>
      <c r="B248" s="1037"/>
      <c r="C248" s="559"/>
      <c r="D248" s="989" t="s">
        <v>1021</v>
      </c>
      <c r="E248" s="990"/>
      <c r="F248" s="991"/>
      <c r="G248" s="992"/>
      <c r="H248" s="993"/>
      <c r="I248" s="994"/>
      <c r="J248" s="561">
        <v>3470</v>
      </c>
      <c r="K248" s="561"/>
      <c r="L248" s="562">
        <f>SUM(F248:K248)</f>
        <v>3470</v>
      </c>
      <c r="M248" s="1002"/>
    </row>
    <row r="249" spans="1:13" ht="35.25" customHeight="1">
      <c r="A249" s="959">
        <v>241</v>
      </c>
      <c r="B249" s="1037"/>
      <c r="C249" s="556">
        <v>73</v>
      </c>
      <c r="D249" s="564" t="s">
        <v>824</v>
      </c>
      <c r="E249" s="971">
        <f>F249+G249+L251</f>
        <v>60000</v>
      </c>
      <c r="F249" s="972"/>
      <c r="G249" s="1038">
        <v>50000</v>
      </c>
      <c r="H249" s="974" t="s">
        <v>231</v>
      </c>
      <c r="I249" s="971"/>
      <c r="J249" s="971"/>
      <c r="K249" s="971"/>
      <c r="L249" s="976"/>
      <c r="M249" s="1002"/>
    </row>
    <row r="250" spans="1:13" ht="18" customHeight="1">
      <c r="A250" s="959">
        <v>242</v>
      </c>
      <c r="B250" s="1037"/>
      <c r="C250" s="559"/>
      <c r="D250" s="978" t="s">
        <v>198</v>
      </c>
      <c r="E250" s="979"/>
      <c r="F250" s="980"/>
      <c r="G250" s="981"/>
      <c r="H250" s="982"/>
      <c r="I250" s="983"/>
      <c r="J250" s="984"/>
      <c r="K250" s="984">
        <v>10000</v>
      </c>
      <c r="L250" s="985">
        <f>SUM(I250:K250)</f>
        <v>10000</v>
      </c>
      <c r="M250" s="1002"/>
    </row>
    <row r="251" spans="1:13" ht="18" customHeight="1">
      <c r="A251" s="959">
        <v>243</v>
      </c>
      <c r="B251" s="1037"/>
      <c r="C251" s="559"/>
      <c r="D251" s="986" t="s">
        <v>765</v>
      </c>
      <c r="E251" s="979"/>
      <c r="F251" s="980"/>
      <c r="G251" s="981"/>
      <c r="H251" s="982"/>
      <c r="I251" s="987"/>
      <c r="J251" s="988"/>
      <c r="K251" s="988">
        <v>10000</v>
      </c>
      <c r="L251" s="560">
        <f>SUM(I251:K251)</f>
        <v>10000</v>
      </c>
      <c r="M251" s="1002"/>
    </row>
    <row r="252" spans="1:13" ht="18" customHeight="1">
      <c r="A252" s="959">
        <v>244</v>
      </c>
      <c r="B252" s="1037"/>
      <c r="C252" s="559"/>
      <c r="D252" s="989" t="s">
        <v>1022</v>
      </c>
      <c r="E252" s="990"/>
      <c r="F252" s="991"/>
      <c r="G252" s="992"/>
      <c r="H252" s="993"/>
      <c r="I252" s="994"/>
      <c r="J252" s="561"/>
      <c r="K252" s="561">
        <v>9988</v>
      </c>
      <c r="L252" s="562">
        <f>SUM(F252:K252)</f>
        <v>9988</v>
      </c>
      <c r="M252" s="1002"/>
    </row>
    <row r="253" spans="1:13" ht="34.5" customHeight="1">
      <c r="A253" s="959">
        <v>245</v>
      </c>
      <c r="B253" s="1037"/>
      <c r="C253" s="556">
        <v>74</v>
      </c>
      <c r="D253" s="1043" t="s">
        <v>1264</v>
      </c>
      <c r="E253" s="971">
        <f>F253+G253+L255</f>
        <v>0</v>
      </c>
      <c r="F253" s="972"/>
      <c r="G253" s="1038"/>
      <c r="H253" s="974" t="s">
        <v>231</v>
      </c>
      <c r="I253" s="971"/>
      <c r="J253" s="971"/>
      <c r="K253" s="971"/>
      <c r="L253" s="976"/>
      <c r="M253" s="1002"/>
    </row>
    <row r="254" spans="1:13" ht="18" customHeight="1">
      <c r="A254" s="959">
        <v>246</v>
      </c>
      <c r="B254" s="1037"/>
      <c r="C254" s="559"/>
      <c r="D254" s="978" t="s">
        <v>198</v>
      </c>
      <c r="E254" s="979"/>
      <c r="F254" s="980"/>
      <c r="G254" s="981"/>
      <c r="H254" s="982"/>
      <c r="I254" s="983"/>
      <c r="J254" s="984">
        <v>8000</v>
      </c>
      <c r="K254" s="984"/>
      <c r="L254" s="985">
        <f>SUM(I254:K254)</f>
        <v>8000</v>
      </c>
      <c r="M254" s="1002"/>
    </row>
    <row r="255" spans="1:13" ht="18" customHeight="1">
      <c r="A255" s="959">
        <v>247</v>
      </c>
      <c r="B255" s="1037"/>
      <c r="C255" s="559"/>
      <c r="D255" s="986" t="s">
        <v>765</v>
      </c>
      <c r="E255" s="979"/>
      <c r="F255" s="980"/>
      <c r="G255" s="981"/>
      <c r="H255" s="982"/>
      <c r="I255" s="987"/>
      <c r="J255" s="988">
        <v>0</v>
      </c>
      <c r="K255" s="988"/>
      <c r="L255" s="560">
        <f>SUM(I255:K255)</f>
        <v>0</v>
      </c>
      <c r="M255" s="1002"/>
    </row>
    <row r="256" spans="1:13" ht="18" customHeight="1">
      <c r="A256" s="959">
        <v>248</v>
      </c>
      <c r="B256" s="1037"/>
      <c r="C256" s="559"/>
      <c r="D256" s="989" t="s">
        <v>1021</v>
      </c>
      <c r="E256" s="990"/>
      <c r="F256" s="991"/>
      <c r="G256" s="992"/>
      <c r="H256" s="993"/>
      <c r="I256" s="994"/>
      <c r="J256" s="561"/>
      <c r="K256" s="561"/>
      <c r="L256" s="562">
        <f>SUM(F256:K256)</f>
        <v>0</v>
      </c>
      <c r="M256" s="1002"/>
    </row>
    <row r="257" spans="1:13" ht="36" customHeight="1">
      <c r="A257" s="959">
        <v>249</v>
      </c>
      <c r="B257" s="1037"/>
      <c r="C257" s="556">
        <v>75</v>
      </c>
      <c r="D257" s="1041" t="s">
        <v>825</v>
      </c>
      <c r="E257" s="971">
        <f>F257+G257+L259</f>
        <v>12700</v>
      </c>
      <c r="F257" s="972"/>
      <c r="G257" s="1038"/>
      <c r="H257" s="974" t="s">
        <v>80</v>
      </c>
      <c r="I257" s="971"/>
      <c r="J257" s="971"/>
      <c r="K257" s="971"/>
      <c r="L257" s="976"/>
      <c r="M257" s="1002"/>
    </row>
    <row r="258" spans="1:13" ht="18" customHeight="1">
      <c r="A258" s="959">
        <v>250</v>
      </c>
      <c r="B258" s="1037"/>
      <c r="C258" s="559"/>
      <c r="D258" s="978" t="s">
        <v>198</v>
      </c>
      <c r="E258" s="979"/>
      <c r="F258" s="980"/>
      <c r="G258" s="981"/>
      <c r="H258" s="982"/>
      <c r="I258" s="983"/>
      <c r="J258" s="984">
        <v>12700</v>
      </c>
      <c r="K258" s="984"/>
      <c r="L258" s="985">
        <f>SUM(I258:K258)</f>
        <v>12700</v>
      </c>
      <c r="M258" s="1002"/>
    </row>
    <row r="259" spans="1:13" ht="18" customHeight="1">
      <c r="A259" s="959">
        <v>251</v>
      </c>
      <c r="B259" s="1037"/>
      <c r="C259" s="559"/>
      <c r="D259" s="986" t="s">
        <v>765</v>
      </c>
      <c r="E259" s="979"/>
      <c r="F259" s="980"/>
      <c r="G259" s="981"/>
      <c r="H259" s="982"/>
      <c r="I259" s="987"/>
      <c r="J259" s="988">
        <v>12700</v>
      </c>
      <c r="K259" s="988"/>
      <c r="L259" s="560">
        <f>SUM(I259:K259)</f>
        <v>12700</v>
      </c>
      <c r="M259" s="1002"/>
    </row>
    <row r="260" spans="1:13" ht="18" customHeight="1">
      <c r="A260" s="959">
        <v>252</v>
      </c>
      <c r="B260" s="1037"/>
      <c r="C260" s="559"/>
      <c r="D260" s="989" t="s">
        <v>1022</v>
      </c>
      <c r="E260" s="990"/>
      <c r="F260" s="991"/>
      <c r="G260" s="992"/>
      <c r="H260" s="993"/>
      <c r="I260" s="994"/>
      <c r="J260" s="561">
        <v>12700</v>
      </c>
      <c r="K260" s="561"/>
      <c r="L260" s="562">
        <f>SUM(F260:K260)</f>
        <v>12700</v>
      </c>
      <c r="M260" s="1002"/>
    </row>
    <row r="261" spans="1:13" ht="21.75" customHeight="1">
      <c r="A261" s="959">
        <v>253</v>
      </c>
      <c r="B261" s="1037"/>
      <c r="C261" s="559">
        <v>78</v>
      </c>
      <c r="D261" s="1041" t="s">
        <v>826</v>
      </c>
      <c r="E261" s="971">
        <f>F261+G261+L263</f>
        <v>2812</v>
      </c>
      <c r="F261" s="972"/>
      <c r="G261" s="1038"/>
      <c r="H261" s="974" t="s">
        <v>231</v>
      </c>
      <c r="I261" s="971"/>
      <c r="J261" s="971"/>
      <c r="K261" s="971"/>
      <c r="L261" s="976"/>
      <c r="M261" s="1002"/>
    </row>
    <row r="262" spans="1:13" ht="18" customHeight="1">
      <c r="A262" s="959">
        <v>254</v>
      </c>
      <c r="B262" s="1037"/>
      <c r="C262" s="559"/>
      <c r="D262" s="978" t="s">
        <v>198</v>
      </c>
      <c r="E262" s="979"/>
      <c r="F262" s="980"/>
      <c r="G262" s="981"/>
      <c r="H262" s="982"/>
      <c r="I262" s="983">
        <v>2500</v>
      </c>
      <c r="J262" s="984"/>
      <c r="K262" s="984"/>
      <c r="L262" s="985">
        <f>SUM(I262:K262)</f>
        <v>2500</v>
      </c>
      <c r="M262" s="1002"/>
    </row>
    <row r="263" spans="1:13" ht="18" customHeight="1">
      <c r="A263" s="959">
        <v>255</v>
      </c>
      <c r="B263" s="1037"/>
      <c r="C263" s="559"/>
      <c r="D263" s="986" t="s">
        <v>765</v>
      </c>
      <c r="E263" s="979"/>
      <c r="F263" s="980"/>
      <c r="G263" s="981"/>
      <c r="H263" s="982"/>
      <c r="I263" s="987">
        <v>2812</v>
      </c>
      <c r="J263" s="988"/>
      <c r="K263" s="988"/>
      <c r="L263" s="560">
        <f>SUM(I263:K263)</f>
        <v>2812</v>
      </c>
      <c r="M263" s="1002"/>
    </row>
    <row r="264" spans="1:13" ht="18" customHeight="1">
      <c r="A264" s="959">
        <v>256</v>
      </c>
      <c r="B264" s="1037"/>
      <c r="C264" s="559"/>
      <c r="D264" s="989" t="s">
        <v>1021</v>
      </c>
      <c r="E264" s="990"/>
      <c r="F264" s="991"/>
      <c r="G264" s="992"/>
      <c r="H264" s="993"/>
      <c r="I264" s="994">
        <v>2767</v>
      </c>
      <c r="J264" s="561"/>
      <c r="K264" s="561"/>
      <c r="L264" s="562">
        <f>SUM(F264:K264)</f>
        <v>2767</v>
      </c>
      <c r="M264" s="1002"/>
    </row>
    <row r="265" spans="1:13" ht="21.75" customHeight="1">
      <c r="A265" s="959">
        <v>257</v>
      </c>
      <c r="B265" s="1037"/>
      <c r="C265" s="559">
        <v>82</v>
      </c>
      <c r="D265" s="1041" t="s">
        <v>827</v>
      </c>
      <c r="E265" s="971">
        <f>F265+G265+L267</f>
        <v>8200</v>
      </c>
      <c r="F265" s="972"/>
      <c r="G265" s="1038"/>
      <c r="H265" s="974" t="s">
        <v>231</v>
      </c>
      <c r="I265" s="971"/>
      <c r="J265" s="971"/>
      <c r="K265" s="971"/>
      <c r="L265" s="976"/>
      <c r="M265" s="1002"/>
    </row>
    <row r="266" spans="1:13" ht="18" customHeight="1">
      <c r="A266" s="959">
        <v>258</v>
      </c>
      <c r="B266" s="1037"/>
      <c r="C266" s="559"/>
      <c r="D266" s="978" t="s">
        <v>198</v>
      </c>
      <c r="E266" s="979"/>
      <c r="F266" s="980"/>
      <c r="G266" s="981"/>
      <c r="H266" s="982"/>
      <c r="I266" s="983"/>
      <c r="J266" s="984">
        <v>6000</v>
      </c>
      <c r="K266" s="984"/>
      <c r="L266" s="985">
        <f>SUM(I266:K266)</f>
        <v>6000</v>
      </c>
      <c r="M266" s="1002"/>
    </row>
    <row r="267" spans="1:13" ht="18" customHeight="1">
      <c r="A267" s="959">
        <v>259</v>
      </c>
      <c r="B267" s="1037"/>
      <c r="C267" s="559"/>
      <c r="D267" s="986" t="s">
        <v>765</v>
      </c>
      <c r="E267" s="979"/>
      <c r="F267" s="980"/>
      <c r="G267" s="981"/>
      <c r="H267" s="982"/>
      <c r="I267" s="987"/>
      <c r="J267" s="988">
        <v>8200</v>
      </c>
      <c r="K267" s="988"/>
      <c r="L267" s="560">
        <f>SUM(I267:K267)</f>
        <v>8200</v>
      </c>
      <c r="M267" s="1002"/>
    </row>
    <row r="268" spans="1:13" ht="18" customHeight="1">
      <c r="A268" s="959">
        <v>260</v>
      </c>
      <c r="B268" s="1037"/>
      <c r="C268" s="559"/>
      <c r="D268" s="989" t="s">
        <v>1021</v>
      </c>
      <c r="E268" s="990"/>
      <c r="F268" s="991"/>
      <c r="G268" s="992"/>
      <c r="H268" s="993"/>
      <c r="I268" s="994"/>
      <c r="J268" s="561">
        <v>1461</v>
      </c>
      <c r="K268" s="561"/>
      <c r="L268" s="562">
        <f>SUM(F268:K268)</f>
        <v>1461</v>
      </c>
      <c r="M268" s="1002"/>
    </row>
    <row r="269" spans="1:13" ht="34.5" customHeight="1">
      <c r="A269" s="959">
        <v>261</v>
      </c>
      <c r="B269" s="1037"/>
      <c r="C269" s="556">
        <v>83</v>
      </c>
      <c r="D269" s="1041" t="s">
        <v>828</v>
      </c>
      <c r="E269" s="971">
        <f>F269+G269+L271</f>
        <v>2000</v>
      </c>
      <c r="F269" s="972"/>
      <c r="G269" s="1038"/>
      <c r="H269" s="974" t="s">
        <v>231</v>
      </c>
      <c r="I269" s="971"/>
      <c r="J269" s="971"/>
      <c r="K269" s="971"/>
      <c r="L269" s="976"/>
      <c r="M269" s="1002"/>
    </row>
    <row r="270" spans="1:13" ht="18" customHeight="1">
      <c r="A270" s="959">
        <v>262</v>
      </c>
      <c r="B270" s="1037"/>
      <c r="C270" s="559"/>
      <c r="D270" s="978" t="s">
        <v>198</v>
      </c>
      <c r="E270" s="979"/>
      <c r="F270" s="980"/>
      <c r="G270" s="981"/>
      <c r="H270" s="982"/>
      <c r="I270" s="983"/>
      <c r="J270" s="984">
        <v>2000</v>
      </c>
      <c r="K270" s="984"/>
      <c r="L270" s="985">
        <f>SUM(I270:K270)</f>
        <v>2000</v>
      </c>
      <c r="M270" s="1002"/>
    </row>
    <row r="271" spans="1:13" ht="18" customHeight="1">
      <c r="A271" s="959">
        <v>263</v>
      </c>
      <c r="B271" s="1037"/>
      <c r="C271" s="559"/>
      <c r="D271" s="986" t="s">
        <v>765</v>
      </c>
      <c r="E271" s="979"/>
      <c r="F271" s="980"/>
      <c r="G271" s="981"/>
      <c r="H271" s="982"/>
      <c r="I271" s="987"/>
      <c r="J271" s="988">
        <v>2000</v>
      </c>
      <c r="K271" s="988"/>
      <c r="L271" s="560">
        <f>SUM(I271:K271)</f>
        <v>2000</v>
      </c>
      <c r="M271" s="1002"/>
    </row>
    <row r="272" spans="1:13" ht="18" customHeight="1">
      <c r="A272" s="959">
        <v>264</v>
      </c>
      <c r="B272" s="1037"/>
      <c r="C272" s="559"/>
      <c r="D272" s="989" t="s">
        <v>1022</v>
      </c>
      <c r="E272" s="990"/>
      <c r="F272" s="991"/>
      <c r="G272" s="992"/>
      <c r="H272" s="993"/>
      <c r="I272" s="994"/>
      <c r="J272" s="561">
        <v>826</v>
      </c>
      <c r="K272" s="561"/>
      <c r="L272" s="562">
        <f>SUM(F272:K272)</f>
        <v>826</v>
      </c>
      <c r="M272" s="1002"/>
    </row>
    <row r="273" spans="1:13" ht="21.75" customHeight="1">
      <c r="A273" s="959">
        <v>265</v>
      </c>
      <c r="B273" s="1037"/>
      <c r="C273" s="559">
        <v>84</v>
      </c>
      <c r="D273" s="1041" t="s">
        <v>829</v>
      </c>
      <c r="E273" s="971">
        <f>F273+G273+L275</f>
        <v>3000</v>
      </c>
      <c r="F273" s="972"/>
      <c r="G273" s="1038"/>
      <c r="H273" s="974" t="s">
        <v>231</v>
      </c>
      <c r="I273" s="971"/>
      <c r="J273" s="971"/>
      <c r="K273" s="971"/>
      <c r="L273" s="976"/>
      <c r="M273" s="1002"/>
    </row>
    <row r="274" spans="1:13" ht="18" customHeight="1">
      <c r="A274" s="959">
        <v>266</v>
      </c>
      <c r="B274" s="1037"/>
      <c r="C274" s="559"/>
      <c r="D274" s="978" t="s">
        <v>198</v>
      </c>
      <c r="E274" s="979"/>
      <c r="F274" s="980"/>
      <c r="G274" s="981"/>
      <c r="H274" s="982"/>
      <c r="I274" s="983"/>
      <c r="J274" s="984">
        <v>3000</v>
      </c>
      <c r="K274" s="984"/>
      <c r="L274" s="985">
        <f>SUM(I274:K274)</f>
        <v>3000</v>
      </c>
      <c r="M274" s="1002"/>
    </row>
    <row r="275" spans="1:13" ht="18" customHeight="1">
      <c r="A275" s="959">
        <v>267</v>
      </c>
      <c r="B275" s="1037"/>
      <c r="C275" s="559"/>
      <c r="D275" s="986" t="s">
        <v>765</v>
      </c>
      <c r="E275" s="979"/>
      <c r="F275" s="980"/>
      <c r="G275" s="981"/>
      <c r="H275" s="982"/>
      <c r="I275" s="987"/>
      <c r="J275" s="988">
        <v>3000</v>
      </c>
      <c r="K275" s="988"/>
      <c r="L275" s="560">
        <f>SUM(I275:K275)</f>
        <v>3000</v>
      </c>
      <c r="M275" s="1002"/>
    </row>
    <row r="276" spans="1:13" ht="18" customHeight="1">
      <c r="A276" s="959">
        <v>268</v>
      </c>
      <c r="B276" s="1037"/>
      <c r="C276" s="559"/>
      <c r="D276" s="989" t="s">
        <v>1022</v>
      </c>
      <c r="E276" s="990"/>
      <c r="F276" s="991"/>
      <c r="G276" s="992"/>
      <c r="H276" s="993"/>
      <c r="I276" s="994"/>
      <c r="J276" s="561">
        <v>2784</v>
      </c>
      <c r="K276" s="561"/>
      <c r="L276" s="562">
        <f>SUM(F276:K276)</f>
        <v>2784</v>
      </c>
      <c r="M276" s="1002"/>
    </row>
    <row r="277" spans="1:13" ht="21.75" customHeight="1">
      <c r="A277" s="959">
        <v>269</v>
      </c>
      <c r="B277" s="1037"/>
      <c r="C277" s="559">
        <v>88</v>
      </c>
      <c r="D277" s="1041" t="s">
        <v>830</v>
      </c>
      <c r="E277" s="971">
        <f>F277+G277+L279</f>
        <v>4700</v>
      </c>
      <c r="F277" s="972"/>
      <c r="G277" s="1038"/>
      <c r="H277" s="974" t="s">
        <v>231</v>
      </c>
      <c r="I277" s="971"/>
      <c r="J277" s="971"/>
      <c r="K277" s="971"/>
      <c r="L277" s="976"/>
      <c r="M277" s="1002"/>
    </row>
    <row r="278" spans="1:13" ht="18" customHeight="1">
      <c r="A278" s="959">
        <v>270</v>
      </c>
      <c r="B278" s="1037"/>
      <c r="C278" s="559"/>
      <c r="D278" s="978" t="s">
        <v>198</v>
      </c>
      <c r="E278" s="979"/>
      <c r="F278" s="980"/>
      <c r="G278" s="981"/>
      <c r="H278" s="982"/>
      <c r="I278" s="983">
        <v>700</v>
      </c>
      <c r="J278" s="984">
        <v>4000</v>
      </c>
      <c r="K278" s="984"/>
      <c r="L278" s="985">
        <f>SUM(I278:K278)</f>
        <v>4700</v>
      </c>
      <c r="M278" s="1002"/>
    </row>
    <row r="279" spans="1:13" ht="18" customHeight="1">
      <c r="A279" s="959">
        <v>271</v>
      </c>
      <c r="B279" s="1037"/>
      <c r="C279" s="559"/>
      <c r="D279" s="986" t="s">
        <v>765</v>
      </c>
      <c r="E279" s="979"/>
      <c r="F279" s="980"/>
      <c r="G279" s="981"/>
      <c r="H279" s="982"/>
      <c r="I279" s="987">
        <v>700</v>
      </c>
      <c r="J279" s="988">
        <v>4000</v>
      </c>
      <c r="K279" s="988"/>
      <c r="L279" s="560">
        <f>SUM(I279:K279)</f>
        <v>4700</v>
      </c>
      <c r="M279" s="1002"/>
    </row>
    <row r="280" spans="1:13" ht="18" customHeight="1">
      <c r="A280" s="959">
        <v>272</v>
      </c>
      <c r="B280" s="1037"/>
      <c r="C280" s="559"/>
      <c r="D280" s="989" t="s">
        <v>1022</v>
      </c>
      <c r="E280" s="990"/>
      <c r="F280" s="991"/>
      <c r="G280" s="992"/>
      <c r="H280" s="993"/>
      <c r="I280" s="994"/>
      <c r="J280" s="561"/>
      <c r="K280" s="561"/>
      <c r="L280" s="562">
        <f>SUM(F280:K280)</f>
        <v>0</v>
      </c>
      <c r="M280" s="1002"/>
    </row>
    <row r="281" spans="1:13" ht="21.75" customHeight="1">
      <c r="A281" s="959">
        <v>273</v>
      </c>
      <c r="B281" s="1037"/>
      <c r="C281" s="559">
        <v>89</v>
      </c>
      <c r="D281" s="1041" t="s">
        <v>831</v>
      </c>
      <c r="E281" s="971">
        <f>F281+G281+L283</f>
        <v>15000</v>
      </c>
      <c r="F281" s="972"/>
      <c r="G281" s="1038"/>
      <c r="H281" s="974" t="s">
        <v>231</v>
      </c>
      <c r="I281" s="971"/>
      <c r="J281" s="971"/>
      <c r="K281" s="971"/>
      <c r="L281" s="976"/>
      <c r="M281" s="1002"/>
    </row>
    <row r="282" spans="1:13" ht="18" customHeight="1">
      <c r="A282" s="959">
        <v>274</v>
      </c>
      <c r="B282" s="1037"/>
      <c r="C282" s="559"/>
      <c r="D282" s="978" t="s">
        <v>198</v>
      </c>
      <c r="E282" s="979"/>
      <c r="F282" s="980"/>
      <c r="G282" s="981"/>
      <c r="H282" s="982"/>
      <c r="I282" s="983">
        <v>5341</v>
      </c>
      <c r="J282" s="984">
        <v>5159</v>
      </c>
      <c r="K282" s="984"/>
      <c r="L282" s="985">
        <f>SUM(I282:K282)</f>
        <v>10500</v>
      </c>
      <c r="M282" s="1002"/>
    </row>
    <row r="283" spans="1:13" ht="18" customHeight="1">
      <c r="A283" s="959">
        <v>275</v>
      </c>
      <c r="B283" s="1037"/>
      <c r="C283" s="559"/>
      <c r="D283" s="986" t="s">
        <v>765</v>
      </c>
      <c r="E283" s="979"/>
      <c r="F283" s="980"/>
      <c r="G283" s="981"/>
      <c r="H283" s="982"/>
      <c r="I283" s="987">
        <v>5341</v>
      </c>
      <c r="J283" s="988">
        <v>9659</v>
      </c>
      <c r="K283" s="988"/>
      <c r="L283" s="560">
        <f>SUM(I283:K283)</f>
        <v>15000</v>
      </c>
      <c r="M283" s="1002"/>
    </row>
    <row r="284" spans="1:13" ht="18" customHeight="1">
      <c r="A284" s="959">
        <v>276</v>
      </c>
      <c r="B284" s="1037"/>
      <c r="C284" s="559"/>
      <c r="D284" s="989" t="s">
        <v>1021</v>
      </c>
      <c r="E284" s="990"/>
      <c r="F284" s="991"/>
      <c r="G284" s="992"/>
      <c r="H284" s="993"/>
      <c r="I284" s="994">
        <v>3816</v>
      </c>
      <c r="J284" s="561">
        <v>4137</v>
      </c>
      <c r="K284" s="561"/>
      <c r="L284" s="562">
        <f>SUM(F284:K284)</f>
        <v>7953</v>
      </c>
      <c r="M284" s="1002"/>
    </row>
    <row r="285" spans="1:13" ht="22.5" customHeight="1">
      <c r="A285" s="959">
        <v>277</v>
      </c>
      <c r="B285" s="1037"/>
      <c r="C285" s="559">
        <v>90</v>
      </c>
      <c r="D285" s="1041" t="s">
        <v>611</v>
      </c>
      <c r="E285" s="971">
        <f>F285+G285+L286</f>
        <v>7600</v>
      </c>
      <c r="F285" s="972"/>
      <c r="G285" s="1038">
        <v>4000</v>
      </c>
      <c r="H285" s="998"/>
      <c r="I285" s="987"/>
      <c r="J285" s="987"/>
      <c r="K285" s="988"/>
      <c r="L285" s="563"/>
      <c r="M285" s="1002"/>
    </row>
    <row r="286" spans="1:13" ht="18" customHeight="1">
      <c r="A286" s="959">
        <v>278</v>
      </c>
      <c r="B286" s="1037"/>
      <c r="C286" s="559"/>
      <c r="D286" s="986" t="s">
        <v>765</v>
      </c>
      <c r="E286" s="971"/>
      <c r="F286" s="972"/>
      <c r="G286" s="1038"/>
      <c r="H286" s="998"/>
      <c r="I286" s="987"/>
      <c r="J286" s="987"/>
      <c r="K286" s="988">
        <v>3600</v>
      </c>
      <c r="L286" s="560">
        <f>SUM(I286:K286)</f>
        <v>3600</v>
      </c>
      <c r="M286" s="1002"/>
    </row>
    <row r="287" spans="1:13" ht="18" customHeight="1">
      <c r="A287" s="959">
        <v>279</v>
      </c>
      <c r="B287" s="1037"/>
      <c r="C287" s="559"/>
      <c r="D287" s="989" t="s">
        <v>1022</v>
      </c>
      <c r="E287" s="995"/>
      <c r="F287" s="996"/>
      <c r="G287" s="1044"/>
      <c r="H287" s="998"/>
      <c r="I287" s="987"/>
      <c r="J287" s="987"/>
      <c r="K287" s="561">
        <v>3600</v>
      </c>
      <c r="L287" s="562">
        <f>SUM(F287:K287)</f>
        <v>3600</v>
      </c>
      <c r="M287" s="1002"/>
    </row>
    <row r="288" spans="1:13" ht="21.75" customHeight="1">
      <c r="A288" s="959">
        <v>280</v>
      </c>
      <c r="B288" s="1037"/>
      <c r="C288" s="559">
        <v>91</v>
      </c>
      <c r="D288" s="1041" t="s">
        <v>832</v>
      </c>
      <c r="E288" s="971">
        <f>F288+G288+L290</f>
        <v>11000</v>
      </c>
      <c r="F288" s="972"/>
      <c r="G288" s="1038"/>
      <c r="H288" s="974" t="s">
        <v>231</v>
      </c>
      <c r="I288" s="971"/>
      <c r="J288" s="971"/>
      <c r="K288" s="971"/>
      <c r="L288" s="976"/>
      <c r="M288" s="1002"/>
    </row>
    <row r="289" spans="1:13" ht="18" customHeight="1">
      <c r="A289" s="959">
        <v>281</v>
      </c>
      <c r="B289" s="1037"/>
      <c r="C289" s="559"/>
      <c r="D289" s="978" t="s">
        <v>198</v>
      </c>
      <c r="E289" s="979"/>
      <c r="F289" s="980"/>
      <c r="G289" s="981"/>
      <c r="H289" s="982"/>
      <c r="I289" s="983"/>
      <c r="J289" s="984">
        <f>5000+6000</f>
        <v>11000</v>
      </c>
      <c r="K289" s="984"/>
      <c r="L289" s="985">
        <f>SUM(I289:K289)</f>
        <v>11000</v>
      </c>
      <c r="M289" s="1002"/>
    </row>
    <row r="290" spans="1:13" ht="18" customHeight="1">
      <c r="A290" s="959">
        <v>282</v>
      </c>
      <c r="B290" s="1037"/>
      <c r="C290" s="559"/>
      <c r="D290" s="986" t="s">
        <v>765</v>
      </c>
      <c r="E290" s="979"/>
      <c r="F290" s="980"/>
      <c r="G290" s="981"/>
      <c r="H290" s="982"/>
      <c r="I290" s="987"/>
      <c r="J290" s="988">
        <v>11000</v>
      </c>
      <c r="K290" s="988"/>
      <c r="L290" s="560">
        <f>SUM(I290:K290)</f>
        <v>11000</v>
      </c>
      <c r="M290" s="1002"/>
    </row>
    <row r="291" spans="1:13" ht="18" customHeight="1">
      <c r="A291" s="959">
        <v>283</v>
      </c>
      <c r="B291" s="1037"/>
      <c r="C291" s="559"/>
      <c r="D291" s="989" t="s">
        <v>1022</v>
      </c>
      <c r="E291" s="990"/>
      <c r="F291" s="991"/>
      <c r="G291" s="992"/>
      <c r="H291" s="993"/>
      <c r="I291" s="994"/>
      <c r="J291" s="561">
        <v>10811</v>
      </c>
      <c r="K291" s="561"/>
      <c r="L291" s="562">
        <f>SUM(F291:K291)</f>
        <v>10811</v>
      </c>
      <c r="M291" s="1002"/>
    </row>
    <row r="292" spans="1:13" ht="33.75" customHeight="1">
      <c r="A292" s="959">
        <v>284</v>
      </c>
      <c r="B292" s="1037"/>
      <c r="C292" s="556">
        <v>92</v>
      </c>
      <c r="D292" s="1041" t="s">
        <v>833</v>
      </c>
      <c r="E292" s="971">
        <f>F292+G292+L294</f>
        <v>3345</v>
      </c>
      <c r="F292" s="972"/>
      <c r="G292" s="1038"/>
      <c r="H292" s="974" t="s">
        <v>231</v>
      </c>
      <c r="I292" s="971"/>
      <c r="J292" s="971"/>
      <c r="K292" s="971"/>
      <c r="L292" s="976"/>
      <c r="M292" s="1002"/>
    </row>
    <row r="293" spans="1:13" ht="18" customHeight="1">
      <c r="A293" s="959">
        <v>285</v>
      </c>
      <c r="B293" s="1037"/>
      <c r="C293" s="559"/>
      <c r="D293" s="978" t="s">
        <v>198</v>
      </c>
      <c r="E293" s="979"/>
      <c r="F293" s="980"/>
      <c r="G293" s="981"/>
      <c r="H293" s="982"/>
      <c r="I293" s="983"/>
      <c r="J293" s="984">
        <v>3600</v>
      </c>
      <c r="K293" s="984"/>
      <c r="L293" s="985">
        <f>SUM(I293:K293)</f>
        <v>3600</v>
      </c>
      <c r="M293" s="1002"/>
    </row>
    <row r="294" spans="1:13" ht="18" customHeight="1">
      <c r="A294" s="959">
        <v>286</v>
      </c>
      <c r="B294" s="1037"/>
      <c r="C294" s="559"/>
      <c r="D294" s="986" t="s">
        <v>765</v>
      </c>
      <c r="E294" s="979"/>
      <c r="F294" s="980"/>
      <c r="G294" s="981"/>
      <c r="H294" s="982"/>
      <c r="I294" s="987"/>
      <c r="J294" s="988">
        <v>3345</v>
      </c>
      <c r="K294" s="988"/>
      <c r="L294" s="560">
        <f>SUM(I294:K294)</f>
        <v>3345</v>
      </c>
      <c r="M294" s="1002"/>
    </row>
    <row r="295" spans="1:13" ht="18" customHeight="1">
      <c r="A295" s="959">
        <v>287</v>
      </c>
      <c r="B295" s="1037"/>
      <c r="C295" s="559"/>
      <c r="D295" s="989" t="s">
        <v>1021</v>
      </c>
      <c r="E295" s="990"/>
      <c r="F295" s="991"/>
      <c r="G295" s="992"/>
      <c r="H295" s="993"/>
      <c r="I295" s="994"/>
      <c r="J295" s="561">
        <v>2350</v>
      </c>
      <c r="K295" s="561"/>
      <c r="L295" s="562">
        <f>SUM(F295:K295)</f>
        <v>2350</v>
      </c>
      <c r="M295" s="1002"/>
    </row>
    <row r="296" spans="1:13" ht="33.75" customHeight="1">
      <c r="A296" s="959">
        <v>288</v>
      </c>
      <c r="B296" s="1037"/>
      <c r="C296" s="556">
        <v>93</v>
      </c>
      <c r="D296" s="1041" t="s">
        <v>834</v>
      </c>
      <c r="E296" s="971">
        <f>F296+G296+L298</f>
        <v>1714</v>
      </c>
      <c r="F296" s="972"/>
      <c r="G296" s="1038"/>
      <c r="H296" s="974" t="s">
        <v>231</v>
      </c>
      <c r="I296" s="971"/>
      <c r="J296" s="971"/>
      <c r="K296" s="971"/>
      <c r="L296" s="976"/>
      <c r="M296" s="1002"/>
    </row>
    <row r="297" spans="1:13" ht="18.75" customHeight="1">
      <c r="A297" s="959">
        <v>289</v>
      </c>
      <c r="B297" s="1037"/>
      <c r="C297" s="559"/>
      <c r="D297" s="978" t="s">
        <v>198</v>
      </c>
      <c r="E297" s="979"/>
      <c r="F297" s="980"/>
      <c r="G297" s="981"/>
      <c r="H297" s="982"/>
      <c r="I297" s="983"/>
      <c r="J297" s="984">
        <v>2800</v>
      </c>
      <c r="K297" s="984"/>
      <c r="L297" s="985">
        <f>SUM(I297:K297)</f>
        <v>2800</v>
      </c>
      <c r="M297" s="1002"/>
    </row>
    <row r="298" spans="1:13" ht="18.75" customHeight="1">
      <c r="A298" s="959">
        <v>290</v>
      </c>
      <c r="B298" s="1037"/>
      <c r="C298" s="559"/>
      <c r="D298" s="986" t="s">
        <v>765</v>
      </c>
      <c r="E298" s="979"/>
      <c r="F298" s="980"/>
      <c r="G298" s="981"/>
      <c r="H298" s="982"/>
      <c r="I298" s="987"/>
      <c r="J298" s="988">
        <v>1714</v>
      </c>
      <c r="K298" s="988"/>
      <c r="L298" s="560">
        <f>SUM(I298:K298)</f>
        <v>1714</v>
      </c>
      <c r="M298" s="1002"/>
    </row>
    <row r="299" spans="1:13" ht="18.75" customHeight="1">
      <c r="A299" s="959">
        <v>291</v>
      </c>
      <c r="B299" s="1037"/>
      <c r="C299" s="559"/>
      <c r="D299" s="989" t="s">
        <v>1021</v>
      </c>
      <c r="E299" s="990"/>
      <c r="F299" s="991"/>
      <c r="G299" s="992"/>
      <c r="H299" s="993"/>
      <c r="I299" s="994"/>
      <c r="J299" s="561">
        <v>1715</v>
      </c>
      <c r="K299" s="561"/>
      <c r="L299" s="562">
        <f>SUM(F299:K299)</f>
        <v>1715</v>
      </c>
      <c r="M299" s="1002"/>
    </row>
    <row r="300" spans="1:13" ht="21.75" customHeight="1">
      <c r="A300" s="959">
        <v>292</v>
      </c>
      <c r="B300" s="1037"/>
      <c r="C300" s="559">
        <v>94</v>
      </c>
      <c r="D300" s="564" t="s">
        <v>835</v>
      </c>
      <c r="E300" s="971">
        <f>F300+G300+L302</f>
        <v>307292</v>
      </c>
      <c r="F300" s="972"/>
      <c r="G300" s="1038"/>
      <c r="H300" s="974" t="s">
        <v>231</v>
      </c>
      <c r="I300" s="971"/>
      <c r="J300" s="971"/>
      <c r="K300" s="971"/>
      <c r="L300" s="976"/>
      <c r="M300" s="1002"/>
    </row>
    <row r="301" spans="1:13" ht="18" customHeight="1">
      <c r="A301" s="959">
        <v>293</v>
      </c>
      <c r="B301" s="1037"/>
      <c r="C301" s="559"/>
      <c r="D301" s="978" t="s">
        <v>198</v>
      </c>
      <c r="E301" s="979"/>
      <c r="F301" s="980"/>
      <c r="G301" s="981"/>
      <c r="H301" s="982"/>
      <c r="I301" s="983"/>
      <c r="J301" s="984">
        <f>100000+62000</f>
        <v>162000</v>
      </c>
      <c r="K301" s="984"/>
      <c r="L301" s="985">
        <f>SUM(I301:K301)</f>
        <v>162000</v>
      </c>
      <c r="M301" s="1002"/>
    </row>
    <row r="302" spans="1:13" ht="18" customHeight="1">
      <c r="A302" s="959">
        <v>294</v>
      </c>
      <c r="B302" s="1037"/>
      <c r="C302" s="559"/>
      <c r="D302" s="986" t="s">
        <v>765</v>
      </c>
      <c r="E302" s="979"/>
      <c r="F302" s="980"/>
      <c r="G302" s="981"/>
      <c r="H302" s="982"/>
      <c r="I302" s="987"/>
      <c r="J302" s="988">
        <v>307292</v>
      </c>
      <c r="K302" s="988"/>
      <c r="L302" s="560">
        <f>SUM(I302:K302)</f>
        <v>307292</v>
      </c>
      <c r="M302" s="1002"/>
    </row>
    <row r="303" spans="1:13" ht="18" customHeight="1">
      <c r="A303" s="959">
        <v>295</v>
      </c>
      <c r="B303" s="1037"/>
      <c r="C303" s="559"/>
      <c r="D303" s="989" t="s">
        <v>1021</v>
      </c>
      <c r="E303" s="990"/>
      <c r="F303" s="991"/>
      <c r="G303" s="992"/>
      <c r="H303" s="993"/>
      <c r="I303" s="994"/>
      <c r="J303" s="561"/>
      <c r="K303" s="561"/>
      <c r="L303" s="562">
        <f>SUM(F303:K303)</f>
        <v>0</v>
      </c>
      <c r="M303" s="1002"/>
    </row>
    <row r="304" spans="1:13" ht="21.75" customHeight="1">
      <c r="A304" s="959">
        <v>296</v>
      </c>
      <c r="B304" s="1037"/>
      <c r="C304" s="559">
        <v>95</v>
      </c>
      <c r="D304" s="1041" t="s">
        <v>836</v>
      </c>
      <c r="E304" s="971">
        <f>F304+G304+L306</f>
        <v>700</v>
      </c>
      <c r="F304" s="972"/>
      <c r="G304" s="1038"/>
      <c r="H304" s="974" t="s">
        <v>231</v>
      </c>
      <c r="I304" s="971"/>
      <c r="J304" s="971"/>
      <c r="K304" s="971"/>
      <c r="L304" s="976"/>
      <c r="M304" s="1002"/>
    </row>
    <row r="305" spans="1:13" ht="18" customHeight="1">
      <c r="A305" s="959">
        <v>297</v>
      </c>
      <c r="B305" s="1037"/>
      <c r="C305" s="559"/>
      <c r="D305" s="978" t="s">
        <v>198</v>
      </c>
      <c r="E305" s="979"/>
      <c r="F305" s="980"/>
      <c r="G305" s="981"/>
      <c r="H305" s="982"/>
      <c r="I305" s="983"/>
      <c r="J305" s="984">
        <v>700</v>
      </c>
      <c r="K305" s="984"/>
      <c r="L305" s="985">
        <f>SUM(I305:K305)</f>
        <v>700</v>
      </c>
      <c r="M305" s="1002"/>
    </row>
    <row r="306" spans="1:13" ht="18" customHeight="1">
      <c r="A306" s="959">
        <v>298</v>
      </c>
      <c r="B306" s="1037"/>
      <c r="C306" s="559"/>
      <c r="D306" s="986" t="s">
        <v>765</v>
      </c>
      <c r="E306" s="979"/>
      <c r="F306" s="980"/>
      <c r="G306" s="981"/>
      <c r="H306" s="982"/>
      <c r="I306" s="987"/>
      <c r="J306" s="988">
        <v>700</v>
      </c>
      <c r="K306" s="988"/>
      <c r="L306" s="560">
        <f>SUM(I306:K306)</f>
        <v>700</v>
      </c>
      <c r="M306" s="1002"/>
    </row>
    <row r="307" spans="1:13" ht="18" customHeight="1">
      <c r="A307" s="959">
        <v>299</v>
      </c>
      <c r="B307" s="1037"/>
      <c r="C307" s="559"/>
      <c r="D307" s="989" t="s">
        <v>1022</v>
      </c>
      <c r="E307" s="990"/>
      <c r="F307" s="991"/>
      <c r="G307" s="992"/>
      <c r="H307" s="993"/>
      <c r="I307" s="994"/>
      <c r="J307" s="561">
        <v>700</v>
      </c>
      <c r="K307" s="561"/>
      <c r="L307" s="562">
        <f>SUM(F307:K307)</f>
        <v>700</v>
      </c>
      <c r="M307" s="1002"/>
    </row>
    <row r="308" spans="1:13" ht="21.75" customHeight="1">
      <c r="A308" s="959">
        <v>300</v>
      </c>
      <c r="B308" s="1037"/>
      <c r="C308" s="559">
        <v>97</v>
      </c>
      <c r="D308" s="1041" t="s">
        <v>837</v>
      </c>
      <c r="E308" s="971">
        <f>F308+G308+L310</f>
        <v>1200</v>
      </c>
      <c r="F308" s="972"/>
      <c r="G308" s="1038"/>
      <c r="H308" s="974" t="s">
        <v>231</v>
      </c>
      <c r="I308" s="971"/>
      <c r="J308" s="971"/>
      <c r="K308" s="971"/>
      <c r="L308" s="976"/>
      <c r="M308" s="1002"/>
    </row>
    <row r="309" spans="1:13" ht="18" customHeight="1">
      <c r="A309" s="959">
        <v>301</v>
      </c>
      <c r="B309" s="1037"/>
      <c r="C309" s="559"/>
      <c r="D309" s="978" t="s">
        <v>198</v>
      </c>
      <c r="E309" s="979"/>
      <c r="F309" s="980"/>
      <c r="G309" s="981"/>
      <c r="H309" s="982"/>
      <c r="I309" s="983"/>
      <c r="J309" s="984">
        <v>1200</v>
      </c>
      <c r="K309" s="984"/>
      <c r="L309" s="985">
        <f>SUM(I309:K309)</f>
        <v>1200</v>
      </c>
      <c r="M309" s="1002"/>
    </row>
    <row r="310" spans="1:13" ht="18" customHeight="1">
      <c r="A310" s="959">
        <v>302</v>
      </c>
      <c r="B310" s="1037"/>
      <c r="C310" s="559"/>
      <c r="D310" s="986" t="s">
        <v>765</v>
      </c>
      <c r="E310" s="979"/>
      <c r="F310" s="980"/>
      <c r="G310" s="981"/>
      <c r="H310" s="982"/>
      <c r="I310" s="987"/>
      <c r="J310" s="988">
        <v>1200</v>
      </c>
      <c r="K310" s="988"/>
      <c r="L310" s="560">
        <f>SUM(I310:K310)</f>
        <v>1200</v>
      </c>
      <c r="M310" s="1002"/>
    </row>
    <row r="311" spans="1:13" ht="18" customHeight="1">
      <c r="A311" s="959">
        <v>303</v>
      </c>
      <c r="B311" s="1037"/>
      <c r="C311" s="559"/>
      <c r="D311" s="989" t="s">
        <v>1022</v>
      </c>
      <c r="E311" s="990"/>
      <c r="F311" s="991"/>
      <c r="G311" s="992"/>
      <c r="H311" s="993"/>
      <c r="I311" s="994"/>
      <c r="J311" s="561">
        <v>1130</v>
      </c>
      <c r="K311" s="561"/>
      <c r="L311" s="562">
        <f>SUM(F311:K311)</f>
        <v>1130</v>
      </c>
      <c r="M311" s="1002"/>
    </row>
    <row r="312" spans="1:13" ht="51" customHeight="1">
      <c r="A312" s="959">
        <v>304</v>
      </c>
      <c r="B312" s="1037"/>
      <c r="C312" s="556">
        <v>98</v>
      </c>
      <c r="D312" s="1041" t="s">
        <v>838</v>
      </c>
      <c r="E312" s="971">
        <f>F312+G312+L314</f>
        <v>121342</v>
      </c>
      <c r="F312" s="972"/>
      <c r="G312" s="1038"/>
      <c r="H312" s="974" t="s">
        <v>80</v>
      </c>
      <c r="I312" s="971"/>
      <c r="J312" s="971"/>
      <c r="K312" s="971"/>
      <c r="L312" s="976"/>
      <c r="M312" s="1002"/>
    </row>
    <row r="313" spans="1:13" ht="18" customHeight="1">
      <c r="A313" s="959">
        <v>305</v>
      </c>
      <c r="B313" s="1037"/>
      <c r="C313" s="559"/>
      <c r="D313" s="978" t="s">
        <v>198</v>
      </c>
      <c r="E313" s="979"/>
      <c r="F313" s="980"/>
      <c r="G313" s="981"/>
      <c r="H313" s="982"/>
      <c r="I313" s="983"/>
      <c r="J313" s="984"/>
      <c r="K313" s="984">
        <v>1444944</v>
      </c>
      <c r="L313" s="985">
        <f>SUM(I313:K313)</f>
        <v>1444944</v>
      </c>
      <c r="M313" s="1002"/>
    </row>
    <row r="314" spans="1:13" ht="18" customHeight="1">
      <c r="A314" s="959">
        <v>306</v>
      </c>
      <c r="B314" s="1037"/>
      <c r="C314" s="559"/>
      <c r="D314" s="986" t="s">
        <v>765</v>
      </c>
      <c r="E314" s="979"/>
      <c r="F314" s="980"/>
      <c r="G314" s="981"/>
      <c r="H314" s="982"/>
      <c r="I314" s="987"/>
      <c r="J314" s="988"/>
      <c r="K314" s="988">
        <v>121342</v>
      </c>
      <c r="L314" s="560">
        <f>SUM(I314:K314)</f>
        <v>121342</v>
      </c>
      <c r="M314" s="1002"/>
    </row>
    <row r="315" spans="1:13" ht="18" customHeight="1">
      <c r="A315" s="959">
        <v>307</v>
      </c>
      <c r="B315" s="1037"/>
      <c r="C315" s="559"/>
      <c r="D315" s="989" t="s">
        <v>1021</v>
      </c>
      <c r="E315" s="990"/>
      <c r="F315" s="991"/>
      <c r="G315" s="992"/>
      <c r="H315" s="993"/>
      <c r="I315" s="994"/>
      <c r="J315" s="561"/>
      <c r="K315" s="561">
        <v>121342</v>
      </c>
      <c r="L315" s="562">
        <f>SUM(F315:K315)</f>
        <v>121342</v>
      </c>
      <c r="M315" s="1002"/>
    </row>
    <row r="316" spans="1:13" ht="21.75" customHeight="1">
      <c r="A316" s="959">
        <v>308</v>
      </c>
      <c r="B316" s="1037"/>
      <c r="C316" s="559">
        <v>99</v>
      </c>
      <c r="D316" s="564" t="s">
        <v>839</v>
      </c>
      <c r="E316" s="971">
        <f>F316+G316+L318</f>
        <v>7500</v>
      </c>
      <c r="F316" s="972"/>
      <c r="G316" s="1038"/>
      <c r="H316" s="974" t="s">
        <v>231</v>
      </c>
      <c r="I316" s="971"/>
      <c r="J316" s="971"/>
      <c r="K316" s="971"/>
      <c r="L316" s="976"/>
      <c r="M316" s="1002"/>
    </row>
    <row r="317" spans="1:13" ht="18" customHeight="1">
      <c r="A317" s="959">
        <v>309</v>
      </c>
      <c r="B317" s="1037"/>
      <c r="C317" s="559"/>
      <c r="D317" s="978" t="s">
        <v>198</v>
      </c>
      <c r="E317" s="979"/>
      <c r="F317" s="980"/>
      <c r="G317" s="981"/>
      <c r="H317" s="982"/>
      <c r="I317" s="983"/>
      <c r="J317" s="984">
        <v>10000</v>
      </c>
      <c r="K317" s="984"/>
      <c r="L317" s="985">
        <f>SUM(I317:K317)</f>
        <v>10000</v>
      </c>
      <c r="M317" s="1002"/>
    </row>
    <row r="318" spans="1:13" ht="18" customHeight="1">
      <c r="A318" s="959">
        <v>310</v>
      </c>
      <c r="B318" s="1037"/>
      <c r="C318" s="559"/>
      <c r="D318" s="986" t="s">
        <v>765</v>
      </c>
      <c r="E318" s="979"/>
      <c r="F318" s="980"/>
      <c r="G318" s="981"/>
      <c r="H318" s="982"/>
      <c r="I318" s="987"/>
      <c r="J318" s="988">
        <v>7500</v>
      </c>
      <c r="K318" s="988"/>
      <c r="L318" s="560">
        <f>SUM(I318:K318)</f>
        <v>7500</v>
      </c>
      <c r="M318" s="1002"/>
    </row>
    <row r="319" spans="1:13" ht="18" customHeight="1">
      <c r="A319" s="959">
        <v>311</v>
      </c>
      <c r="B319" s="1037"/>
      <c r="C319" s="559"/>
      <c r="D319" s="989" t="s">
        <v>1021</v>
      </c>
      <c r="E319" s="990"/>
      <c r="F319" s="991"/>
      <c r="G319" s="992"/>
      <c r="H319" s="993"/>
      <c r="I319" s="994"/>
      <c r="J319" s="561">
        <v>7300</v>
      </c>
      <c r="K319" s="561"/>
      <c r="L319" s="562">
        <f>SUM(F319:K319)</f>
        <v>7300</v>
      </c>
      <c r="M319" s="1002"/>
    </row>
    <row r="320" spans="1:13" ht="33" customHeight="1">
      <c r="A320" s="959">
        <v>312</v>
      </c>
      <c r="B320" s="1037"/>
      <c r="C320" s="556">
        <v>101</v>
      </c>
      <c r="D320" s="564" t="s">
        <v>840</v>
      </c>
      <c r="E320" s="971">
        <f>F320+G320+L322</f>
        <v>1500</v>
      </c>
      <c r="F320" s="972"/>
      <c r="G320" s="1038"/>
      <c r="H320" s="974" t="s">
        <v>231</v>
      </c>
      <c r="I320" s="971"/>
      <c r="J320" s="971"/>
      <c r="K320" s="971"/>
      <c r="L320" s="976"/>
      <c r="M320" s="1002"/>
    </row>
    <row r="321" spans="1:13" ht="18" customHeight="1">
      <c r="A321" s="959">
        <v>313</v>
      </c>
      <c r="B321" s="1037"/>
      <c r="C321" s="559"/>
      <c r="D321" s="978" t="s">
        <v>198</v>
      </c>
      <c r="E321" s="979"/>
      <c r="F321" s="980"/>
      <c r="G321" s="981"/>
      <c r="H321" s="982"/>
      <c r="I321" s="983"/>
      <c r="J321" s="984">
        <v>1500</v>
      </c>
      <c r="K321" s="984"/>
      <c r="L321" s="985">
        <f>SUM(I321:K321)</f>
        <v>1500</v>
      </c>
      <c r="M321" s="1002"/>
    </row>
    <row r="322" spans="1:13" ht="18" customHeight="1">
      <c r="A322" s="959">
        <v>314</v>
      </c>
      <c r="B322" s="1037"/>
      <c r="C322" s="559"/>
      <c r="D322" s="986" t="s">
        <v>765</v>
      </c>
      <c r="E322" s="979"/>
      <c r="F322" s="980"/>
      <c r="G322" s="981"/>
      <c r="H322" s="982"/>
      <c r="I322" s="987"/>
      <c r="J322" s="988">
        <v>1500</v>
      </c>
      <c r="K322" s="988"/>
      <c r="L322" s="560">
        <f>SUM(I322:K322)</f>
        <v>1500</v>
      </c>
      <c r="M322" s="1002"/>
    </row>
    <row r="323" spans="1:13" ht="18" customHeight="1">
      <c r="A323" s="959">
        <v>315</v>
      </c>
      <c r="B323" s="1037"/>
      <c r="C323" s="559"/>
      <c r="D323" s="989" t="s">
        <v>1022</v>
      </c>
      <c r="E323" s="990"/>
      <c r="F323" s="991"/>
      <c r="G323" s="992"/>
      <c r="H323" s="993"/>
      <c r="I323" s="994"/>
      <c r="J323" s="561">
        <v>1500</v>
      </c>
      <c r="K323" s="561"/>
      <c r="L323" s="562">
        <f>SUM(F323:K323)</f>
        <v>1500</v>
      </c>
      <c r="M323" s="1002"/>
    </row>
    <row r="324" spans="1:13" ht="66.75" customHeight="1">
      <c r="A324" s="959">
        <v>316</v>
      </c>
      <c r="B324" s="1037"/>
      <c r="C324" s="556">
        <v>102</v>
      </c>
      <c r="D324" s="564" t="s">
        <v>841</v>
      </c>
      <c r="E324" s="971">
        <f>F324+G324+L326</f>
        <v>200000</v>
      </c>
      <c r="F324" s="972"/>
      <c r="G324" s="1038"/>
      <c r="H324" s="974" t="s">
        <v>231</v>
      </c>
      <c r="I324" s="971"/>
      <c r="J324" s="971"/>
      <c r="K324" s="971"/>
      <c r="L324" s="976"/>
      <c r="M324" s="1002"/>
    </row>
    <row r="325" spans="1:13" ht="18" customHeight="1">
      <c r="A325" s="959">
        <v>317</v>
      </c>
      <c r="B325" s="1037"/>
      <c r="C325" s="559"/>
      <c r="D325" s="978" t="s">
        <v>198</v>
      </c>
      <c r="E325" s="979"/>
      <c r="F325" s="980"/>
      <c r="G325" s="981"/>
      <c r="H325" s="982"/>
      <c r="I325" s="983"/>
      <c r="J325" s="984">
        <v>200000</v>
      </c>
      <c r="K325" s="984"/>
      <c r="L325" s="985">
        <f>SUM(I325:K325)</f>
        <v>200000</v>
      </c>
      <c r="M325" s="1002">
        <f>120000+10000</f>
        <v>130000</v>
      </c>
    </row>
    <row r="326" spans="1:13" ht="18" customHeight="1">
      <c r="A326" s="959">
        <v>318</v>
      </c>
      <c r="B326" s="1037"/>
      <c r="C326" s="559"/>
      <c r="D326" s="986" t="s">
        <v>765</v>
      </c>
      <c r="E326" s="979"/>
      <c r="F326" s="980"/>
      <c r="G326" s="981"/>
      <c r="H326" s="982"/>
      <c r="I326" s="987"/>
      <c r="J326" s="988">
        <v>200000</v>
      </c>
      <c r="K326" s="988"/>
      <c r="L326" s="560">
        <f>SUM(I326:K326)</f>
        <v>200000</v>
      </c>
      <c r="M326" s="1002"/>
    </row>
    <row r="327" spans="1:13" ht="18" customHeight="1">
      <c r="A327" s="959">
        <v>319</v>
      </c>
      <c r="B327" s="1037"/>
      <c r="C327" s="559"/>
      <c r="D327" s="989" t="s">
        <v>1022</v>
      </c>
      <c r="E327" s="990"/>
      <c r="F327" s="991"/>
      <c r="G327" s="992"/>
      <c r="H327" s="993"/>
      <c r="I327" s="994"/>
      <c r="J327" s="561">
        <v>100000</v>
      </c>
      <c r="K327" s="561"/>
      <c r="L327" s="562">
        <f>SUM(F327:K327)</f>
        <v>100000</v>
      </c>
      <c r="M327" s="1002"/>
    </row>
    <row r="328" spans="1:13" ht="34.5" customHeight="1">
      <c r="A328" s="959">
        <v>320</v>
      </c>
      <c r="B328" s="1037"/>
      <c r="C328" s="556">
        <v>103</v>
      </c>
      <c r="D328" s="1039" t="s">
        <v>842</v>
      </c>
      <c r="E328" s="971">
        <f>F328+G328+L330</f>
        <v>46050</v>
      </c>
      <c r="F328" s="972"/>
      <c r="G328" s="1038"/>
      <c r="H328" s="974" t="s">
        <v>231</v>
      </c>
      <c r="I328" s="971"/>
      <c r="J328" s="971"/>
      <c r="K328" s="971"/>
      <c r="L328" s="976"/>
      <c r="M328" s="1002"/>
    </row>
    <row r="329" spans="1:13" ht="18" customHeight="1">
      <c r="A329" s="959">
        <v>321</v>
      </c>
      <c r="B329" s="1037"/>
      <c r="C329" s="559"/>
      <c r="D329" s="978" t="s">
        <v>198</v>
      </c>
      <c r="E329" s="979"/>
      <c r="F329" s="980"/>
      <c r="G329" s="981"/>
      <c r="H329" s="982"/>
      <c r="I329" s="983"/>
      <c r="J329" s="984">
        <v>46050</v>
      </c>
      <c r="K329" s="984"/>
      <c r="L329" s="985">
        <f>SUM(I329:K329)</f>
        <v>46050</v>
      </c>
      <c r="M329" s="1002"/>
    </row>
    <row r="330" spans="1:13" ht="18" customHeight="1">
      <c r="A330" s="959">
        <v>322</v>
      </c>
      <c r="B330" s="1037"/>
      <c r="C330" s="559"/>
      <c r="D330" s="986" t="s">
        <v>765</v>
      </c>
      <c r="E330" s="979"/>
      <c r="F330" s="980"/>
      <c r="G330" s="981"/>
      <c r="H330" s="982"/>
      <c r="I330" s="987"/>
      <c r="J330" s="988">
        <v>46050</v>
      </c>
      <c r="K330" s="988"/>
      <c r="L330" s="560">
        <f>SUM(I330:K330)</f>
        <v>46050</v>
      </c>
      <c r="M330" s="1002"/>
    </row>
    <row r="331" spans="1:13" ht="18" customHeight="1">
      <c r="A331" s="959">
        <v>323</v>
      </c>
      <c r="B331" s="1037"/>
      <c r="C331" s="559"/>
      <c r="D331" s="989" t="s">
        <v>1022</v>
      </c>
      <c r="E331" s="990"/>
      <c r="F331" s="991"/>
      <c r="G331" s="992"/>
      <c r="H331" s="993"/>
      <c r="I331" s="994"/>
      <c r="J331" s="561"/>
      <c r="K331" s="561"/>
      <c r="L331" s="562">
        <f>SUM(F331:K331)</f>
        <v>0</v>
      </c>
      <c r="M331" s="1002"/>
    </row>
    <row r="332" spans="1:13" ht="21.75" customHeight="1">
      <c r="A332" s="959">
        <v>324</v>
      </c>
      <c r="B332" s="1037"/>
      <c r="C332" s="559">
        <v>104</v>
      </c>
      <c r="D332" s="1045" t="s">
        <v>843</v>
      </c>
      <c r="E332" s="971">
        <f>F332+G332+L334</f>
        <v>9600</v>
      </c>
      <c r="F332" s="972"/>
      <c r="G332" s="1038"/>
      <c r="H332" s="974" t="s">
        <v>231</v>
      </c>
      <c r="I332" s="971"/>
      <c r="J332" s="971"/>
      <c r="K332" s="971"/>
      <c r="L332" s="976"/>
      <c r="M332" s="1002"/>
    </row>
    <row r="333" spans="1:13" ht="18" customHeight="1">
      <c r="A333" s="959">
        <v>325</v>
      </c>
      <c r="B333" s="1037"/>
      <c r="C333" s="559"/>
      <c r="D333" s="978" t="s">
        <v>198</v>
      </c>
      <c r="E333" s="979"/>
      <c r="F333" s="980"/>
      <c r="G333" s="981"/>
      <c r="H333" s="982"/>
      <c r="I333" s="983"/>
      <c r="J333" s="984">
        <v>9600</v>
      </c>
      <c r="K333" s="984"/>
      <c r="L333" s="985">
        <f>SUM(I333:K333)</f>
        <v>9600</v>
      </c>
      <c r="M333" s="1002"/>
    </row>
    <row r="334" spans="1:13" ht="18" customHeight="1">
      <c r="A334" s="959">
        <v>326</v>
      </c>
      <c r="B334" s="1037"/>
      <c r="C334" s="559"/>
      <c r="D334" s="986" t="s">
        <v>765</v>
      </c>
      <c r="E334" s="979"/>
      <c r="F334" s="980"/>
      <c r="G334" s="981"/>
      <c r="H334" s="982"/>
      <c r="I334" s="987"/>
      <c r="J334" s="988">
        <v>9600</v>
      </c>
      <c r="K334" s="988"/>
      <c r="L334" s="560">
        <f>SUM(I334:K334)</f>
        <v>9600</v>
      </c>
      <c r="M334" s="1002"/>
    </row>
    <row r="335" spans="1:13" ht="18" customHeight="1">
      <c r="A335" s="959">
        <v>327</v>
      </c>
      <c r="B335" s="1037"/>
      <c r="C335" s="559"/>
      <c r="D335" s="989" t="s">
        <v>1022</v>
      </c>
      <c r="E335" s="990"/>
      <c r="F335" s="991"/>
      <c r="G335" s="992"/>
      <c r="H335" s="993"/>
      <c r="I335" s="994"/>
      <c r="J335" s="561"/>
      <c r="K335" s="561"/>
      <c r="L335" s="562">
        <f>SUM(F335:K335)</f>
        <v>0</v>
      </c>
      <c r="M335" s="1002"/>
    </row>
    <row r="336" spans="1:13" ht="21.75" customHeight="1">
      <c r="A336" s="959">
        <v>328</v>
      </c>
      <c r="B336" s="1037"/>
      <c r="C336" s="559">
        <v>105</v>
      </c>
      <c r="D336" s="1045" t="s">
        <v>844</v>
      </c>
      <c r="E336" s="971">
        <f>F336+G336+L338</f>
        <v>15000</v>
      </c>
      <c r="F336" s="972"/>
      <c r="G336" s="1038"/>
      <c r="H336" s="974" t="s">
        <v>231</v>
      </c>
      <c r="I336" s="971"/>
      <c r="J336" s="971"/>
      <c r="K336" s="971"/>
      <c r="L336" s="976"/>
      <c r="M336" s="1002"/>
    </row>
    <row r="337" spans="1:13" ht="18" customHeight="1">
      <c r="A337" s="959">
        <v>329</v>
      </c>
      <c r="B337" s="1037"/>
      <c r="C337" s="559"/>
      <c r="D337" s="978" t="s">
        <v>198</v>
      </c>
      <c r="E337" s="979"/>
      <c r="F337" s="980"/>
      <c r="G337" s="981"/>
      <c r="H337" s="982"/>
      <c r="I337" s="983"/>
      <c r="J337" s="984">
        <v>15000</v>
      </c>
      <c r="K337" s="984"/>
      <c r="L337" s="985">
        <f>SUM(I337:K337)</f>
        <v>15000</v>
      </c>
      <c r="M337" s="1002"/>
    </row>
    <row r="338" spans="1:13" ht="18" customHeight="1">
      <c r="A338" s="959">
        <v>330</v>
      </c>
      <c r="B338" s="1037"/>
      <c r="C338" s="559"/>
      <c r="D338" s="986" t="s">
        <v>765</v>
      </c>
      <c r="E338" s="979"/>
      <c r="F338" s="980"/>
      <c r="G338" s="981"/>
      <c r="H338" s="998"/>
      <c r="I338" s="987"/>
      <c r="J338" s="988">
        <v>15000</v>
      </c>
      <c r="K338" s="988"/>
      <c r="L338" s="560">
        <f>SUM(I338:K338)</f>
        <v>15000</v>
      </c>
      <c r="M338" s="1002"/>
    </row>
    <row r="339" spans="1:13" ht="18" customHeight="1">
      <c r="A339" s="959">
        <v>331</v>
      </c>
      <c r="B339" s="1037"/>
      <c r="C339" s="559"/>
      <c r="D339" s="989" t="s">
        <v>1022</v>
      </c>
      <c r="E339" s="990"/>
      <c r="F339" s="991"/>
      <c r="G339" s="992"/>
      <c r="H339" s="993"/>
      <c r="I339" s="994"/>
      <c r="J339" s="561"/>
      <c r="K339" s="561"/>
      <c r="L339" s="562">
        <f>SUM(F339:K339)</f>
        <v>0</v>
      </c>
      <c r="M339" s="1002"/>
    </row>
    <row r="340" spans="1:13" ht="21.75" customHeight="1">
      <c r="A340" s="959">
        <v>332</v>
      </c>
      <c r="B340" s="1037"/>
      <c r="C340" s="559">
        <v>106</v>
      </c>
      <c r="D340" s="1045" t="s">
        <v>845</v>
      </c>
      <c r="E340" s="971">
        <f>F340+G340+L342</f>
        <v>0</v>
      </c>
      <c r="F340" s="972"/>
      <c r="G340" s="1038"/>
      <c r="H340" s="974" t="s">
        <v>231</v>
      </c>
      <c r="I340" s="971"/>
      <c r="J340" s="971"/>
      <c r="K340" s="971"/>
      <c r="L340" s="976"/>
      <c r="M340" s="1002"/>
    </row>
    <row r="341" spans="1:13" ht="18" customHeight="1">
      <c r="A341" s="959">
        <v>333</v>
      </c>
      <c r="B341" s="1037"/>
      <c r="C341" s="559"/>
      <c r="D341" s="978" t="s">
        <v>198</v>
      </c>
      <c r="E341" s="979"/>
      <c r="F341" s="980"/>
      <c r="G341" s="981"/>
      <c r="H341" s="982"/>
      <c r="I341" s="983"/>
      <c r="J341" s="984">
        <v>20000</v>
      </c>
      <c r="K341" s="984"/>
      <c r="L341" s="985">
        <f>SUM(I341:K341)</f>
        <v>20000</v>
      </c>
      <c r="M341" s="1002"/>
    </row>
    <row r="342" spans="1:13" ht="18" customHeight="1">
      <c r="A342" s="959">
        <v>334</v>
      </c>
      <c r="B342" s="1037"/>
      <c r="C342" s="559"/>
      <c r="D342" s="986" t="s">
        <v>765</v>
      </c>
      <c r="E342" s="979"/>
      <c r="F342" s="980"/>
      <c r="G342" s="981"/>
      <c r="H342" s="982"/>
      <c r="I342" s="987"/>
      <c r="J342" s="988">
        <v>0</v>
      </c>
      <c r="K342" s="988"/>
      <c r="L342" s="560">
        <f>SUM(I342:K342)</f>
        <v>0</v>
      </c>
      <c r="M342" s="1002"/>
    </row>
    <row r="343" spans="1:13" ht="18" customHeight="1">
      <c r="A343" s="959">
        <v>335</v>
      </c>
      <c r="B343" s="1037"/>
      <c r="C343" s="559"/>
      <c r="D343" s="989" t="s">
        <v>1021</v>
      </c>
      <c r="E343" s="990"/>
      <c r="F343" s="991"/>
      <c r="G343" s="992"/>
      <c r="H343" s="993"/>
      <c r="I343" s="994"/>
      <c r="J343" s="561"/>
      <c r="K343" s="561"/>
      <c r="L343" s="562">
        <f>SUM(F343:K343)</f>
        <v>0</v>
      </c>
      <c r="M343" s="1002"/>
    </row>
    <row r="344" spans="1:13" ht="21.75" customHeight="1">
      <c r="A344" s="959">
        <v>336</v>
      </c>
      <c r="B344" s="1037"/>
      <c r="C344" s="559">
        <v>107</v>
      </c>
      <c r="D344" s="1045" t="s">
        <v>846</v>
      </c>
      <c r="E344" s="971">
        <f>F344+G344+L346</f>
        <v>0</v>
      </c>
      <c r="F344" s="972"/>
      <c r="G344" s="1038"/>
      <c r="H344" s="974" t="s">
        <v>231</v>
      </c>
      <c r="I344" s="971"/>
      <c r="J344" s="971"/>
      <c r="K344" s="971"/>
      <c r="L344" s="976"/>
      <c r="M344" s="1002"/>
    </row>
    <row r="345" spans="1:13" ht="18" customHeight="1">
      <c r="A345" s="959">
        <v>337</v>
      </c>
      <c r="B345" s="1037"/>
      <c r="C345" s="559"/>
      <c r="D345" s="978" t="s">
        <v>198</v>
      </c>
      <c r="E345" s="979"/>
      <c r="F345" s="980"/>
      <c r="G345" s="981"/>
      <c r="H345" s="982"/>
      <c r="I345" s="983"/>
      <c r="J345" s="984">
        <v>20000</v>
      </c>
      <c r="K345" s="984"/>
      <c r="L345" s="985">
        <f>SUM(I345:K345)</f>
        <v>20000</v>
      </c>
      <c r="M345" s="1002"/>
    </row>
    <row r="346" spans="1:13" ht="18" customHeight="1">
      <c r="A346" s="959">
        <v>338</v>
      </c>
      <c r="B346" s="1037"/>
      <c r="C346" s="559"/>
      <c r="D346" s="986" t="s">
        <v>765</v>
      </c>
      <c r="E346" s="979"/>
      <c r="F346" s="980"/>
      <c r="G346" s="981"/>
      <c r="H346" s="982"/>
      <c r="I346" s="987"/>
      <c r="J346" s="988">
        <v>0</v>
      </c>
      <c r="K346" s="988"/>
      <c r="L346" s="560">
        <f>SUM(I346:K346)</f>
        <v>0</v>
      </c>
      <c r="M346" s="1002"/>
    </row>
    <row r="347" spans="1:13" ht="18" customHeight="1">
      <c r="A347" s="959">
        <v>339</v>
      </c>
      <c r="B347" s="1037"/>
      <c r="C347" s="559"/>
      <c r="D347" s="989" t="s">
        <v>1021</v>
      </c>
      <c r="E347" s="990"/>
      <c r="F347" s="991"/>
      <c r="G347" s="992"/>
      <c r="H347" s="993"/>
      <c r="I347" s="994"/>
      <c r="J347" s="561"/>
      <c r="K347" s="561"/>
      <c r="L347" s="562">
        <f>SUM(F347:K347)</f>
        <v>0</v>
      </c>
      <c r="M347" s="1002"/>
    </row>
    <row r="348" spans="1:13" ht="21.75" customHeight="1">
      <c r="A348" s="959">
        <v>340</v>
      </c>
      <c r="B348" s="1037"/>
      <c r="C348" s="559">
        <v>108</v>
      </c>
      <c r="D348" s="1045" t="s">
        <v>847</v>
      </c>
      <c r="E348" s="971">
        <f>F348+G348+L350</f>
        <v>0</v>
      </c>
      <c r="F348" s="972"/>
      <c r="G348" s="1038"/>
      <c r="H348" s="974" t="s">
        <v>231</v>
      </c>
      <c r="I348" s="971"/>
      <c r="J348" s="971"/>
      <c r="K348" s="971"/>
      <c r="L348" s="976"/>
      <c r="M348" s="1002"/>
    </row>
    <row r="349" spans="1:13" ht="18" customHeight="1">
      <c r="A349" s="959">
        <v>341</v>
      </c>
      <c r="B349" s="1037"/>
      <c r="C349" s="559"/>
      <c r="D349" s="978" t="s">
        <v>198</v>
      </c>
      <c r="E349" s="979"/>
      <c r="F349" s="980"/>
      <c r="G349" s="981"/>
      <c r="H349" s="982"/>
      <c r="I349" s="983"/>
      <c r="J349" s="984">
        <v>5000</v>
      </c>
      <c r="K349" s="984"/>
      <c r="L349" s="985">
        <f>SUM(I349:K349)</f>
        <v>5000</v>
      </c>
      <c r="M349" s="1002"/>
    </row>
    <row r="350" spans="1:13" ht="18" customHeight="1">
      <c r="A350" s="959">
        <v>342</v>
      </c>
      <c r="B350" s="1037"/>
      <c r="C350" s="559"/>
      <c r="D350" s="986" t="s">
        <v>765</v>
      </c>
      <c r="E350" s="979"/>
      <c r="F350" s="980"/>
      <c r="G350" s="981"/>
      <c r="H350" s="982"/>
      <c r="I350" s="987"/>
      <c r="J350" s="988">
        <v>0</v>
      </c>
      <c r="K350" s="988"/>
      <c r="L350" s="560">
        <f>SUM(I350:K350)</f>
        <v>0</v>
      </c>
      <c r="M350" s="1002"/>
    </row>
    <row r="351" spans="1:13" ht="18" customHeight="1">
      <c r="A351" s="959">
        <v>343</v>
      </c>
      <c r="B351" s="1037"/>
      <c r="C351" s="559"/>
      <c r="D351" s="989" t="s">
        <v>1021</v>
      </c>
      <c r="E351" s="990"/>
      <c r="F351" s="991"/>
      <c r="G351" s="992"/>
      <c r="H351" s="993"/>
      <c r="I351" s="994"/>
      <c r="J351" s="561"/>
      <c r="K351" s="561"/>
      <c r="L351" s="562">
        <f>SUM(F351:K351)</f>
        <v>0</v>
      </c>
      <c r="M351" s="1002"/>
    </row>
    <row r="352" spans="1:13" ht="31.5" customHeight="1">
      <c r="A352" s="959">
        <v>344</v>
      </c>
      <c r="B352" s="1037"/>
      <c r="C352" s="556">
        <v>109</v>
      </c>
      <c r="D352" s="1039" t="s">
        <v>848</v>
      </c>
      <c r="E352" s="971">
        <f>F352+G352+L354</f>
        <v>7500</v>
      </c>
      <c r="F352" s="972"/>
      <c r="G352" s="1038"/>
      <c r="H352" s="974" t="s">
        <v>231</v>
      </c>
      <c r="I352" s="971"/>
      <c r="J352" s="971"/>
      <c r="K352" s="971"/>
      <c r="L352" s="976"/>
      <c r="M352" s="1002"/>
    </row>
    <row r="353" spans="1:13" ht="18" customHeight="1">
      <c r="A353" s="959">
        <v>345</v>
      </c>
      <c r="B353" s="1037"/>
      <c r="C353" s="559"/>
      <c r="D353" s="978" t="s">
        <v>198</v>
      </c>
      <c r="E353" s="979"/>
      <c r="F353" s="980"/>
      <c r="G353" s="981"/>
      <c r="H353" s="982"/>
      <c r="I353" s="983"/>
      <c r="J353" s="984">
        <v>7500</v>
      </c>
      <c r="K353" s="984"/>
      <c r="L353" s="985">
        <f>SUM(I353:K353)</f>
        <v>7500</v>
      </c>
      <c r="M353" s="1002"/>
    </row>
    <row r="354" spans="1:13" ht="18" customHeight="1">
      <c r="A354" s="959">
        <v>346</v>
      </c>
      <c r="B354" s="1037"/>
      <c r="C354" s="559"/>
      <c r="D354" s="986" t="s">
        <v>765</v>
      </c>
      <c r="E354" s="979"/>
      <c r="F354" s="980"/>
      <c r="G354" s="981"/>
      <c r="H354" s="982"/>
      <c r="I354" s="987"/>
      <c r="J354" s="988">
        <v>7500</v>
      </c>
      <c r="K354" s="988"/>
      <c r="L354" s="560">
        <f>SUM(I354:K354)</f>
        <v>7500</v>
      </c>
      <c r="M354" s="1002"/>
    </row>
    <row r="355" spans="1:13" ht="18" customHeight="1">
      <c r="A355" s="959">
        <v>347</v>
      </c>
      <c r="B355" s="1037"/>
      <c r="C355" s="559"/>
      <c r="D355" s="989" t="s">
        <v>1022</v>
      </c>
      <c r="E355" s="990"/>
      <c r="F355" s="991"/>
      <c r="G355" s="992"/>
      <c r="H355" s="993"/>
      <c r="I355" s="994"/>
      <c r="J355" s="561">
        <v>6325</v>
      </c>
      <c r="K355" s="561"/>
      <c r="L355" s="562">
        <f>SUM(F355:K355)</f>
        <v>6325</v>
      </c>
      <c r="M355" s="1002"/>
    </row>
    <row r="356" spans="1:13" ht="21.75" customHeight="1">
      <c r="A356" s="959">
        <v>348</v>
      </c>
      <c r="B356" s="1037"/>
      <c r="C356" s="559">
        <v>110</v>
      </c>
      <c r="D356" s="1045" t="s">
        <v>849</v>
      </c>
      <c r="E356" s="971">
        <f>F356+G356+L358</f>
        <v>5000</v>
      </c>
      <c r="F356" s="972"/>
      <c r="G356" s="1038"/>
      <c r="H356" s="974" t="s">
        <v>231</v>
      </c>
      <c r="I356" s="971"/>
      <c r="J356" s="971"/>
      <c r="K356" s="971"/>
      <c r="L356" s="976"/>
      <c r="M356" s="1002"/>
    </row>
    <row r="357" spans="1:13" ht="18" customHeight="1">
      <c r="A357" s="959">
        <v>349</v>
      </c>
      <c r="B357" s="1037"/>
      <c r="C357" s="559"/>
      <c r="D357" s="978" t="s">
        <v>198</v>
      </c>
      <c r="E357" s="979"/>
      <c r="F357" s="980"/>
      <c r="G357" s="981"/>
      <c r="H357" s="982"/>
      <c r="I357" s="983"/>
      <c r="J357" s="984">
        <v>5000</v>
      </c>
      <c r="K357" s="984"/>
      <c r="L357" s="985">
        <f>SUM(I357:K357)</f>
        <v>5000</v>
      </c>
      <c r="M357" s="1002"/>
    </row>
    <row r="358" spans="1:13" ht="18" customHeight="1">
      <c r="A358" s="959">
        <v>350</v>
      </c>
      <c r="B358" s="1037"/>
      <c r="C358" s="559"/>
      <c r="D358" s="986" t="s">
        <v>765</v>
      </c>
      <c r="E358" s="979"/>
      <c r="F358" s="980"/>
      <c r="G358" s="981"/>
      <c r="H358" s="982"/>
      <c r="I358" s="987"/>
      <c r="J358" s="988">
        <v>5000</v>
      </c>
      <c r="K358" s="988"/>
      <c r="L358" s="560">
        <f>SUM(I358:K358)</f>
        <v>5000</v>
      </c>
      <c r="M358" s="1002"/>
    </row>
    <row r="359" spans="1:13" ht="18" customHeight="1">
      <c r="A359" s="959">
        <v>351</v>
      </c>
      <c r="B359" s="1037"/>
      <c r="C359" s="559"/>
      <c r="D359" s="989" t="s">
        <v>1022</v>
      </c>
      <c r="E359" s="990"/>
      <c r="F359" s="991"/>
      <c r="G359" s="992"/>
      <c r="H359" s="993"/>
      <c r="I359" s="994"/>
      <c r="J359" s="561"/>
      <c r="K359" s="561"/>
      <c r="L359" s="562">
        <f>SUM(F359:K359)</f>
        <v>0</v>
      </c>
      <c r="M359" s="1002"/>
    </row>
    <row r="360" spans="1:13" ht="50.25" customHeight="1">
      <c r="A360" s="959">
        <v>352</v>
      </c>
      <c r="B360" s="1037"/>
      <c r="C360" s="556">
        <v>111</v>
      </c>
      <c r="D360" s="1039" t="s">
        <v>850</v>
      </c>
      <c r="E360" s="971">
        <f>F360+G360+L362</f>
        <v>4600</v>
      </c>
      <c r="F360" s="972"/>
      <c r="G360" s="1038"/>
      <c r="H360" s="974" t="s">
        <v>231</v>
      </c>
      <c r="I360" s="971"/>
      <c r="J360" s="971"/>
      <c r="K360" s="971"/>
      <c r="L360" s="976"/>
      <c r="M360" s="1002"/>
    </row>
    <row r="361" spans="1:13" ht="18" customHeight="1">
      <c r="A361" s="959">
        <v>353</v>
      </c>
      <c r="B361" s="1037"/>
      <c r="C361" s="559"/>
      <c r="D361" s="978" t="s">
        <v>198</v>
      </c>
      <c r="E361" s="979"/>
      <c r="F361" s="980"/>
      <c r="G361" s="981"/>
      <c r="H361" s="982"/>
      <c r="I361" s="983"/>
      <c r="J361" s="984">
        <v>4600</v>
      </c>
      <c r="K361" s="984"/>
      <c r="L361" s="985">
        <f>SUM(I361:K361)</f>
        <v>4600</v>
      </c>
      <c r="M361" s="1002"/>
    </row>
    <row r="362" spans="1:13" ht="18" customHeight="1">
      <c r="A362" s="959">
        <v>354</v>
      </c>
      <c r="B362" s="1037"/>
      <c r="C362" s="559"/>
      <c r="D362" s="986" t="s">
        <v>765</v>
      </c>
      <c r="E362" s="979"/>
      <c r="F362" s="980"/>
      <c r="G362" s="981"/>
      <c r="H362" s="982"/>
      <c r="I362" s="987"/>
      <c r="J362" s="988">
        <v>4600</v>
      </c>
      <c r="K362" s="988"/>
      <c r="L362" s="560">
        <f>SUM(I362:K362)</f>
        <v>4600</v>
      </c>
      <c r="M362" s="1002"/>
    </row>
    <row r="363" spans="1:13" ht="18" customHeight="1">
      <c r="A363" s="959">
        <v>355</v>
      </c>
      <c r="B363" s="1037"/>
      <c r="C363" s="559"/>
      <c r="D363" s="989" t="s">
        <v>1022</v>
      </c>
      <c r="E363" s="990"/>
      <c r="F363" s="991"/>
      <c r="G363" s="992"/>
      <c r="H363" s="993"/>
      <c r="I363" s="994"/>
      <c r="J363" s="561"/>
      <c r="K363" s="561"/>
      <c r="L363" s="562">
        <f>SUM(F363:K363)</f>
        <v>0</v>
      </c>
      <c r="M363" s="1002"/>
    </row>
    <row r="364" spans="1:13" ht="21.75" customHeight="1">
      <c r="A364" s="959">
        <v>356</v>
      </c>
      <c r="B364" s="1037"/>
      <c r="C364" s="559">
        <v>112</v>
      </c>
      <c r="D364" s="1045" t="s">
        <v>851</v>
      </c>
      <c r="E364" s="971">
        <f>F364+G364+L366</f>
        <v>120000</v>
      </c>
      <c r="F364" s="972"/>
      <c r="G364" s="1038"/>
      <c r="H364" s="974" t="s">
        <v>231</v>
      </c>
      <c r="I364" s="971"/>
      <c r="J364" s="971"/>
      <c r="K364" s="971"/>
      <c r="L364" s="976"/>
      <c r="M364" s="1002"/>
    </row>
    <row r="365" spans="1:13" ht="18" customHeight="1">
      <c r="A365" s="959">
        <v>357</v>
      </c>
      <c r="B365" s="1037"/>
      <c r="C365" s="559"/>
      <c r="D365" s="978" t="s">
        <v>198</v>
      </c>
      <c r="E365" s="979"/>
      <c r="F365" s="980"/>
      <c r="G365" s="981"/>
      <c r="H365" s="982"/>
      <c r="I365" s="983"/>
      <c r="J365" s="984">
        <v>120000</v>
      </c>
      <c r="K365" s="984"/>
      <c r="L365" s="985">
        <f>SUM(I365:K365)</f>
        <v>120000</v>
      </c>
      <c r="M365" s="1002"/>
    </row>
    <row r="366" spans="1:13" ht="18" customHeight="1">
      <c r="A366" s="959">
        <v>358</v>
      </c>
      <c r="B366" s="1037"/>
      <c r="C366" s="559"/>
      <c r="D366" s="986" t="s">
        <v>765</v>
      </c>
      <c r="E366" s="979"/>
      <c r="F366" s="980"/>
      <c r="G366" s="981"/>
      <c r="H366" s="982"/>
      <c r="I366" s="987">
        <v>30000</v>
      </c>
      <c r="J366" s="988">
        <v>90000</v>
      </c>
      <c r="K366" s="988"/>
      <c r="L366" s="560">
        <f>SUM(I366:K366)</f>
        <v>120000</v>
      </c>
      <c r="M366" s="1002"/>
    </row>
    <row r="367" spans="1:13" ht="18" customHeight="1">
      <c r="A367" s="959">
        <v>359</v>
      </c>
      <c r="B367" s="1037"/>
      <c r="C367" s="559"/>
      <c r="D367" s="989" t="s">
        <v>1021</v>
      </c>
      <c r="E367" s="990"/>
      <c r="F367" s="991"/>
      <c r="G367" s="992"/>
      <c r="H367" s="993"/>
      <c r="I367" s="994"/>
      <c r="J367" s="561">
        <v>22200</v>
      </c>
      <c r="K367" s="561"/>
      <c r="L367" s="562">
        <f>SUM(F367:K367)</f>
        <v>22200</v>
      </c>
      <c r="M367" s="1002"/>
    </row>
    <row r="368" spans="1:13" ht="37.5" customHeight="1">
      <c r="A368" s="959">
        <v>360</v>
      </c>
      <c r="B368" s="1037"/>
      <c r="C368" s="556">
        <v>113</v>
      </c>
      <c r="D368" s="1039" t="s">
        <v>852</v>
      </c>
      <c r="E368" s="971">
        <f>F368+G368+L370</f>
        <v>80000</v>
      </c>
      <c r="F368" s="972"/>
      <c r="G368" s="1038"/>
      <c r="H368" s="974" t="s">
        <v>231</v>
      </c>
      <c r="I368" s="971"/>
      <c r="J368" s="971"/>
      <c r="K368" s="971"/>
      <c r="L368" s="976"/>
      <c r="M368" s="1002"/>
    </row>
    <row r="369" spans="1:13" ht="18" customHeight="1">
      <c r="A369" s="959">
        <v>361</v>
      </c>
      <c r="B369" s="1037"/>
      <c r="C369" s="559"/>
      <c r="D369" s="978" t="s">
        <v>198</v>
      </c>
      <c r="E369" s="979"/>
      <c r="F369" s="980"/>
      <c r="G369" s="981"/>
      <c r="H369" s="982"/>
      <c r="I369" s="983"/>
      <c r="J369" s="984">
        <v>80000</v>
      </c>
      <c r="K369" s="984"/>
      <c r="L369" s="985">
        <f>SUM(I369:K369)</f>
        <v>80000</v>
      </c>
      <c r="M369" s="1002"/>
    </row>
    <row r="370" spans="1:13" ht="18" customHeight="1">
      <c r="A370" s="959">
        <v>362</v>
      </c>
      <c r="B370" s="1037"/>
      <c r="C370" s="559"/>
      <c r="D370" s="986" t="s">
        <v>765</v>
      </c>
      <c r="E370" s="979"/>
      <c r="F370" s="980"/>
      <c r="G370" s="981"/>
      <c r="H370" s="982"/>
      <c r="I370" s="987"/>
      <c r="J370" s="988">
        <v>80000</v>
      </c>
      <c r="K370" s="988"/>
      <c r="L370" s="560">
        <f>SUM(I370:K370)</f>
        <v>80000</v>
      </c>
      <c r="M370" s="1002"/>
    </row>
    <row r="371" spans="1:13" ht="18" customHeight="1">
      <c r="A371" s="959">
        <v>363</v>
      </c>
      <c r="B371" s="1037"/>
      <c r="C371" s="559"/>
      <c r="D371" s="989" t="s">
        <v>1022</v>
      </c>
      <c r="E371" s="990"/>
      <c r="F371" s="991"/>
      <c r="G371" s="992"/>
      <c r="H371" s="993"/>
      <c r="I371" s="994"/>
      <c r="J371" s="561">
        <v>15938</v>
      </c>
      <c r="K371" s="561"/>
      <c r="L371" s="562">
        <f>SUM(F371:K371)</f>
        <v>15938</v>
      </c>
      <c r="M371" s="1002"/>
    </row>
    <row r="372" spans="1:13" ht="21.75" customHeight="1">
      <c r="A372" s="959">
        <v>364</v>
      </c>
      <c r="B372" s="1037"/>
      <c r="C372" s="559">
        <v>114</v>
      </c>
      <c r="D372" s="1039" t="s">
        <v>853</v>
      </c>
      <c r="E372" s="971">
        <f>F372+G372+L374</f>
        <v>13500</v>
      </c>
      <c r="F372" s="972"/>
      <c r="G372" s="1038"/>
      <c r="H372" s="974" t="s">
        <v>231</v>
      </c>
      <c r="I372" s="971"/>
      <c r="J372" s="971"/>
      <c r="K372" s="971"/>
      <c r="L372" s="976"/>
      <c r="M372" s="1002"/>
    </row>
    <row r="373" spans="1:13" ht="18" customHeight="1">
      <c r="A373" s="959">
        <v>365</v>
      </c>
      <c r="B373" s="1037"/>
      <c r="C373" s="559"/>
      <c r="D373" s="978" t="s">
        <v>198</v>
      </c>
      <c r="E373" s="979"/>
      <c r="F373" s="980"/>
      <c r="G373" s="981"/>
      <c r="H373" s="982"/>
      <c r="I373" s="983"/>
      <c r="J373" s="984">
        <v>11500</v>
      </c>
      <c r="K373" s="984"/>
      <c r="L373" s="985">
        <f>SUM(I373:K373)</f>
        <v>11500</v>
      </c>
      <c r="M373" s="1002"/>
    </row>
    <row r="374" spans="1:13" ht="18" customHeight="1">
      <c r="A374" s="959">
        <v>366</v>
      </c>
      <c r="B374" s="1037"/>
      <c r="C374" s="559"/>
      <c r="D374" s="986" t="s">
        <v>765</v>
      </c>
      <c r="E374" s="979"/>
      <c r="F374" s="980"/>
      <c r="G374" s="981"/>
      <c r="H374" s="982"/>
      <c r="I374" s="987"/>
      <c r="J374" s="988">
        <v>13500</v>
      </c>
      <c r="K374" s="988"/>
      <c r="L374" s="560">
        <f>SUM(I374:K374)</f>
        <v>13500</v>
      </c>
      <c r="M374" s="1002"/>
    </row>
    <row r="375" spans="1:13" ht="18" customHeight="1">
      <c r="A375" s="959">
        <v>367</v>
      </c>
      <c r="B375" s="1037"/>
      <c r="C375" s="559"/>
      <c r="D375" s="989" t="s">
        <v>1021</v>
      </c>
      <c r="E375" s="990"/>
      <c r="F375" s="991"/>
      <c r="G375" s="992"/>
      <c r="H375" s="993"/>
      <c r="I375" s="994"/>
      <c r="J375" s="561"/>
      <c r="K375" s="561"/>
      <c r="L375" s="562">
        <f>SUM(F375:K375)</f>
        <v>0</v>
      </c>
      <c r="M375" s="1002"/>
    </row>
    <row r="376" spans="1:13" ht="34.5" customHeight="1">
      <c r="A376" s="959">
        <v>368</v>
      </c>
      <c r="B376" s="1037"/>
      <c r="C376" s="556">
        <v>115</v>
      </c>
      <c r="D376" s="1039" t="s">
        <v>854</v>
      </c>
      <c r="E376" s="971">
        <f>F376+G376+L378</f>
        <v>40000</v>
      </c>
      <c r="F376" s="972"/>
      <c r="G376" s="1038"/>
      <c r="H376" s="974" t="s">
        <v>231</v>
      </c>
      <c r="I376" s="971"/>
      <c r="J376" s="971"/>
      <c r="K376" s="971"/>
      <c r="L376" s="976"/>
      <c r="M376" s="1002"/>
    </row>
    <row r="377" spans="1:13" ht="18" customHeight="1">
      <c r="A377" s="959">
        <v>369</v>
      </c>
      <c r="B377" s="1037"/>
      <c r="C377" s="559"/>
      <c r="D377" s="978" t="s">
        <v>198</v>
      </c>
      <c r="E377" s="979"/>
      <c r="F377" s="980"/>
      <c r="G377" s="981"/>
      <c r="H377" s="982"/>
      <c r="I377" s="983"/>
      <c r="J377" s="984">
        <v>40000</v>
      </c>
      <c r="K377" s="984"/>
      <c r="L377" s="985">
        <f>SUM(I377:K377)</f>
        <v>40000</v>
      </c>
      <c r="M377" s="1002"/>
    </row>
    <row r="378" spans="1:13" ht="18" customHeight="1">
      <c r="A378" s="959">
        <v>370</v>
      </c>
      <c r="B378" s="1037"/>
      <c r="C378" s="559"/>
      <c r="D378" s="986" t="s">
        <v>765</v>
      </c>
      <c r="E378" s="979"/>
      <c r="F378" s="980"/>
      <c r="G378" s="981"/>
      <c r="H378" s="982"/>
      <c r="I378" s="987"/>
      <c r="J378" s="988">
        <v>40000</v>
      </c>
      <c r="K378" s="988"/>
      <c r="L378" s="560">
        <f>SUM(I378:K378)</f>
        <v>40000</v>
      </c>
      <c r="M378" s="1002"/>
    </row>
    <row r="379" spans="1:13" ht="18" customHeight="1">
      <c r="A379" s="959">
        <v>371</v>
      </c>
      <c r="B379" s="1037"/>
      <c r="C379" s="559"/>
      <c r="D379" s="989" t="s">
        <v>1022</v>
      </c>
      <c r="E379" s="990"/>
      <c r="F379" s="991"/>
      <c r="G379" s="992"/>
      <c r="H379" s="993"/>
      <c r="I379" s="994"/>
      <c r="J379" s="561">
        <v>11280</v>
      </c>
      <c r="K379" s="561"/>
      <c r="L379" s="562">
        <f>SUM(F379:K379)</f>
        <v>11280</v>
      </c>
      <c r="M379" s="1002"/>
    </row>
    <row r="380" spans="1:13" ht="34.5" customHeight="1">
      <c r="A380" s="959">
        <v>372</v>
      </c>
      <c r="B380" s="1037"/>
      <c r="C380" s="556">
        <v>116</v>
      </c>
      <c r="D380" s="1039" t="s">
        <v>855</v>
      </c>
      <c r="E380" s="971">
        <f>F380+G380+L382</f>
        <v>20000</v>
      </c>
      <c r="F380" s="972"/>
      <c r="G380" s="1038"/>
      <c r="H380" s="974" t="s">
        <v>231</v>
      </c>
      <c r="I380" s="971"/>
      <c r="J380" s="971"/>
      <c r="K380" s="971"/>
      <c r="L380" s="976"/>
      <c r="M380" s="1002"/>
    </row>
    <row r="381" spans="1:13" ht="18" customHeight="1">
      <c r="A381" s="959">
        <v>373</v>
      </c>
      <c r="B381" s="1037"/>
      <c r="C381" s="559"/>
      <c r="D381" s="978" t="s">
        <v>198</v>
      </c>
      <c r="E381" s="979"/>
      <c r="F381" s="980"/>
      <c r="G381" s="981"/>
      <c r="H381" s="982"/>
      <c r="I381" s="983"/>
      <c r="J381" s="984">
        <v>20000</v>
      </c>
      <c r="K381" s="984"/>
      <c r="L381" s="985">
        <f>SUM(I381:K381)</f>
        <v>20000</v>
      </c>
      <c r="M381" s="1002"/>
    </row>
    <row r="382" spans="1:13" ht="18" customHeight="1">
      <c r="A382" s="959">
        <v>374</v>
      </c>
      <c r="B382" s="1037"/>
      <c r="C382" s="559"/>
      <c r="D382" s="986" t="s">
        <v>765</v>
      </c>
      <c r="E382" s="979"/>
      <c r="F382" s="980"/>
      <c r="G382" s="981"/>
      <c r="H382" s="982"/>
      <c r="I382" s="987"/>
      <c r="J382" s="988">
        <v>20000</v>
      </c>
      <c r="K382" s="988"/>
      <c r="L382" s="560">
        <f>SUM(I382:K382)</f>
        <v>20000</v>
      </c>
      <c r="M382" s="1002"/>
    </row>
    <row r="383" spans="1:13" ht="18" customHeight="1">
      <c r="A383" s="959">
        <v>375</v>
      </c>
      <c r="B383" s="1037"/>
      <c r="C383" s="559"/>
      <c r="D383" s="989" t="s">
        <v>1022</v>
      </c>
      <c r="E383" s="990"/>
      <c r="F383" s="991"/>
      <c r="G383" s="992"/>
      <c r="H383" s="993"/>
      <c r="I383" s="994"/>
      <c r="J383" s="561">
        <v>18422</v>
      </c>
      <c r="K383" s="561"/>
      <c r="L383" s="562">
        <f>SUM(F383:K383)</f>
        <v>18422</v>
      </c>
      <c r="M383" s="1002"/>
    </row>
    <row r="384" spans="1:13" ht="21.75" customHeight="1">
      <c r="A384" s="959">
        <v>376</v>
      </c>
      <c r="B384" s="1037"/>
      <c r="C384" s="559">
        <v>117</v>
      </c>
      <c r="D384" s="1039" t="s">
        <v>856</v>
      </c>
      <c r="E384" s="971">
        <f>F384+G384+L386</f>
        <v>5500</v>
      </c>
      <c r="F384" s="972"/>
      <c r="G384" s="1038"/>
      <c r="H384" s="974" t="s">
        <v>231</v>
      </c>
      <c r="I384" s="971"/>
      <c r="J384" s="971"/>
      <c r="K384" s="971"/>
      <c r="L384" s="976"/>
      <c r="M384" s="1002"/>
    </row>
    <row r="385" spans="1:13" ht="18" customHeight="1">
      <c r="A385" s="959">
        <v>377</v>
      </c>
      <c r="B385" s="1037"/>
      <c r="C385" s="559"/>
      <c r="D385" s="978" t="s">
        <v>198</v>
      </c>
      <c r="E385" s="979"/>
      <c r="F385" s="980"/>
      <c r="G385" s="981"/>
      <c r="H385" s="982"/>
      <c r="I385" s="983"/>
      <c r="J385" s="984">
        <v>5500</v>
      </c>
      <c r="K385" s="984"/>
      <c r="L385" s="985">
        <f>SUM(I385:K385)</f>
        <v>5500</v>
      </c>
      <c r="M385" s="1002"/>
    </row>
    <row r="386" spans="1:13" ht="18" customHeight="1">
      <c r="A386" s="959">
        <v>378</v>
      </c>
      <c r="B386" s="1037"/>
      <c r="C386" s="559"/>
      <c r="D386" s="986" t="s">
        <v>765</v>
      </c>
      <c r="E386" s="979"/>
      <c r="F386" s="980"/>
      <c r="G386" s="981"/>
      <c r="H386" s="982"/>
      <c r="I386" s="987"/>
      <c r="J386" s="988">
        <v>5500</v>
      </c>
      <c r="K386" s="988"/>
      <c r="L386" s="560">
        <f>SUM(I386:K386)</f>
        <v>5500</v>
      </c>
      <c r="M386" s="1002"/>
    </row>
    <row r="387" spans="1:13" ht="18" customHeight="1">
      <c r="A387" s="959">
        <v>379</v>
      </c>
      <c r="B387" s="1037"/>
      <c r="C387" s="559"/>
      <c r="D387" s="989" t="s">
        <v>1022</v>
      </c>
      <c r="E387" s="990"/>
      <c r="F387" s="991"/>
      <c r="G387" s="992"/>
      <c r="H387" s="993"/>
      <c r="I387" s="994"/>
      <c r="J387" s="561"/>
      <c r="K387" s="561"/>
      <c r="L387" s="562">
        <f>SUM(F387:K387)</f>
        <v>0</v>
      </c>
      <c r="M387" s="1002"/>
    </row>
    <row r="388" spans="1:13" ht="21.75" customHeight="1">
      <c r="A388" s="959">
        <v>380</v>
      </c>
      <c r="B388" s="1037"/>
      <c r="C388" s="559">
        <v>118</v>
      </c>
      <c r="D388" s="1039" t="s">
        <v>857</v>
      </c>
      <c r="E388" s="971">
        <f>F388+G388+L390</f>
        <v>20000</v>
      </c>
      <c r="F388" s="972"/>
      <c r="G388" s="1038"/>
      <c r="H388" s="974" t="s">
        <v>80</v>
      </c>
      <c r="I388" s="971"/>
      <c r="J388" s="971"/>
      <c r="K388" s="971"/>
      <c r="L388" s="976"/>
      <c r="M388" s="1002"/>
    </row>
    <row r="389" spans="1:13" ht="18" customHeight="1">
      <c r="A389" s="959">
        <v>381</v>
      </c>
      <c r="B389" s="1037"/>
      <c r="C389" s="559"/>
      <c r="D389" s="978" t="s">
        <v>198</v>
      </c>
      <c r="E389" s="979"/>
      <c r="F389" s="980"/>
      <c r="G389" s="981"/>
      <c r="H389" s="982"/>
      <c r="I389" s="983"/>
      <c r="J389" s="984">
        <v>20000</v>
      </c>
      <c r="K389" s="984"/>
      <c r="L389" s="985">
        <f>SUM(I389:K389)</f>
        <v>20000</v>
      </c>
      <c r="M389" s="1002"/>
    </row>
    <row r="390" spans="1:13" ht="18" customHeight="1">
      <c r="A390" s="959">
        <v>382</v>
      </c>
      <c r="B390" s="1037"/>
      <c r="C390" s="559"/>
      <c r="D390" s="986" t="s">
        <v>765</v>
      </c>
      <c r="E390" s="979"/>
      <c r="F390" s="980"/>
      <c r="G390" s="981"/>
      <c r="H390" s="982"/>
      <c r="I390" s="987"/>
      <c r="J390" s="988">
        <v>20000</v>
      </c>
      <c r="K390" s="988"/>
      <c r="L390" s="560">
        <f>SUM(I390:K390)</f>
        <v>20000</v>
      </c>
      <c r="M390" s="1002"/>
    </row>
    <row r="391" spans="1:13" ht="18" customHeight="1">
      <c r="A391" s="959">
        <v>383</v>
      </c>
      <c r="B391" s="1037"/>
      <c r="C391" s="559"/>
      <c r="D391" s="989" t="s">
        <v>1022</v>
      </c>
      <c r="E391" s="990"/>
      <c r="F391" s="991"/>
      <c r="G391" s="992"/>
      <c r="H391" s="993"/>
      <c r="I391" s="994"/>
      <c r="J391" s="561"/>
      <c r="K391" s="561"/>
      <c r="L391" s="562">
        <f>SUM(F391:K391)</f>
        <v>0</v>
      </c>
      <c r="M391" s="1002"/>
    </row>
    <row r="392" spans="1:13" ht="21.75" customHeight="1">
      <c r="A392" s="959">
        <v>384</v>
      </c>
      <c r="B392" s="1037"/>
      <c r="C392" s="559">
        <v>119</v>
      </c>
      <c r="D392" s="1039" t="s">
        <v>858</v>
      </c>
      <c r="E392" s="971">
        <f>F392+G392+L394</f>
        <v>20000</v>
      </c>
      <c r="F392" s="972"/>
      <c r="G392" s="1038"/>
      <c r="H392" s="974" t="s">
        <v>80</v>
      </c>
      <c r="I392" s="971"/>
      <c r="J392" s="971"/>
      <c r="K392" s="971"/>
      <c r="L392" s="976"/>
      <c r="M392" s="1002"/>
    </row>
    <row r="393" spans="1:13" ht="18" customHeight="1">
      <c r="A393" s="959">
        <v>385</v>
      </c>
      <c r="B393" s="1037"/>
      <c r="C393" s="559"/>
      <c r="D393" s="978" t="s">
        <v>198</v>
      </c>
      <c r="E393" s="979"/>
      <c r="F393" s="980"/>
      <c r="G393" s="981"/>
      <c r="H393" s="982"/>
      <c r="I393" s="983"/>
      <c r="J393" s="984">
        <v>20000</v>
      </c>
      <c r="K393" s="984"/>
      <c r="L393" s="985">
        <f>SUM(I393:K393)</f>
        <v>20000</v>
      </c>
      <c r="M393" s="1002"/>
    </row>
    <row r="394" spans="1:13" ht="18" customHeight="1">
      <c r="A394" s="959">
        <v>386</v>
      </c>
      <c r="B394" s="1037"/>
      <c r="C394" s="559"/>
      <c r="D394" s="986" t="s">
        <v>765</v>
      </c>
      <c r="E394" s="979"/>
      <c r="F394" s="980"/>
      <c r="G394" s="981"/>
      <c r="H394" s="982"/>
      <c r="I394" s="987"/>
      <c r="J394" s="988">
        <v>20000</v>
      </c>
      <c r="K394" s="988"/>
      <c r="L394" s="560">
        <f>SUM(I394:K394)</f>
        <v>20000</v>
      </c>
      <c r="M394" s="1002"/>
    </row>
    <row r="395" spans="1:13" ht="18" customHeight="1">
      <c r="A395" s="959">
        <v>387</v>
      </c>
      <c r="B395" s="1037"/>
      <c r="C395" s="559"/>
      <c r="D395" s="989" t="s">
        <v>1022</v>
      </c>
      <c r="E395" s="990"/>
      <c r="F395" s="991"/>
      <c r="G395" s="992"/>
      <c r="H395" s="993"/>
      <c r="I395" s="994"/>
      <c r="J395" s="561"/>
      <c r="K395" s="561"/>
      <c r="L395" s="562">
        <f>SUM(F395:K395)</f>
        <v>0</v>
      </c>
      <c r="M395" s="1002"/>
    </row>
    <row r="396" spans="1:13" ht="21.75" customHeight="1">
      <c r="A396" s="959">
        <v>388</v>
      </c>
      <c r="B396" s="1037"/>
      <c r="C396" s="559">
        <v>120</v>
      </c>
      <c r="D396" s="1039" t="s">
        <v>859</v>
      </c>
      <c r="E396" s="971">
        <f>F396+G396+L398</f>
        <v>16608</v>
      </c>
      <c r="F396" s="972"/>
      <c r="G396" s="1038"/>
      <c r="H396" s="974" t="s">
        <v>231</v>
      </c>
      <c r="I396" s="971"/>
      <c r="J396" s="971"/>
      <c r="K396" s="971"/>
      <c r="L396" s="976"/>
      <c r="M396" s="1002"/>
    </row>
    <row r="397" spans="1:13" ht="18" customHeight="1">
      <c r="A397" s="959">
        <v>389</v>
      </c>
      <c r="B397" s="1037"/>
      <c r="C397" s="559"/>
      <c r="D397" s="978" t="s">
        <v>198</v>
      </c>
      <c r="E397" s="979"/>
      <c r="F397" s="980"/>
      <c r="G397" s="981"/>
      <c r="H397" s="982"/>
      <c r="I397" s="983"/>
      <c r="J397" s="984">
        <v>15000</v>
      </c>
      <c r="K397" s="984"/>
      <c r="L397" s="985">
        <f>SUM(I397:K397)</f>
        <v>15000</v>
      </c>
      <c r="M397" s="1002"/>
    </row>
    <row r="398" spans="1:13" ht="18" customHeight="1">
      <c r="A398" s="959">
        <v>390</v>
      </c>
      <c r="B398" s="1037"/>
      <c r="C398" s="559"/>
      <c r="D398" s="986" t="s">
        <v>765</v>
      </c>
      <c r="E398" s="979"/>
      <c r="F398" s="980"/>
      <c r="G398" s="981"/>
      <c r="H398" s="982"/>
      <c r="I398" s="987"/>
      <c r="J398" s="988">
        <v>16608</v>
      </c>
      <c r="K398" s="988"/>
      <c r="L398" s="560">
        <f>SUM(I398:K398)</f>
        <v>16608</v>
      </c>
      <c r="M398" s="1002"/>
    </row>
    <row r="399" spans="1:13" ht="18" customHeight="1">
      <c r="A399" s="959">
        <v>391</v>
      </c>
      <c r="B399" s="1037"/>
      <c r="C399" s="559"/>
      <c r="D399" s="989" t="s">
        <v>1021</v>
      </c>
      <c r="E399" s="990"/>
      <c r="F399" s="991"/>
      <c r="G399" s="992"/>
      <c r="H399" s="993"/>
      <c r="I399" s="994"/>
      <c r="J399" s="561">
        <v>8633</v>
      </c>
      <c r="K399" s="561"/>
      <c r="L399" s="562">
        <f>SUM(F399:K399)</f>
        <v>8633</v>
      </c>
      <c r="M399" s="1002"/>
    </row>
    <row r="400" spans="1:13" ht="21.75" customHeight="1">
      <c r="A400" s="959">
        <v>392</v>
      </c>
      <c r="B400" s="1037"/>
      <c r="C400" s="559">
        <v>121</v>
      </c>
      <c r="D400" s="1039" t="s">
        <v>860</v>
      </c>
      <c r="E400" s="971">
        <f>F400+G400+L402</f>
        <v>15000</v>
      </c>
      <c r="F400" s="972"/>
      <c r="G400" s="1038"/>
      <c r="H400" s="974" t="s">
        <v>231</v>
      </c>
      <c r="I400" s="971"/>
      <c r="J400" s="971"/>
      <c r="K400" s="971"/>
      <c r="L400" s="976"/>
      <c r="M400" s="1002"/>
    </row>
    <row r="401" spans="1:13" ht="18" customHeight="1">
      <c r="A401" s="959">
        <v>393</v>
      </c>
      <c r="B401" s="1037"/>
      <c r="C401" s="559"/>
      <c r="D401" s="978" t="s">
        <v>198</v>
      </c>
      <c r="E401" s="979"/>
      <c r="F401" s="980"/>
      <c r="G401" s="981"/>
      <c r="H401" s="982"/>
      <c r="I401" s="983"/>
      <c r="J401" s="984">
        <v>15000</v>
      </c>
      <c r="K401" s="984"/>
      <c r="L401" s="985">
        <f>SUM(I401:K401)</f>
        <v>15000</v>
      </c>
      <c r="M401" s="1002"/>
    </row>
    <row r="402" spans="1:13" ht="18" customHeight="1">
      <c r="A402" s="959">
        <v>394</v>
      </c>
      <c r="B402" s="1037"/>
      <c r="C402" s="559"/>
      <c r="D402" s="986" t="s">
        <v>765</v>
      </c>
      <c r="E402" s="979"/>
      <c r="F402" s="980"/>
      <c r="G402" s="981"/>
      <c r="H402" s="982"/>
      <c r="I402" s="987"/>
      <c r="J402" s="988">
        <v>15000</v>
      </c>
      <c r="K402" s="988"/>
      <c r="L402" s="560">
        <f>SUM(I402:K402)</f>
        <v>15000</v>
      </c>
      <c r="M402" s="1002"/>
    </row>
    <row r="403" spans="1:13" ht="18" customHeight="1">
      <c r="A403" s="959">
        <v>395</v>
      </c>
      <c r="B403" s="1037"/>
      <c r="C403" s="559"/>
      <c r="D403" s="989" t="s">
        <v>1022</v>
      </c>
      <c r="E403" s="990"/>
      <c r="F403" s="991"/>
      <c r="G403" s="992"/>
      <c r="H403" s="993"/>
      <c r="I403" s="994"/>
      <c r="J403" s="561"/>
      <c r="K403" s="561"/>
      <c r="L403" s="562">
        <f>SUM(F403:K403)</f>
        <v>0</v>
      </c>
      <c r="M403" s="1002"/>
    </row>
    <row r="404" spans="1:13" ht="21.75" customHeight="1">
      <c r="A404" s="959">
        <v>396</v>
      </c>
      <c r="B404" s="1037"/>
      <c r="C404" s="559">
        <v>122</v>
      </c>
      <c r="D404" s="1039" t="s">
        <v>861</v>
      </c>
      <c r="E404" s="971">
        <f>F404+G404+L406</f>
        <v>30000</v>
      </c>
      <c r="F404" s="972"/>
      <c r="G404" s="1038"/>
      <c r="H404" s="974" t="s">
        <v>231</v>
      </c>
      <c r="I404" s="971"/>
      <c r="J404" s="971"/>
      <c r="K404" s="971"/>
      <c r="L404" s="976"/>
      <c r="M404" s="1002"/>
    </row>
    <row r="405" spans="1:13" ht="18" customHeight="1">
      <c r="A405" s="959">
        <v>397</v>
      </c>
      <c r="B405" s="1037"/>
      <c r="C405" s="559"/>
      <c r="D405" s="978" t="s">
        <v>198</v>
      </c>
      <c r="E405" s="979"/>
      <c r="F405" s="980"/>
      <c r="G405" s="981"/>
      <c r="H405" s="982"/>
      <c r="I405" s="983"/>
      <c r="J405" s="984">
        <v>30000</v>
      </c>
      <c r="K405" s="984"/>
      <c r="L405" s="985">
        <f>SUM(I405:K405)</f>
        <v>30000</v>
      </c>
      <c r="M405" s="1002"/>
    </row>
    <row r="406" spans="1:13" ht="18" customHeight="1">
      <c r="A406" s="959">
        <v>398</v>
      </c>
      <c r="B406" s="1037"/>
      <c r="C406" s="559"/>
      <c r="D406" s="986" t="s">
        <v>765</v>
      </c>
      <c r="E406" s="979"/>
      <c r="F406" s="980"/>
      <c r="G406" s="981"/>
      <c r="H406" s="982"/>
      <c r="I406" s="987"/>
      <c r="J406" s="988">
        <v>30000</v>
      </c>
      <c r="K406" s="988"/>
      <c r="L406" s="560">
        <f>SUM(I406:K406)</f>
        <v>30000</v>
      </c>
      <c r="M406" s="1002"/>
    </row>
    <row r="407" spans="1:13" ht="18" customHeight="1">
      <c r="A407" s="959">
        <v>399</v>
      </c>
      <c r="B407" s="1037"/>
      <c r="C407" s="559"/>
      <c r="D407" s="989" t="s">
        <v>1022</v>
      </c>
      <c r="E407" s="990"/>
      <c r="F407" s="991"/>
      <c r="G407" s="992"/>
      <c r="H407" s="993"/>
      <c r="I407" s="994"/>
      <c r="J407" s="561">
        <v>30000</v>
      </c>
      <c r="K407" s="561"/>
      <c r="L407" s="562">
        <f>SUM(F407:K407)</f>
        <v>30000</v>
      </c>
      <c r="M407" s="1002"/>
    </row>
    <row r="408" spans="1:13" ht="21.75" customHeight="1">
      <c r="A408" s="959">
        <v>400</v>
      </c>
      <c r="B408" s="1037"/>
      <c r="C408" s="559">
        <v>123</v>
      </c>
      <c r="D408" s="1039" t="s">
        <v>862</v>
      </c>
      <c r="E408" s="971">
        <f>F408+G408+L410</f>
        <v>5000</v>
      </c>
      <c r="F408" s="972"/>
      <c r="G408" s="1038"/>
      <c r="H408" s="974" t="s">
        <v>231</v>
      </c>
      <c r="I408" s="971"/>
      <c r="J408" s="971"/>
      <c r="K408" s="971"/>
      <c r="L408" s="976"/>
      <c r="M408" s="1002"/>
    </row>
    <row r="409" spans="1:13" ht="18" customHeight="1">
      <c r="A409" s="959">
        <v>401</v>
      </c>
      <c r="B409" s="1037"/>
      <c r="C409" s="559"/>
      <c r="D409" s="978" t="s">
        <v>198</v>
      </c>
      <c r="E409" s="979"/>
      <c r="F409" s="980"/>
      <c r="G409" s="981"/>
      <c r="H409" s="982"/>
      <c r="I409" s="983"/>
      <c r="J409" s="984">
        <v>5000</v>
      </c>
      <c r="K409" s="984"/>
      <c r="L409" s="985">
        <f>SUM(I409:K409)</f>
        <v>5000</v>
      </c>
      <c r="M409" s="1002"/>
    </row>
    <row r="410" spans="1:13" ht="18" customHeight="1">
      <c r="A410" s="959">
        <v>402</v>
      </c>
      <c r="B410" s="1046"/>
      <c r="C410" s="559"/>
      <c r="D410" s="986" t="s">
        <v>765</v>
      </c>
      <c r="E410" s="979"/>
      <c r="F410" s="980"/>
      <c r="G410" s="981"/>
      <c r="H410" s="982"/>
      <c r="I410" s="987"/>
      <c r="J410" s="988">
        <v>5000</v>
      </c>
      <c r="K410" s="988"/>
      <c r="L410" s="560">
        <f>SUM(I410:K410)</f>
        <v>5000</v>
      </c>
      <c r="M410" s="1047"/>
    </row>
    <row r="411" spans="1:13" ht="18" customHeight="1">
      <c r="A411" s="959">
        <v>403</v>
      </c>
      <c r="B411" s="1046"/>
      <c r="C411" s="559"/>
      <c r="D411" s="989" t="s">
        <v>1022</v>
      </c>
      <c r="E411" s="990"/>
      <c r="F411" s="991"/>
      <c r="G411" s="992"/>
      <c r="H411" s="993"/>
      <c r="I411" s="994"/>
      <c r="J411" s="561">
        <v>3950</v>
      </c>
      <c r="K411" s="561"/>
      <c r="L411" s="562">
        <f>SUM(F411:K411)</f>
        <v>3950</v>
      </c>
      <c r="M411" s="1047"/>
    </row>
    <row r="412" spans="1:13" ht="22.5" customHeight="1">
      <c r="A412" s="959">
        <v>404</v>
      </c>
      <c r="B412" s="1046"/>
      <c r="C412" s="559"/>
      <c r="D412" s="1048" t="s">
        <v>22</v>
      </c>
      <c r="E412" s="1049"/>
      <c r="F412" s="972"/>
      <c r="G412" s="1050"/>
      <c r="H412" s="1051" t="s">
        <v>80</v>
      </c>
      <c r="I412" s="1052"/>
      <c r="J412" s="1052"/>
      <c r="K412" s="1052"/>
      <c r="L412" s="1053"/>
      <c r="M412" s="1047"/>
    </row>
    <row r="413" spans="1:13" ht="21.75" customHeight="1">
      <c r="A413" s="959">
        <v>405</v>
      </c>
      <c r="B413" s="1046"/>
      <c r="C413" s="567">
        <v>124</v>
      </c>
      <c r="D413" s="1054" t="s">
        <v>863</v>
      </c>
      <c r="E413" s="971">
        <f>F413+G413+L415</f>
        <v>1200</v>
      </c>
      <c r="F413" s="1055"/>
      <c r="G413" s="1050"/>
      <c r="H413" s="1051"/>
      <c r="I413" s="1052"/>
      <c r="J413" s="1052"/>
      <c r="K413" s="1052"/>
      <c r="L413" s="1053"/>
      <c r="M413" s="1047"/>
    </row>
    <row r="414" spans="1:13" ht="18" customHeight="1">
      <c r="A414" s="959">
        <v>406</v>
      </c>
      <c r="B414" s="1056"/>
      <c r="C414" s="568"/>
      <c r="D414" s="978" t="s">
        <v>198</v>
      </c>
      <c r="E414" s="979"/>
      <c r="F414" s="980"/>
      <c r="G414" s="981"/>
      <c r="H414" s="982"/>
      <c r="I414" s="983"/>
      <c r="J414" s="984">
        <v>1200</v>
      </c>
      <c r="K414" s="984"/>
      <c r="L414" s="985">
        <f>SUM(I414:K414)</f>
        <v>1200</v>
      </c>
      <c r="M414" s="1036"/>
    </row>
    <row r="415" spans="1:13" ht="18" customHeight="1">
      <c r="A415" s="959">
        <v>407</v>
      </c>
      <c r="B415" s="1037"/>
      <c r="C415" s="559"/>
      <c r="D415" s="986" t="s">
        <v>765</v>
      </c>
      <c r="E415" s="979"/>
      <c r="F415" s="980"/>
      <c r="G415" s="981"/>
      <c r="H415" s="982"/>
      <c r="I415" s="987"/>
      <c r="J415" s="988">
        <v>1200</v>
      </c>
      <c r="K415" s="988"/>
      <c r="L415" s="560">
        <f>SUM(I415:K415)</f>
        <v>1200</v>
      </c>
      <c r="M415" s="1036"/>
    </row>
    <row r="416" spans="1:13" ht="18" customHeight="1">
      <c r="A416" s="959">
        <v>408</v>
      </c>
      <c r="B416" s="970"/>
      <c r="C416" s="559"/>
      <c r="D416" s="989" t="s">
        <v>1022</v>
      </c>
      <c r="E416" s="990"/>
      <c r="F416" s="991"/>
      <c r="G416" s="992"/>
      <c r="H416" s="993"/>
      <c r="I416" s="994"/>
      <c r="J416" s="561">
        <v>1149</v>
      </c>
      <c r="K416" s="561"/>
      <c r="L416" s="562">
        <f>SUM(F416:K416)</f>
        <v>1149</v>
      </c>
      <c r="M416" s="1002"/>
    </row>
    <row r="417" spans="1:13" ht="52.5" customHeight="1">
      <c r="A417" s="959">
        <v>409</v>
      </c>
      <c r="B417" s="1037"/>
      <c r="C417" s="556">
        <v>125</v>
      </c>
      <c r="D417" s="1041" t="s">
        <v>864</v>
      </c>
      <c r="E417" s="971">
        <f>F417+G417+L418</f>
        <v>33847</v>
      </c>
      <c r="F417" s="972"/>
      <c r="G417" s="1038"/>
      <c r="H417" s="974" t="s">
        <v>80</v>
      </c>
      <c r="I417" s="971"/>
      <c r="J417" s="995"/>
      <c r="K417" s="971"/>
      <c r="L417" s="563"/>
      <c r="M417" s="1002"/>
    </row>
    <row r="418" spans="1:13" ht="18" customHeight="1">
      <c r="A418" s="959">
        <v>410</v>
      </c>
      <c r="B418" s="1037"/>
      <c r="C418" s="556"/>
      <c r="D418" s="1059" t="s">
        <v>765</v>
      </c>
      <c r="E418" s="971"/>
      <c r="F418" s="972"/>
      <c r="G418" s="1038"/>
      <c r="H418" s="974"/>
      <c r="I418" s="971"/>
      <c r="J418" s="995"/>
      <c r="K418" s="995">
        <v>33847</v>
      </c>
      <c r="L418" s="569">
        <f>SUM(F418:K418)</f>
        <v>33847</v>
      </c>
      <c r="M418" s="1002"/>
    </row>
    <row r="419" spans="1:13" ht="18" customHeight="1">
      <c r="A419" s="959">
        <v>411</v>
      </c>
      <c r="B419" s="1037"/>
      <c r="C419" s="559"/>
      <c r="D419" s="989" t="s">
        <v>1022</v>
      </c>
      <c r="E419" s="971"/>
      <c r="F419" s="972"/>
      <c r="G419" s="1038"/>
      <c r="H419" s="974"/>
      <c r="I419" s="971"/>
      <c r="J419" s="995"/>
      <c r="K419" s="990">
        <v>33847</v>
      </c>
      <c r="L419" s="562">
        <f>SUM(F419:K419)</f>
        <v>33847</v>
      </c>
      <c r="M419" s="1002"/>
    </row>
    <row r="420" spans="1:13" ht="22.5" customHeight="1">
      <c r="A420" s="959">
        <v>412</v>
      </c>
      <c r="B420" s="1037"/>
      <c r="C420" s="559">
        <v>126</v>
      </c>
      <c r="D420" s="1041" t="s">
        <v>865</v>
      </c>
      <c r="E420" s="971">
        <f>F420+G420+L421</f>
        <v>1500</v>
      </c>
      <c r="F420" s="972"/>
      <c r="G420" s="1038"/>
      <c r="H420" s="974" t="s">
        <v>231</v>
      </c>
      <c r="I420" s="971"/>
      <c r="J420" s="995"/>
      <c r="K420" s="995"/>
      <c r="L420" s="569"/>
      <c r="M420" s="1002"/>
    </row>
    <row r="421" spans="1:13" ht="18" customHeight="1">
      <c r="A421" s="959">
        <v>413</v>
      </c>
      <c r="B421" s="1037"/>
      <c r="C421" s="559"/>
      <c r="D421" s="1059" t="s">
        <v>765</v>
      </c>
      <c r="E421" s="971"/>
      <c r="F421" s="972"/>
      <c r="G421" s="1038"/>
      <c r="H421" s="974"/>
      <c r="I421" s="971"/>
      <c r="J421" s="995">
        <v>1500</v>
      </c>
      <c r="K421" s="995"/>
      <c r="L421" s="569">
        <f>SUM(F421:K421)</f>
        <v>1500</v>
      </c>
      <c r="M421" s="1002"/>
    </row>
    <row r="422" spans="1:13" ht="18" customHeight="1">
      <c r="A422" s="959">
        <v>414</v>
      </c>
      <c r="B422" s="1037"/>
      <c r="C422" s="559"/>
      <c r="D422" s="989" t="s">
        <v>1021</v>
      </c>
      <c r="E422" s="971"/>
      <c r="F422" s="972"/>
      <c r="G422" s="1038"/>
      <c r="H422" s="974"/>
      <c r="I422" s="971"/>
      <c r="J422" s="990"/>
      <c r="K422" s="995"/>
      <c r="L422" s="562">
        <f>SUM(F422:K422)</f>
        <v>0</v>
      </c>
      <c r="M422" s="1002"/>
    </row>
    <row r="423" spans="1:13" ht="34.5" customHeight="1">
      <c r="A423" s="959">
        <v>415</v>
      </c>
      <c r="B423" s="1037"/>
      <c r="C423" s="556">
        <v>127</v>
      </c>
      <c r="D423" s="1041" t="s">
        <v>866</v>
      </c>
      <c r="E423" s="971">
        <f>F423+G423+L424</f>
        <v>1000</v>
      </c>
      <c r="F423" s="972"/>
      <c r="G423" s="1038"/>
      <c r="H423" s="974" t="s">
        <v>231</v>
      </c>
      <c r="I423" s="971"/>
      <c r="J423" s="995"/>
      <c r="K423" s="995"/>
      <c r="L423" s="569"/>
      <c r="M423" s="1002"/>
    </row>
    <row r="424" spans="1:13" ht="18" customHeight="1">
      <c r="A424" s="959">
        <v>416</v>
      </c>
      <c r="B424" s="1037"/>
      <c r="C424" s="556"/>
      <c r="D424" s="570" t="s">
        <v>765</v>
      </c>
      <c r="E424" s="971"/>
      <c r="F424" s="972"/>
      <c r="G424" s="1038"/>
      <c r="H424" s="974"/>
      <c r="I424" s="971"/>
      <c r="J424" s="995"/>
      <c r="K424" s="995">
        <v>1000</v>
      </c>
      <c r="L424" s="569">
        <f>SUM(F424:K424)</f>
        <v>1000</v>
      </c>
      <c r="M424" s="1002"/>
    </row>
    <row r="425" spans="1:13" ht="18" customHeight="1">
      <c r="A425" s="959">
        <v>417</v>
      </c>
      <c r="B425" s="1037"/>
      <c r="C425" s="559"/>
      <c r="D425" s="989" t="s">
        <v>1021</v>
      </c>
      <c r="E425" s="971"/>
      <c r="F425" s="972"/>
      <c r="G425" s="1038"/>
      <c r="H425" s="974"/>
      <c r="I425" s="971"/>
      <c r="J425" s="995"/>
      <c r="K425" s="990">
        <v>1000</v>
      </c>
      <c r="L425" s="562">
        <f>SUM(F425:K425)</f>
        <v>1000</v>
      </c>
      <c r="M425" s="1002"/>
    </row>
    <row r="426" spans="1:13" ht="22.5" customHeight="1">
      <c r="A426" s="959">
        <v>418</v>
      </c>
      <c r="B426" s="1037"/>
      <c r="C426" s="559">
        <v>128</v>
      </c>
      <c r="D426" s="1041" t="s">
        <v>867</v>
      </c>
      <c r="E426" s="971">
        <f>F426+G426+L427</f>
        <v>5000</v>
      </c>
      <c r="F426" s="972"/>
      <c r="G426" s="1038"/>
      <c r="H426" s="974" t="s">
        <v>231</v>
      </c>
      <c r="I426" s="971"/>
      <c r="J426" s="995"/>
      <c r="K426" s="995"/>
      <c r="L426" s="569"/>
      <c r="M426" s="1002"/>
    </row>
    <row r="427" spans="1:13" ht="18" customHeight="1">
      <c r="A427" s="959">
        <v>419</v>
      </c>
      <c r="B427" s="1037"/>
      <c r="C427" s="559"/>
      <c r="D427" s="570" t="s">
        <v>765</v>
      </c>
      <c r="E427" s="971"/>
      <c r="F427" s="972"/>
      <c r="G427" s="1038"/>
      <c r="H427" s="974"/>
      <c r="I427" s="971"/>
      <c r="J427" s="995">
        <v>5000</v>
      </c>
      <c r="K427" s="995"/>
      <c r="L427" s="569">
        <f>SUM(F427:K427)</f>
        <v>5000</v>
      </c>
      <c r="M427" s="1002"/>
    </row>
    <row r="428" spans="1:13" ht="18" customHeight="1">
      <c r="A428" s="959">
        <v>420</v>
      </c>
      <c r="B428" s="1037"/>
      <c r="C428" s="559"/>
      <c r="D428" s="989" t="s">
        <v>1021</v>
      </c>
      <c r="E428" s="971"/>
      <c r="F428" s="972"/>
      <c r="G428" s="1038"/>
      <c r="H428" s="974"/>
      <c r="I428" s="971"/>
      <c r="J428" s="990">
        <v>2000</v>
      </c>
      <c r="K428" s="995"/>
      <c r="L428" s="562">
        <f>SUM(F428:K428)</f>
        <v>2000</v>
      </c>
      <c r="M428" s="1002"/>
    </row>
    <row r="429" spans="1:13" ht="22.5" customHeight="1">
      <c r="A429" s="959">
        <v>421</v>
      </c>
      <c r="B429" s="1037"/>
      <c r="C429" s="559">
        <v>129</v>
      </c>
      <c r="D429" s="1041" t="s">
        <v>868</v>
      </c>
      <c r="E429" s="971">
        <f>F429+G429+L430</f>
        <v>6300</v>
      </c>
      <c r="F429" s="972"/>
      <c r="G429" s="1038"/>
      <c r="H429" s="974" t="s">
        <v>231</v>
      </c>
      <c r="I429" s="971"/>
      <c r="J429" s="995"/>
      <c r="K429" s="995"/>
      <c r="L429" s="569"/>
      <c r="M429" s="1002"/>
    </row>
    <row r="430" spans="1:13" ht="18" customHeight="1">
      <c r="A430" s="959">
        <v>422</v>
      </c>
      <c r="B430" s="1037"/>
      <c r="C430" s="559"/>
      <c r="D430" s="570" t="s">
        <v>765</v>
      </c>
      <c r="E430" s="971"/>
      <c r="F430" s="972"/>
      <c r="G430" s="1038"/>
      <c r="H430" s="974"/>
      <c r="I430" s="995">
        <v>6300</v>
      </c>
      <c r="J430" s="995"/>
      <c r="K430" s="995"/>
      <c r="L430" s="569">
        <f>SUM(F430:K430)</f>
        <v>6300</v>
      </c>
      <c r="M430" s="1002"/>
    </row>
    <row r="431" spans="1:13" ht="18" customHeight="1">
      <c r="A431" s="959">
        <v>423</v>
      </c>
      <c r="B431" s="1037"/>
      <c r="C431" s="559"/>
      <c r="D431" s="989" t="s">
        <v>1021</v>
      </c>
      <c r="E431" s="971"/>
      <c r="F431" s="972"/>
      <c r="G431" s="1038"/>
      <c r="H431" s="974"/>
      <c r="I431" s="990"/>
      <c r="J431" s="990"/>
      <c r="K431" s="995"/>
      <c r="L431" s="562">
        <f>SUM(F431:K431)</f>
        <v>0</v>
      </c>
      <c r="M431" s="1002"/>
    </row>
    <row r="432" spans="1:13" ht="22.5" customHeight="1">
      <c r="A432" s="959">
        <v>424</v>
      </c>
      <c r="B432" s="1037"/>
      <c r="C432" s="559">
        <v>130</v>
      </c>
      <c r="D432" s="1041" t="s">
        <v>869</v>
      </c>
      <c r="E432" s="971">
        <f>F432+G432+L433</f>
        <v>10000</v>
      </c>
      <c r="F432" s="972"/>
      <c r="G432" s="1038"/>
      <c r="H432" s="974" t="s">
        <v>231</v>
      </c>
      <c r="I432" s="971"/>
      <c r="J432" s="995"/>
      <c r="K432" s="995"/>
      <c r="L432" s="569"/>
      <c r="M432" s="1002"/>
    </row>
    <row r="433" spans="1:13" ht="18" customHeight="1">
      <c r="A433" s="959">
        <v>425</v>
      </c>
      <c r="B433" s="1037"/>
      <c r="C433" s="559"/>
      <c r="D433" s="570" t="s">
        <v>765</v>
      </c>
      <c r="E433" s="971"/>
      <c r="F433" s="972"/>
      <c r="G433" s="1038"/>
      <c r="H433" s="974"/>
      <c r="I433" s="971"/>
      <c r="J433" s="995">
        <v>10000</v>
      </c>
      <c r="K433" s="995"/>
      <c r="L433" s="569">
        <f>SUM(F433:K433)</f>
        <v>10000</v>
      </c>
      <c r="M433" s="1002"/>
    </row>
    <row r="434" spans="1:13" ht="18" customHeight="1">
      <c r="A434" s="959">
        <v>426</v>
      </c>
      <c r="B434" s="1037"/>
      <c r="C434" s="559"/>
      <c r="D434" s="989" t="s">
        <v>1021</v>
      </c>
      <c r="E434" s="971"/>
      <c r="F434" s="972"/>
      <c r="G434" s="1038"/>
      <c r="H434" s="974"/>
      <c r="I434" s="971"/>
      <c r="J434" s="990">
        <v>9670</v>
      </c>
      <c r="K434" s="995"/>
      <c r="L434" s="562">
        <f>SUM(F434:K434)</f>
        <v>9670</v>
      </c>
      <c r="M434" s="1002"/>
    </row>
    <row r="435" spans="1:13" ht="22.5" customHeight="1">
      <c r="A435" s="959">
        <v>427</v>
      </c>
      <c r="B435" s="1037"/>
      <c r="C435" s="559">
        <v>131</v>
      </c>
      <c r="D435" s="1041" t="s">
        <v>870</v>
      </c>
      <c r="E435" s="971">
        <f>F435+G435+L436</f>
        <v>6500</v>
      </c>
      <c r="F435" s="972"/>
      <c r="G435" s="1038"/>
      <c r="H435" s="974" t="s">
        <v>231</v>
      </c>
      <c r="I435" s="971"/>
      <c r="J435" s="995"/>
      <c r="K435" s="995"/>
      <c r="L435" s="569"/>
      <c r="M435" s="1002"/>
    </row>
    <row r="436" spans="1:13" ht="18" customHeight="1">
      <c r="A436" s="959">
        <v>428</v>
      </c>
      <c r="B436" s="1037"/>
      <c r="C436" s="559"/>
      <c r="D436" s="570" t="s">
        <v>765</v>
      </c>
      <c r="E436" s="971"/>
      <c r="F436" s="972"/>
      <c r="G436" s="1038"/>
      <c r="H436" s="974"/>
      <c r="I436" s="971"/>
      <c r="J436" s="995">
        <v>6500</v>
      </c>
      <c r="K436" s="995"/>
      <c r="L436" s="569">
        <f>SUM(F436:K436)</f>
        <v>6500</v>
      </c>
      <c r="M436" s="1002"/>
    </row>
    <row r="437" spans="1:13" ht="18" customHeight="1">
      <c r="A437" s="959">
        <v>429</v>
      </c>
      <c r="B437" s="1037"/>
      <c r="C437" s="559"/>
      <c r="D437" s="989" t="s">
        <v>1021</v>
      </c>
      <c r="E437" s="971"/>
      <c r="F437" s="972"/>
      <c r="G437" s="1038"/>
      <c r="H437" s="974"/>
      <c r="I437" s="971"/>
      <c r="J437" s="990">
        <v>6096</v>
      </c>
      <c r="K437" s="995"/>
      <c r="L437" s="562">
        <f>SUM(F437:K437)</f>
        <v>6096</v>
      </c>
      <c r="M437" s="1002"/>
    </row>
    <row r="438" spans="1:13" ht="36.75" customHeight="1">
      <c r="A438" s="959">
        <v>430</v>
      </c>
      <c r="B438" s="1037"/>
      <c r="C438" s="556">
        <v>132</v>
      </c>
      <c r="D438" s="1041" t="s">
        <v>871</v>
      </c>
      <c r="E438" s="971">
        <f>F438+G438+L439</f>
        <v>30000</v>
      </c>
      <c r="F438" s="972"/>
      <c r="G438" s="1038"/>
      <c r="H438" s="974" t="s">
        <v>231</v>
      </c>
      <c r="I438" s="971"/>
      <c r="J438" s="995"/>
      <c r="K438" s="995"/>
      <c r="L438" s="569"/>
      <c r="M438" s="1002"/>
    </row>
    <row r="439" spans="1:13" ht="18" customHeight="1">
      <c r="A439" s="959">
        <v>431</v>
      </c>
      <c r="B439" s="1037"/>
      <c r="C439" s="556"/>
      <c r="D439" s="570" t="s">
        <v>765</v>
      </c>
      <c r="E439" s="971"/>
      <c r="F439" s="972"/>
      <c r="G439" s="1038"/>
      <c r="H439" s="974"/>
      <c r="I439" s="971"/>
      <c r="J439" s="995">
        <v>30000</v>
      </c>
      <c r="K439" s="995"/>
      <c r="L439" s="569">
        <f>SUM(F439:K439)</f>
        <v>30000</v>
      </c>
      <c r="M439" s="1002"/>
    </row>
    <row r="440" spans="1:13" ht="18" customHeight="1">
      <c r="A440" s="959">
        <v>432</v>
      </c>
      <c r="B440" s="1037"/>
      <c r="C440" s="559"/>
      <c r="D440" s="989" t="s">
        <v>1021</v>
      </c>
      <c r="E440" s="971"/>
      <c r="F440" s="972"/>
      <c r="G440" s="1038"/>
      <c r="H440" s="974"/>
      <c r="I440" s="971"/>
      <c r="J440" s="990">
        <v>30000</v>
      </c>
      <c r="K440" s="995"/>
      <c r="L440" s="562">
        <f>SUM(F440:K440)</f>
        <v>30000</v>
      </c>
      <c r="M440" s="1002"/>
    </row>
    <row r="441" spans="1:13" ht="55.5" customHeight="1">
      <c r="A441" s="959">
        <v>433</v>
      </c>
      <c r="B441" s="1046"/>
      <c r="C441" s="1060">
        <v>133</v>
      </c>
      <c r="D441" s="1061" t="s">
        <v>872</v>
      </c>
      <c r="E441" s="971">
        <f>F441+G441+L442</f>
        <v>1247</v>
      </c>
      <c r="F441" s="1055"/>
      <c r="G441" s="1050"/>
      <c r="H441" s="1051" t="s">
        <v>231</v>
      </c>
      <c r="I441" s="1052"/>
      <c r="J441" s="1063"/>
      <c r="K441" s="1063"/>
      <c r="L441" s="563"/>
      <c r="M441" s="1047"/>
    </row>
    <row r="442" spans="1:13" ht="18" customHeight="1">
      <c r="A442" s="959">
        <v>434</v>
      </c>
      <c r="B442" s="1046"/>
      <c r="C442" s="1060"/>
      <c r="D442" s="570" t="s">
        <v>765</v>
      </c>
      <c r="E442" s="1062"/>
      <c r="F442" s="1055"/>
      <c r="G442" s="1050"/>
      <c r="H442" s="1051"/>
      <c r="I442" s="1052"/>
      <c r="J442" s="1063">
        <v>1247</v>
      </c>
      <c r="K442" s="1063"/>
      <c r="L442" s="569">
        <f>SUM(F442:K442)</f>
        <v>1247</v>
      </c>
      <c r="M442" s="1047"/>
    </row>
    <row r="443" spans="1:13" ht="18" customHeight="1">
      <c r="A443" s="959">
        <v>435</v>
      </c>
      <c r="B443" s="1046"/>
      <c r="C443" s="567"/>
      <c r="D443" s="989" t="s">
        <v>1021</v>
      </c>
      <c r="E443" s="1062"/>
      <c r="F443" s="1055"/>
      <c r="G443" s="1050"/>
      <c r="H443" s="1051"/>
      <c r="I443" s="1052"/>
      <c r="J443" s="1064">
        <v>1164</v>
      </c>
      <c r="K443" s="1063"/>
      <c r="L443" s="562">
        <f>SUM(F443:K443)</f>
        <v>1164</v>
      </c>
      <c r="M443" s="1047"/>
    </row>
    <row r="444" spans="1:13" ht="22.5" customHeight="1">
      <c r="A444" s="959">
        <v>436</v>
      </c>
      <c r="B444" s="1046"/>
      <c r="C444" s="567">
        <v>134</v>
      </c>
      <c r="D444" s="1061" t="s">
        <v>873</v>
      </c>
      <c r="E444" s="971">
        <f>F444+G444+L445</f>
        <v>1000</v>
      </c>
      <c r="F444" s="1055"/>
      <c r="G444" s="1050"/>
      <c r="H444" s="1051" t="s">
        <v>231</v>
      </c>
      <c r="I444" s="1052"/>
      <c r="J444" s="1063"/>
      <c r="K444" s="1063"/>
      <c r="L444" s="569"/>
      <c r="M444" s="1047"/>
    </row>
    <row r="445" spans="1:13" ht="18" customHeight="1">
      <c r="A445" s="959">
        <v>437</v>
      </c>
      <c r="B445" s="1046"/>
      <c r="C445" s="567"/>
      <c r="D445" s="570" t="s">
        <v>765</v>
      </c>
      <c r="E445" s="1062"/>
      <c r="F445" s="1055"/>
      <c r="G445" s="1050"/>
      <c r="H445" s="1051"/>
      <c r="I445" s="1052"/>
      <c r="J445" s="1063">
        <v>1000</v>
      </c>
      <c r="K445" s="1063"/>
      <c r="L445" s="569">
        <f>SUM(F445:K445)</f>
        <v>1000</v>
      </c>
      <c r="M445" s="1047"/>
    </row>
    <row r="446" spans="1:13" ht="18" customHeight="1">
      <c r="A446" s="959">
        <v>438</v>
      </c>
      <c r="B446" s="1046"/>
      <c r="C446" s="567"/>
      <c r="D446" s="989" t="s">
        <v>1021</v>
      </c>
      <c r="E446" s="1062"/>
      <c r="F446" s="1055"/>
      <c r="G446" s="1050"/>
      <c r="H446" s="1051"/>
      <c r="I446" s="1052"/>
      <c r="J446" s="1064"/>
      <c r="K446" s="1063"/>
      <c r="L446" s="562">
        <f>SUM(F446:K446)</f>
        <v>0</v>
      </c>
      <c r="M446" s="1047"/>
    </row>
    <row r="447" spans="1:13" ht="22.5" customHeight="1">
      <c r="A447" s="959">
        <v>439</v>
      </c>
      <c r="B447" s="1046"/>
      <c r="C447" s="567">
        <v>135</v>
      </c>
      <c r="D447" s="1061" t="s">
        <v>874</v>
      </c>
      <c r="E447" s="971">
        <f>F447+G447+L448</f>
        <v>1700</v>
      </c>
      <c r="F447" s="972"/>
      <c r="G447" s="1050"/>
      <c r="H447" s="1051" t="s">
        <v>80</v>
      </c>
      <c r="I447" s="1052"/>
      <c r="J447" s="1063"/>
      <c r="K447" s="1063"/>
      <c r="L447" s="569"/>
      <c r="M447" s="1047"/>
    </row>
    <row r="448" spans="1:13" ht="18" customHeight="1">
      <c r="A448" s="959">
        <v>440</v>
      </c>
      <c r="B448" s="1046"/>
      <c r="C448" s="567"/>
      <c r="D448" s="570" t="s">
        <v>765</v>
      </c>
      <c r="E448" s="1067"/>
      <c r="F448" s="1068"/>
      <c r="G448" s="1050"/>
      <c r="H448" s="1051"/>
      <c r="I448" s="1052"/>
      <c r="J448" s="1063">
        <v>1700</v>
      </c>
      <c r="K448" s="1063"/>
      <c r="L448" s="569">
        <f>SUM(F448:K448)</f>
        <v>1700</v>
      </c>
      <c r="M448" s="1047"/>
    </row>
    <row r="449" spans="1:13" ht="18" customHeight="1">
      <c r="A449" s="959">
        <v>441</v>
      </c>
      <c r="B449" s="1046"/>
      <c r="C449" s="567"/>
      <c r="D449" s="989" t="s">
        <v>1021</v>
      </c>
      <c r="E449" s="971"/>
      <c r="F449" s="972"/>
      <c r="G449" s="1050"/>
      <c r="H449" s="1051"/>
      <c r="I449" s="1052"/>
      <c r="J449" s="1064">
        <v>1184</v>
      </c>
      <c r="K449" s="1063"/>
      <c r="L449" s="562">
        <f>SUM(F449:K449)</f>
        <v>1184</v>
      </c>
      <c r="M449" s="1047"/>
    </row>
    <row r="450" spans="1:13" ht="22.5" customHeight="1">
      <c r="A450" s="959">
        <v>442</v>
      </c>
      <c r="B450" s="1046"/>
      <c r="C450" s="567">
        <v>136</v>
      </c>
      <c r="D450" s="1061" t="s">
        <v>875</v>
      </c>
      <c r="E450" s="971">
        <f>F450+G450+L451</f>
        <v>300</v>
      </c>
      <c r="F450" s="1068"/>
      <c r="G450" s="1050"/>
      <c r="H450" s="1051" t="s">
        <v>80</v>
      </c>
      <c r="I450" s="1052"/>
      <c r="J450" s="1063"/>
      <c r="K450" s="1063"/>
      <c r="L450" s="569"/>
      <c r="M450" s="1047"/>
    </row>
    <row r="451" spans="1:13" ht="18" customHeight="1">
      <c r="A451" s="959">
        <v>443</v>
      </c>
      <c r="B451" s="1046"/>
      <c r="C451" s="567"/>
      <c r="D451" s="570" t="s">
        <v>765</v>
      </c>
      <c r="E451" s="1062"/>
      <c r="F451" s="972"/>
      <c r="G451" s="1050"/>
      <c r="H451" s="1051"/>
      <c r="I451" s="1052"/>
      <c r="J451" s="1063">
        <v>300</v>
      </c>
      <c r="K451" s="1063"/>
      <c r="L451" s="569">
        <f>SUM(F451:K451)</f>
        <v>300</v>
      </c>
      <c r="M451" s="1047"/>
    </row>
    <row r="452" spans="1:13" ht="18" customHeight="1">
      <c r="A452" s="959">
        <v>444</v>
      </c>
      <c r="B452" s="1046"/>
      <c r="C452" s="567"/>
      <c r="D452" s="989" t="s">
        <v>1021</v>
      </c>
      <c r="E452" s="971"/>
      <c r="F452" s="972"/>
      <c r="G452" s="1050"/>
      <c r="H452" s="1051"/>
      <c r="I452" s="1052"/>
      <c r="J452" s="1064">
        <v>300</v>
      </c>
      <c r="K452" s="1063"/>
      <c r="L452" s="562">
        <f>SUM(F452:K452)</f>
        <v>300</v>
      </c>
      <c r="M452" s="1047"/>
    </row>
    <row r="453" spans="1:13" ht="34.5" customHeight="1">
      <c r="A453" s="959">
        <v>445</v>
      </c>
      <c r="B453" s="1046"/>
      <c r="C453" s="1060">
        <v>137</v>
      </c>
      <c r="D453" s="1061" t="s">
        <v>876</v>
      </c>
      <c r="E453" s="971">
        <f>F453+G453+L454</f>
        <v>10</v>
      </c>
      <c r="F453" s="1068"/>
      <c r="G453" s="1050"/>
      <c r="H453" s="1069" t="s">
        <v>231</v>
      </c>
      <c r="I453" s="1052"/>
      <c r="J453" s="1063"/>
      <c r="K453" s="1063"/>
      <c r="L453" s="571"/>
      <c r="M453" s="1047"/>
    </row>
    <row r="454" spans="1:13" ht="18" customHeight="1">
      <c r="A454" s="959">
        <v>446</v>
      </c>
      <c r="B454" s="1046"/>
      <c r="C454" s="1060"/>
      <c r="D454" s="570" t="s">
        <v>765</v>
      </c>
      <c r="E454" s="1067"/>
      <c r="F454" s="1068"/>
      <c r="G454" s="1050"/>
      <c r="H454" s="1069"/>
      <c r="I454" s="1052"/>
      <c r="J454" s="1063">
        <v>10</v>
      </c>
      <c r="K454" s="1063"/>
      <c r="L454" s="569">
        <f>SUM(F454:K454)</f>
        <v>10</v>
      </c>
      <c r="M454" s="1047"/>
    </row>
    <row r="455" spans="1:13" ht="18" customHeight="1">
      <c r="A455" s="959">
        <v>447</v>
      </c>
      <c r="B455" s="1046"/>
      <c r="C455" s="567"/>
      <c r="D455" s="989" t="s">
        <v>1021</v>
      </c>
      <c r="E455" s="1066"/>
      <c r="F455" s="972"/>
      <c r="G455" s="1050"/>
      <c r="H455" s="1051"/>
      <c r="I455" s="1052"/>
      <c r="J455" s="1064">
        <v>10</v>
      </c>
      <c r="K455" s="1063"/>
      <c r="L455" s="562">
        <f>SUM(F455:K455)</f>
        <v>10</v>
      </c>
      <c r="M455" s="1047"/>
    </row>
    <row r="456" spans="1:13" ht="36" customHeight="1">
      <c r="A456" s="959">
        <v>448</v>
      </c>
      <c r="B456" s="1046"/>
      <c r="C456" s="1060">
        <v>138</v>
      </c>
      <c r="D456" s="1061" t="s">
        <v>877</v>
      </c>
      <c r="E456" s="971">
        <f>F456+G456+L457</f>
        <v>119990</v>
      </c>
      <c r="F456" s="972"/>
      <c r="G456" s="1050"/>
      <c r="H456" s="1069" t="s">
        <v>231</v>
      </c>
      <c r="I456" s="1052"/>
      <c r="J456" s="1063"/>
      <c r="K456" s="1063"/>
      <c r="L456" s="563"/>
      <c r="M456" s="1047"/>
    </row>
    <row r="457" spans="1:13" ht="18" customHeight="1">
      <c r="A457" s="959">
        <v>449</v>
      </c>
      <c r="B457" s="1046"/>
      <c r="C457" s="1060"/>
      <c r="D457" s="570" t="s">
        <v>765</v>
      </c>
      <c r="E457" s="1066"/>
      <c r="F457" s="972"/>
      <c r="G457" s="1050"/>
      <c r="H457" s="1069"/>
      <c r="I457" s="1052"/>
      <c r="J457" s="1063">
        <v>119990</v>
      </c>
      <c r="K457" s="1063"/>
      <c r="L457" s="569">
        <f>SUM(F457:K457)</f>
        <v>119990</v>
      </c>
      <c r="M457" s="1047"/>
    </row>
    <row r="458" spans="1:13" ht="18" customHeight="1">
      <c r="A458" s="959">
        <v>450</v>
      </c>
      <c r="B458" s="1046"/>
      <c r="C458" s="567"/>
      <c r="D458" s="989" t="s">
        <v>1021</v>
      </c>
      <c r="E458" s="1066"/>
      <c r="F458" s="972"/>
      <c r="G458" s="1050"/>
      <c r="H458" s="1051"/>
      <c r="I458" s="1052"/>
      <c r="J458" s="1064">
        <v>119990</v>
      </c>
      <c r="K458" s="1063"/>
      <c r="L458" s="562">
        <f>SUM(F458:K458)</f>
        <v>119990</v>
      </c>
      <c r="M458" s="1047"/>
    </row>
    <row r="459" spans="1:13" ht="37.5" customHeight="1">
      <c r="A459" s="959">
        <v>451</v>
      </c>
      <c r="B459" s="1046"/>
      <c r="C459" s="1060">
        <v>139</v>
      </c>
      <c r="D459" s="1061" t="s">
        <v>878</v>
      </c>
      <c r="E459" s="971">
        <f>F459+G459+L460</f>
        <v>10150</v>
      </c>
      <c r="F459" s="972"/>
      <c r="G459" s="1050"/>
      <c r="H459" s="1069" t="s">
        <v>80</v>
      </c>
      <c r="I459" s="1052"/>
      <c r="J459" s="1063"/>
      <c r="K459" s="1063"/>
      <c r="L459" s="563"/>
      <c r="M459" s="1047"/>
    </row>
    <row r="460" spans="1:13" ht="18" customHeight="1">
      <c r="A460" s="959">
        <v>452</v>
      </c>
      <c r="B460" s="1046"/>
      <c r="C460" s="1060"/>
      <c r="D460" s="570" t="s">
        <v>765</v>
      </c>
      <c r="E460" s="1066"/>
      <c r="F460" s="972"/>
      <c r="G460" s="1050"/>
      <c r="H460" s="1069"/>
      <c r="I460" s="1052"/>
      <c r="J460" s="1063">
        <v>10150</v>
      </c>
      <c r="K460" s="1063"/>
      <c r="L460" s="569">
        <f>SUM(F460:K460)</f>
        <v>10150</v>
      </c>
      <c r="M460" s="1047"/>
    </row>
    <row r="461" spans="1:13" ht="18" customHeight="1">
      <c r="A461" s="959">
        <v>453</v>
      </c>
      <c r="B461" s="1046"/>
      <c r="C461" s="567"/>
      <c r="D461" s="989" t="s">
        <v>1021</v>
      </c>
      <c r="E461" s="1066"/>
      <c r="F461" s="972"/>
      <c r="G461" s="1050"/>
      <c r="H461" s="1051"/>
      <c r="I461" s="1052"/>
      <c r="J461" s="1064">
        <v>9739</v>
      </c>
      <c r="K461" s="1063"/>
      <c r="L461" s="562">
        <f>SUM(F461:K461)</f>
        <v>9739</v>
      </c>
      <c r="M461" s="1047"/>
    </row>
    <row r="462" spans="1:13" ht="22.5" customHeight="1">
      <c r="A462" s="959">
        <v>454</v>
      </c>
      <c r="B462" s="1046"/>
      <c r="C462" s="567">
        <v>140</v>
      </c>
      <c r="D462" s="1070" t="s">
        <v>879</v>
      </c>
      <c r="E462" s="971">
        <f>F462+G462+L463</f>
        <v>50000</v>
      </c>
      <c r="F462" s="972"/>
      <c r="G462" s="1050"/>
      <c r="H462" s="1051" t="s">
        <v>231</v>
      </c>
      <c r="I462" s="1052"/>
      <c r="J462" s="1063"/>
      <c r="K462" s="1063"/>
      <c r="L462" s="572"/>
      <c r="M462" s="1047"/>
    </row>
    <row r="463" spans="1:13" ht="18" customHeight="1">
      <c r="A463" s="959">
        <v>455</v>
      </c>
      <c r="B463" s="1046"/>
      <c r="C463" s="567"/>
      <c r="D463" s="1065" t="s">
        <v>765</v>
      </c>
      <c r="E463" s="1052"/>
      <c r="F463" s="1055"/>
      <c r="G463" s="1050"/>
      <c r="H463" s="1051"/>
      <c r="I463" s="1052"/>
      <c r="J463" s="1063"/>
      <c r="K463" s="1063">
        <v>50000</v>
      </c>
      <c r="L463" s="572">
        <f>SUM(J463:K463)</f>
        <v>50000</v>
      </c>
      <c r="M463" s="1047"/>
    </row>
    <row r="464" spans="1:13" ht="18" customHeight="1">
      <c r="A464" s="959">
        <v>456</v>
      </c>
      <c r="B464" s="1046"/>
      <c r="C464" s="567"/>
      <c r="D464" s="989" t="s">
        <v>1021</v>
      </c>
      <c r="E464" s="1052"/>
      <c r="F464" s="1055"/>
      <c r="G464" s="1050"/>
      <c r="H464" s="1051"/>
      <c r="I464" s="1052"/>
      <c r="J464" s="1063"/>
      <c r="K464" s="1064">
        <v>50000</v>
      </c>
      <c r="L464" s="562">
        <f>SUM(F464:K464)</f>
        <v>50000</v>
      </c>
      <c r="M464" s="1047"/>
    </row>
    <row r="465" spans="1:13" ht="34.5" customHeight="1">
      <c r="A465" s="959">
        <v>457</v>
      </c>
      <c r="B465" s="1046"/>
      <c r="C465" s="1060">
        <v>141</v>
      </c>
      <c r="D465" s="1071" t="s">
        <v>880</v>
      </c>
      <c r="E465" s="971">
        <f>F465+G465+L466</f>
        <v>22600</v>
      </c>
      <c r="F465" s="972"/>
      <c r="G465" s="1050"/>
      <c r="H465" s="1051" t="s">
        <v>231</v>
      </c>
      <c r="I465" s="1052"/>
      <c r="J465" s="1063"/>
      <c r="K465" s="1063"/>
      <c r="L465" s="572"/>
      <c r="M465" s="1047"/>
    </row>
    <row r="466" spans="1:13" ht="18" customHeight="1">
      <c r="A466" s="959">
        <v>458</v>
      </c>
      <c r="B466" s="1046"/>
      <c r="C466" s="1060"/>
      <c r="D466" s="1065" t="s">
        <v>765</v>
      </c>
      <c r="E466" s="1062"/>
      <c r="F466" s="972"/>
      <c r="G466" s="1050"/>
      <c r="H466" s="1051"/>
      <c r="I466" s="1052"/>
      <c r="J466" s="1063">
        <v>22600</v>
      </c>
      <c r="K466" s="1063"/>
      <c r="L466" s="572">
        <f>SUM(J466:K466)</f>
        <v>22600</v>
      </c>
      <c r="M466" s="1047"/>
    </row>
    <row r="467" spans="1:13" ht="18" customHeight="1">
      <c r="A467" s="959">
        <v>459</v>
      </c>
      <c r="B467" s="1046"/>
      <c r="C467" s="567"/>
      <c r="D467" s="989" t="s">
        <v>1021</v>
      </c>
      <c r="E467" s="971"/>
      <c r="F467" s="972"/>
      <c r="G467" s="1050"/>
      <c r="H467" s="1051"/>
      <c r="I467" s="1052"/>
      <c r="J467" s="1064"/>
      <c r="K467" s="1063"/>
      <c r="L467" s="562">
        <f>SUM(F467:K467)</f>
        <v>0</v>
      </c>
      <c r="M467" s="1047"/>
    </row>
    <row r="468" spans="1:13" ht="72.75" customHeight="1">
      <c r="A468" s="959">
        <v>460</v>
      </c>
      <c r="B468" s="1046"/>
      <c r="C468" s="1060">
        <v>142</v>
      </c>
      <c r="D468" s="1071" t="s">
        <v>881</v>
      </c>
      <c r="E468" s="971">
        <f>F468+G468+L469</f>
        <v>5164</v>
      </c>
      <c r="F468" s="972"/>
      <c r="G468" s="1050"/>
      <c r="H468" s="1051" t="s">
        <v>231</v>
      </c>
      <c r="I468" s="1052"/>
      <c r="J468" s="1063"/>
      <c r="K468" s="1063"/>
      <c r="L468" s="572"/>
      <c r="M468" s="1047"/>
    </row>
    <row r="469" spans="1:13" ht="18" customHeight="1">
      <c r="A469" s="959">
        <v>461</v>
      </c>
      <c r="B469" s="1046"/>
      <c r="C469" s="1060"/>
      <c r="D469" s="1065" t="s">
        <v>765</v>
      </c>
      <c r="E469" s="1062"/>
      <c r="F469" s="972"/>
      <c r="G469" s="1050"/>
      <c r="H469" s="1051"/>
      <c r="I469" s="1052"/>
      <c r="J469" s="1063">
        <v>5164</v>
      </c>
      <c r="K469" s="1063"/>
      <c r="L469" s="572">
        <f>SUM(J469:K469)</f>
        <v>5164</v>
      </c>
      <c r="M469" s="1047"/>
    </row>
    <row r="470" spans="1:13" ht="18" customHeight="1">
      <c r="A470" s="959">
        <v>462</v>
      </c>
      <c r="B470" s="1046"/>
      <c r="C470" s="567"/>
      <c r="D470" s="989" t="s">
        <v>1021</v>
      </c>
      <c r="E470" s="971"/>
      <c r="F470" s="972"/>
      <c r="G470" s="1050"/>
      <c r="H470" s="1051"/>
      <c r="I470" s="1052"/>
      <c r="J470" s="1064"/>
      <c r="K470" s="1063"/>
      <c r="L470" s="562">
        <f>SUM(F470:K470)</f>
        <v>0</v>
      </c>
      <c r="M470" s="1047"/>
    </row>
    <row r="471" spans="1:13" ht="38.25" customHeight="1">
      <c r="A471" s="959">
        <v>463</v>
      </c>
      <c r="B471" s="1046"/>
      <c r="C471" s="1060">
        <v>143</v>
      </c>
      <c r="D471" s="1071" t="s">
        <v>882</v>
      </c>
      <c r="E471" s="971">
        <f>F471+G471+L472</f>
        <v>4847</v>
      </c>
      <c r="F471" s="972"/>
      <c r="G471" s="1050"/>
      <c r="H471" s="1051" t="s">
        <v>231</v>
      </c>
      <c r="I471" s="1052"/>
      <c r="J471" s="1063"/>
      <c r="K471" s="1063"/>
      <c r="L471" s="572"/>
      <c r="M471" s="1047"/>
    </row>
    <row r="472" spans="1:13" ht="18" customHeight="1">
      <c r="A472" s="959">
        <v>464</v>
      </c>
      <c r="B472" s="1046"/>
      <c r="C472" s="1060"/>
      <c r="D472" s="1065" t="s">
        <v>765</v>
      </c>
      <c r="E472" s="1062"/>
      <c r="F472" s="972"/>
      <c r="G472" s="1050"/>
      <c r="H472" s="1051"/>
      <c r="I472" s="1052"/>
      <c r="J472" s="1063">
        <v>4847</v>
      </c>
      <c r="K472" s="1063"/>
      <c r="L472" s="572">
        <f>SUM(J472:K472)</f>
        <v>4847</v>
      </c>
      <c r="M472" s="1047"/>
    </row>
    <row r="473" spans="1:13" ht="18" customHeight="1">
      <c r="A473" s="959">
        <v>465</v>
      </c>
      <c r="B473" s="1046"/>
      <c r="C473" s="567"/>
      <c r="D473" s="989" t="s">
        <v>1021</v>
      </c>
      <c r="E473" s="971"/>
      <c r="F473" s="972"/>
      <c r="G473" s="1050"/>
      <c r="H473" s="1051"/>
      <c r="I473" s="1052"/>
      <c r="J473" s="1064"/>
      <c r="K473" s="1063"/>
      <c r="L473" s="562">
        <f>SUM(F473:K473)</f>
        <v>0</v>
      </c>
      <c r="M473" s="1047"/>
    </row>
    <row r="474" spans="1:13" ht="22.5" customHeight="1">
      <c r="A474" s="959">
        <v>466</v>
      </c>
      <c r="B474" s="1046"/>
      <c r="C474" s="567">
        <v>144</v>
      </c>
      <c r="D474" s="1071" t="s">
        <v>1265</v>
      </c>
      <c r="E474" s="971">
        <f>F474+G474+L475</f>
        <v>4297</v>
      </c>
      <c r="F474" s="972"/>
      <c r="G474" s="1050"/>
      <c r="H474" s="1051" t="s">
        <v>231</v>
      </c>
      <c r="I474" s="1052"/>
      <c r="J474" s="1063"/>
      <c r="K474" s="1063"/>
      <c r="L474" s="572"/>
      <c r="M474" s="1047"/>
    </row>
    <row r="475" spans="1:13" ht="18" customHeight="1">
      <c r="A475" s="959">
        <v>467</v>
      </c>
      <c r="B475" s="1046"/>
      <c r="C475" s="567"/>
      <c r="D475" s="1065" t="s">
        <v>765</v>
      </c>
      <c r="E475" s="1062"/>
      <c r="F475" s="972"/>
      <c r="G475" s="1050"/>
      <c r="H475" s="1051"/>
      <c r="I475" s="1052"/>
      <c r="J475" s="1063">
        <v>4297</v>
      </c>
      <c r="K475" s="1063"/>
      <c r="L475" s="572">
        <f>SUM(J475:K475)</f>
        <v>4297</v>
      </c>
      <c r="M475" s="1047"/>
    </row>
    <row r="476" spans="1:13" ht="18" customHeight="1">
      <c r="A476" s="959">
        <v>468</v>
      </c>
      <c r="B476" s="1046"/>
      <c r="C476" s="567"/>
      <c r="D476" s="989" t="s">
        <v>1021</v>
      </c>
      <c r="E476" s="971"/>
      <c r="F476" s="972"/>
      <c r="G476" s="1050"/>
      <c r="H476" s="1051"/>
      <c r="I476" s="1052"/>
      <c r="J476" s="1064"/>
      <c r="K476" s="1063"/>
      <c r="L476" s="562">
        <f>SUM(F476:K476)</f>
        <v>0</v>
      </c>
      <c r="M476" s="1047"/>
    </row>
    <row r="477" spans="1:13" ht="22.5" customHeight="1">
      <c r="A477" s="959">
        <v>469</v>
      </c>
      <c r="B477" s="1046"/>
      <c r="C477" s="567">
        <v>145</v>
      </c>
      <c r="D477" s="1071" t="s">
        <v>638</v>
      </c>
      <c r="E477" s="971">
        <f>F477+G477+L478</f>
        <v>500</v>
      </c>
      <c r="F477" s="1073"/>
      <c r="G477" s="1050"/>
      <c r="H477" s="1051" t="s">
        <v>231</v>
      </c>
      <c r="I477" s="1052"/>
      <c r="J477" s="1063"/>
      <c r="K477" s="1063"/>
      <c r="L477" s="572"/>
      <c r="M477" s="1047"/>
    </row>
    <row r="478" spans="1:13" ht="18" customHeight="1">
      <c r="A478" s="959">
        <v>470</v>
      </c>
      <c r="B478" s="1046"/>
      <c r="C478" s="567"/>
      <c r="D478" s="1065" t="s">
        <v>765</v>
      </c>
      <c r="E478" s="1072"/>
      <c r="F478" s="1073"/>
      <c r="G478" s="1050"/>
      <c r="H478" s="1051"/>
      <c r="I478" s="1052"/>
      <c r="J478" s="1063"/>
      <c r="K478" s="573">
        <v>500</v>
      </c>
      <c r="L478" s="572">
        <f>SUM(J478:K478)</f>
        <v>500</v>
      </c>
      <c r="M478" s="1047"/>
    </row>
    <row r="479" spans="1:13" ht="18" customHeight="1">
      <c r="A479" s="959">
        <v>471</v>
      </c>
      <c r="B479" s="1046"/>
      <c r="C479" s="567"/>
      <c r="D479" s="989" t="s">
        <v>1021</v>
      </c>
      <c r="E479" s="1072"/>
      <c r="F479" s="1073"/>
      <c r="G479" s="1050"/>
      <c r="H479" s="1051"/>
      <c r="I479" s="1052"/>
      <c r="J479" s="1063"/>
      <c r="K479" s="1064">
        <v>500</v>
      </c>
      <c r="L479" s="562">
        <f>SUM(F479:K479)</f>
        <v>500</v>
      </c>
      <c r="M479" s="1047"/>
    </row>
    <row r="480" spans="1:13" ht="36.75" customHeight="1">
      <c r="A480" s="959">
        <v>472</v>
      </c>
      <c r="B480" s="1046"/>
      <c r="C480" s="1060">
        <v>146</v>
      </c>
      <c r="D480" s="1071" t="s">
        <v>883</v>
      </c>
      <c r="E480" s="971">
        <f>F480+G480+L481</f>
        <v>19050</v>
      </c>
      <c r="F480" s="972"/>
      <c r="G480" s="1050"/>
      <c r="H480" s="1051" t="s">
        <v>231</v>
      </c>
      <c r="I480" s="1052"/>
      <c r="J480" s="1063"/>
      <c r="K480" s="1063"/>
      <c r="L480" s="572"/>
      <c r="M480" s="1047"/>
    </row>
    <row r="481" spans="1:13" ht="18" customHeight="1">
      <c r="A481" s="959">
        <v>473</v>
      </c>
      <c r="B481" s="1046"/>
      <c r="C481" s="1060"/>
      <c r="D481" s="1065" t="s">
        <v>765</v>
      </c>
      <c r="E481" s="971"/>
      <c r="F481" s="972"/>
      <c r="G481" s="1050"/>
      <c r="H481" s="1051"/>
      <c r="I481" s="1052"/>
      <c r="J481" s="1063">
        <v>19050</v>
      </c>
      <c r="K481" s="1063"/>
      <c r="L481" s="572">
        <f>SUM(J481:K481)</f>
        <v>19050</v>
      </c>
      <c r="M481" s="1047"/>
    </row>
    <row r="482" spans="1:13" ht="18" customHeight="1">
      <c r="A482" s="959">
        <v>474</v>
      </c>
      <c r="B482" s="1046"/>
      <c r="C482" s="567"/>
      <c r="D482" s="989" t="s">
        <v>1021</v>
      </c>
      <c r="E482" s="971"/>
      <c r="F482" s="972"/>
      <c r="G482" s="1050"/>
      <c r="H482" s="1051"/>
      <c r="I482" s="1052"/>
      <c r="J482" s="1064"/>
      <c r="K482" s="1063"/>
      <c r="L482" s="562">
        <f>SUM(F482:K482)</f>
        <v>0</v>
      </c>
      <c r="M482" s="1047"/>
    </row>
    <row r="483" spans="1:13" ht="66" customHeight="1">
      <c r="A483" s="959">
        <v>475</v>
      </c>
      <c r="B483" s="1046"/>
      <c r="C483" s="1060">
        <v>147</v>
      </c>
      <c r="D483" s="1074" t="s">
        <v>884</v>
      </c>
      <c r="E483" s="971">
        <f>F483+G483+L484</f>
        <v>392</v>
      </c>
      <c r="F483" s="972"/>
      <c r="G483" s="1050"/>
      <c r="H483" s="1051" t="s">
        <v>231</v>
      </c>
      <c r="I483" s="1052"/>
      <c r="J483" s="1063"/>
      <c r="K483" s="1063"/>
      <c r="L483" s="572"/>
      <c r="M483" s="1047"/>
    </row>
    <row r="484" spans="1:13" ht="18" customHeight="1">
      <c r="A484" s="959">
        <v>476</v>
      </c>
      <c r="B484" s="1046"/>
      <c r="C484" s="1060"/>
      <c r="D484" s="1065" t="s">
        <v>765</v>
      </c>
      <c r="E484" s="971"/>
      <c r="F484" s="972"/>
      <c r="G484" s="1050"/>
      <c r="H484" s="1051"/>
      <c r="I484" s="1052"/>
      <c r="J484" s="1063"/>
      <c r="K484" s="1063">
        <v>392</v>
      </c>
      <c r="L484" s="572">
        <f>SUM(J484:K484)</f>
        <v>392</v>
      </c>
      <c r="M484" s="1047"/>
    </row>
    <row r="485" spans="1:13" ht="18" customHeight="1">
      <c r="A485" s="959">
        <v>477</v>
      </c>
      <c r="B485" s="1046"/>
      <c r="C485" s="567"/>
      <c r="D485" s="989" t="s">
        <v>1021</v>
      </c>
      <c r="E485" s="971"/>
      <c r="F485" s="972"/>
      <c r="G485" s="1050"/>
      <c r="H485" s="1051"/>
      <c r="I485" s="1052"/>
      <c r="J485" s="1063"/>
      <c r="K485" s="1064">
        <v>392</v>
      </c>
      <c r="L485" s="562">
        <f>SUM(F485:K485)</f>
        <v>392</v>
      </c>
      <c r="M485" s="1047"/>
    </row>
    <row r="486" spans="1:13" ht="22.5" customHeight="1">
      <c r="A486" s="959">
        <v>478</v>
      </c>
      <c r="B486" s="1046"/>
      <c r="C486" s="567">
        <v>148</v>
      </c>
      <c r="D486" s="1074" t="s">
        <v>885</v>
      </c>
      <c r="E486" s="971">
        <f>F486+G486+L487</f>
        <v>10800</v>
      </c>
      <c r="F486" s="972"/>
      <c r="G486" s="1050"/>
      <c r="H486" s="1051" t="s">
        <v>231</v>
      </c>
      <c r="I486" s="1052"/>
      <c r="J486" s="1063"/>
      <c r="K486" s="1063"/>
      <c r="L486" s="572"/>
      <c r="M486" s="1047"/>
    </row>
    <row r="487" spans="1:13" ht="18" customHeight="1">
      <c r="A487" s="959">
        <v>479</v>
      </c>
      <c r="B487" s="1046"/>
      <c r="C487" s="567"/>
      <c r="D487" s="1065" t="s">
        <v>765</v>
      </c>
      <c r="E487" s="971"/>
      <c r="F487" s="972"/>
      <c r="G487" s="1050"/>
      <c r="H487" s="1051"/>
      <c r="I487" s="1052"/>
      <c r="J487" s="1063">
        <v>10800</v>
      </c>
      <c r="K487" s="1063"/>
      <c r="L487" s="563">
        <f>SUM(F487:K487)</f>
        <v>10800</v>
      </c>
      <c r="M487" s="1047"/>
    </row>
    <row r="488" spans="1:13" ht="18" customHeight="1">
      <c r="A488" s="959">
        <v>480</v>
      </c>
      <c r="B488" s="1046"/>
      <c r="C488" s="567"/>
      <c r="D488" s="989" t="s">
        <v>1021</v>
      </c>
      <c r="E488" s="971"/>
      <c r="F488" s="972"/>
      <c r="G488" s="1050"/>
      <c r="H488" s="1051"/>
      <c r="I488" s="1052"/>
      <c r="J488" s="1064"/>
      <c r="K488" s="1063"/>
      <c r="L488" s="562">
        <f>SUM(F488:K488)</f>
        <v>0</v>
      </c>
      <c r="M488" s="1047"/>
    </row>
    <row r="489" spans="1:13" ht="22.5" customHeight="1">
      <c r="A489" s="959">
        <v>481</v>
      </c>
      <c r="B489" s="1046"/>
      <c r="C489" s="567">
        <v>149</v>
      </c>
      <c r="D489" s="1074" t="s">
        <v>886</v>
      </c>
      <c r="E489" s="971">
        <f>F489+G489+L490</f>
        <v>4000</v>
      </c>
      <c r="F489" s="1073"/>
      <c r="G489" s="1050"/>
      <c r="H489" s="1051" t="s">
        <v>231</v>
      </c>
      <c r="I489" s="1052"/>
      <c r="J489" s="1063"/>
      <c r="K489" s="1063"/>
      <c r="L489" s="572"/>
      <c r="M489" s="1047"/>
    </row>
    <row r="490" spans="1:13" ht="18" customHeight="1">
      <c r="A490" s="959">
        <v>482</v>
      </c>
      <c r="B490" s="1046"/>
      <c r="C490" s="567"/>
      <c r="D490" s="1065" t="s">
        <v>765</v>
      </c>
      <c r="E490" s="1072"/>
      <c r="F490" s="1073"/>
      <c r="G490" s="1050"/>
      <c r="H490" s="1051"/>
      <c r="I490" s="1052"/>
      <c r="J490" s="1063">
        <v>4000</v>
      </c>
      <c r="K490" s="1063"/>
      <c r="L490" s="563">
        <f>SUM(F490:K490)</f>
        <v>4000</v>
      </c>
      <c r="M490" s="1047"/>
    </row>
    <row r="491" spans="1:13" ht="18" customHeight="1">
      <c r="A491" s="959">
        <v>483</v>
      </c>
      <c r="B491" s="1046"/>
      <c r="C491" s="567"/>
      <c r="D491" s="989" t="s">
        <v>1021</v>
      </c>
      <c r="E491" s="1072"/>
      <c r="F491" s="1073"/>
      <c r="G491" s="1050"/>
      <c r="H491" s="1051"/>
      <c r="I491" s="1052"/>
      <c r="J491" s="1064"/>
      <c r="K491" s="1063"/>
      <c r="L491" s="562">
        <f>SUM(F491:K491)</f>
        <v>0</v>
      </c>
      <c r="M491" s="1047"/>
    </row>
    <row r="492" spans="1:13" ht="22.5" customHeight="1">
      <c r="A492" s="959">
        <v>484</v>
      </c>
      <c r="B492" s="1046"/>
      <c r="C492" s="567">
        <v>150</v>
      </c>
      <c r="D492" s="1074" t="s">
        <v>887</v>
      </c>
      <c r="E492" s="971">
        <f>F492+G492+L493</f>
        <v>3000</v>
      </c>
      <c r="F492" s="1073"/>
      <c r="G492" s="1050"/>
      <c r="H492" s="1051" t="s">
        <v>231</v>
      </c>
      <c r="I492" s="1052"/>
      <c r="J492" s="1063"/>
      <c r="K492" s="1063"/>
      <c r="L492" s="572"/>
      <c r="M492" s="1047"/>
    </row>
    <row r="493" spans="1:13" ht="18" customHeight="1">
      <c r="A493" s="959">
        <v>485</v>
      </c>
      <c r="B493" s="1046"/>
      <c r="C493" s="567"/>
      <c r="D493" s="1065" t="s">
        <v>765</v>
      </c>
      <c r="E493" s="1072"/>
      <c r="F493" s="1073"/>
      <c r="G493" s="1050"/>
      <c r="H493" s="1051"/>
      <c r="I493" s="1052"/>
      <c r="J493" s="1063">
        <v>3000</v>
      </c>
      <c r="K493" s="1063"/>
      <c r="L493" s="563">
        <f>SUM(F493:K493)</f>
        <v>3000</v>
      </c>
      <c r="M493" s="1047"/>
    </row>
    <row r="494" spans="1:13" ht="18" customHeight="1">
      <c r="A494" s="959">
        <v>486</v>
      </c>
      <c r="B494" s="1046"/>
      <c r="C494" s="567"/>
      <c r="D494" s="989" t="s">
        <v>1021</v>
      </c>
      <c r="E494" s="1072"/>
      <c r="F494" s="1073"/>
      <c r="G494" s="1050"/>
      <c r="H494" s="1051"/>
      <c r="I494" s="1052"/>
      <c r="J494" s="1064"/>
      <c r="K494" s="1063"/>
      <c r="L494" s="562">
        <f>SUM(F494:K494)</f>
        <v>0</v>
      </c>
      <c r="M494" s="1047"/>
    </row>
    <row r="495" spans="1:13" ht="22.5" customHeight="1">
      <c r="A495" s="959">
        <v>487</v>
      </c>
      <c r="B495" s="1046"/>
      <c r="C495" s="567">
        <v>151</v>
      </c>
      <c r="D495" s="1074" t="s">
        <v>1266</v>
      </c>
      <c r="E495" s="971">
        <f>F495+G495+L496</f>
        <v>5000</v>
      </c>
      <c r="F495" s="1073"/>
      <c r="G495" s="1050"/>
      <c r="H495" s="1051" t="s">
        <v>231</v>
      </c>
      <c r="I495" s="1052"/>
      <c r="J495" s="1063"/>
      <c r="K495" s="1063"/>
      <c r="L495" s="572"/>
      <c r="M495" s="1047"/>
    </row>
    <row r="496" spans="1:13" ht="18" customHeight="1">
      <c r="A496" s="959">
        <v>488</v>
      </c>
      <c r="B496" s="1046"/>
      <c r="C496" s="567"/>
      <c r="D496" s="1065" t="s">
        <v>765</v>
      </c>
      <c r="E496" s="1072"/>
      <c r="F496" s="1073"/>
      <c r="G496" s="1050"/>
      <c r="H496" s="1051"/>
      <c r="I496" s="1052"/>
      <c r="J496" s="1063">
        <v>5000</v>
      </c>
      <c r="K496" s="1063"/>
      <c r="L496" s="563">
        <f>SUM(F496:K496)</f>
        <v>5000</v>
      </c>
      <c r="M496" s="1047"/>
    </row>
    <row r="497" spans="1:13" ht="18" customHeight="1">
      <c r="A497" s="959">
        <v>489</v>
      </c>
      <c r="B497" s="1046"/>
      <c r="C497" s="567"/>
      <c r="D497" s="989" t="s">
        <v>1021</v>
      </c>
      <c r="E497" s="1072"/>
      <c r="F497" s="1073"/>
      <c r="G497" s="1050"/>
      <c r="H497" s="1051"/>
      <c r="I497" s="1052"/>
      <c r="J497" s="1064"/>
      <c r="K497" s="1063"/>
      <c r="L497" s="562">
        <f>SUM(F497:K497)</f>
        <v>0</v>
      </c>
      <c r="M497" s="1047"/>
    </row>
    <row r="498" spans="1:13" ht="22.5" customHeight="1">
      <c r="A498" s="959">
        <v>490</v>
      </c>
      <c r="B498" s="1046"/>
      <c r="C498" s="567">
        <v>152</v>
      </c>
      <c r="D498" s="1074" t="s">
        <v>888</v>
      </c>
      <c r="E498" s="971">
        <f>F498+G498+L499</f>
        <v>4400</v>
      </c>
      <c r="F498" s="1073"/>
      <c r="G498" s="1050"/>
      <c r="H498" s="1051" t="s">
        <v>231</v>
      </c>
      <c r="I498" s="1052"/>
      <c r="J498" s="1063"/>
      <c r="K498" s="1063"/>
      <c r="L498" s="572"/>
      <c r="M498" s="1047"/>
    </row>
    <row r="499" spans="1:13" ht="18" customHeight="1">
      <c r="A499" s="959">
        <v>491</v>
      </c>
      <c r="B499" s="1046"/>
      <c r="C499" s="567"/>
      <c r="D499" s="1065" t="s">
        <v>765</v>
      </c>
      <c r="E499" s="1072"/>
      <c r="F499" s="1073"/>
      <c r="G499" s="1050"/>
      <c r="H499" s="1051"/>
      <c r="I499" s="1052"/>
      <c r="J499" s="1063">
        <v>4400</v>
      </c>
      <c r="K499" s="1063"/>
      <c r="L499" s="563">
        <f>SUM(F499:K499)</f>
        <v>4400</v>
      </c>
      <c r="M499" s="1047"/>
    </row>
    <row r="500" spans="1:13" ht="18" customHeight="1">
      <c r="A500" s="959">
        <v>492</v>
      </c>
      <c r="B500" s="1046"/>
      <c r="C500" s="567"/>
      <c r="D500" s="989" t="s">
        <v>1021</v>
      </c>
      <c r="E500" s="1072"/>
      <c r="F500" s="1073"/>
      <c r="G500" s="1050"/>
      <c r="H500" s="1051"/>
      <c r="I500" s="1052"/>
      <c r="J500" s="1064"/>
      <c r="K500" s="1063"/>
      <c r="L500" s="562">
        <f>SUM(F500:K500)</f>
        <v>0</v>
      </c>
      <c r="M500" s="1047"/>
    </row>
    <row r="501" spans="1:13" ht="22.5" customHeight="1">
      <c r="A501" s="959">
        <v>493</v>
      </c>
      <c r="B501" s="1046"/>
      <c r="C501" s="567">
        <v>153</v>
      </c>
      <c r="D501" s="1074" t="s">
        <v>889</v>
      </c>
      <c r="E501" s="971">
        <f>F501+G501+L502</f>
        <v>18000</v>
      </c>
      <c r="F501" s="1073"/>
      <c r="G501" s="1050"/>
      <c r="H501" s="1051" t="s">
        <v>231</v>
      </c>
      <c r="I501" s="1052"/>
      <c r="J501" s="1063"/>
      <c r="K501" s="1063"/>
      <c r="L501" s="572"/>
      <c r="M501" s="1047"/>
    </row>
    <row r="502" spans="1:13" ht="18" customHeight="1">
      <c r="A502" s="959">
        <v>494</v>
      </c>
      <c r="B502" s="1046"/>
      <c r="C502" s="567"/>
      <c r="D502" s="1065" t="s">
        <v>765</v>
      </c>
      <c r="E502" s="1072"/>
      <c r="F502" s="1073"/>
      <c r="G502" s="1050"/>
      <c r="H502" s="1051"/>
      <c r="I502" s="1052"/>
      <c r="J502" s="1063">
        <v>18000</v>
      </c>
      <c r="K502" s="1063"/>
      <c r="L502" s="563">
        <f>SUM(F502:K502)</f>
        <v>18000</v>
      </c>
      <c r="M502" s="1047"/>
    </row>
    <row r="503" spans="1:13" ht="18" customHeight="1">
      <c r="A503" s="959">
        <v>495</v>
      </c>
      <c r="B503" s="1046"/>
      <c r="C503" s="567"/>
      <c r="D503" s="989" t="s">
        <v>1021</v>
      </c>
      <c r="E503" s="1072"/>
      <c r="F503" s="1073"/>
      <c r="G503" s="1050"/>
      <c r="H503" s="1051"/>
      <c r="I503" s="1052"/>
      <c r="J503" s="1064"/>
      <c r="K503" s="1063"/>
      <c r="L503" s="562">
        <f>SUM(F503:K503)</f>
        <v>0</v>
      </c>
      <c r="M503" s="1047"/>
    </row>
    <row r="504" spans="1:13" ht="22.5" customHeight="1">
      <c r="A504" s="959">
        <v>496</v>
      </c>
      <c r="B504" s="1046"/>
      <c r="C504" s="567">
        <v>154</v>
      </c>
      <c r="D504" s="1074" t="s">
        <v>890</v>
      </c>
      <c r="E504" s="971">
        <f>F504+G504+L505</f>
        <v>6731</v>
      </c>
      <c r="F504" s="1073"/>
      <c r="G504" s="1050"/>
      <c r="H504" s="1051" t="s">
        <v>80</v>
      </c>
      <c r="I504" s="1052"/>
      <c r="J504" s="1063"/>
      <c r="K504" s="1063"/>
      <c r="L504" s="572"/>
      <c r="M504" s="1047"/>
    </row>
    <row r="505" spans="1:13" ht="18" customHeight="1">
      <c r="A505" s="959">
        <v>497</v>
      </c>
      <c r="B505" s="1046"/>
      <c r="C505" s="567"/>
      <c r="D505" s="1065" t="s">
        <v>765</v>
      </c>
      <c r="E505" s="1072"/>
      <c r="F505" s="1073"/>
      <c r="G505" s="1050"/>
      <c r="H505" s="1051"/>
      <c r="I505" s="1052"/>
      <c r="J505" s="1063">
        <v>6731</v>
      </c>
      <c r="K505" s="1063"/>
      <c r="L505" s="563">
        <f>SUM(F505:K505)</f>
        <v>6731</v>
      </c>
      <c r="M505" s="1047"/>
    </row>
    <row r="506" spans="1:13" ht="18" customHeight="1">
      <c r="A506" s="959">
        <v>498</v>
      </c>
      <c r="B506" s="1046"/>
      <c r="C506" s="567"/>
      <c r="D506" s="989" t="s">
        <v>1022</v>
      </c>
      <c r="E506" s="1072"/>
      <c r="F506" s="1073"/>
      <c r="G506" s="1050"/>
      <c r="H506" s="1051"/>
      <c r="I506" s="1052"/>
      <c r="J506" s="1064"/>
      <c r="K506" s="1063"/>
      <c r="L506" s="562">
        <f>SUM(F506:K506)</f>
        <v>0</v>
      </c>
      <c r="M506" s="1047"/>
    </row>
    <row r="507" spans="1:13" ht="22.5" customHeight="1">
      <c r="A507" s="959">
        <v>499</v>
      </c>
      <c r="B507" s="1046"/>
      <c r="C507" s="567">
        <v>155</v>
      </c>
      <c r="D507" s="1074" t="s">
        <v>891</v>
      </c>
      <c r="E507" s="971">
        <f>F507+G507+L508</f>
        <v>5200</v>
      </c>
      <c r="F507" s="1073"/>
      <c r="G507" s="1050"/>
      <c r="H507" s="1051" t="s">
        <v>231</v>
      </c>
      <c r="I507" s="1052"/>
      <c r="J507" s="1063"/>
      <c r="K507" s="1063"/>
      <c r="L507" s="572"/>
      <c r="M507" s="1047"/>
    </row>
    <row r="508" spans="1:13" ht="18" customHeight="1">
      <c r="A508" s="959">
        <v>500</v>
      </c>
      <c r="B508" s="1046"/>
      <c r="C508" s="567"/>
      <c r="D508" s="1065" t="s">
        <v>765</v>
      </c>
      <c r="E508" s="1072"/>
      <c r="F508" s="1073"/>
      <c r="G508" s="1050"/>
      <c r="H508" s="1051"/>
      <c r="I508" s="1052"/>
      <c r="J508" s="1063">
        <v>5200</v>
      </c>
      <c r="K508" s="1063"/>
      <c r="L508" s="563">
        <f>SUM(F508:K508)</f>
        <v>5200</v>
      </c>
      <c r="M508" s="1047"/>
    </row>
    <row r="509" spans="1:13" ht="18" customHeight="1">
      <c r="A509" s="959">
        <v>501</v>
      </c>
      <c r="B509" s="1046"/>
      <c r="C509" s="567"/>
      <c r="D509" s="989" t="s">
        <v>1021</v>
      </c>
      <c r="E509" s="1072"/>
      <c r="F509" s="1073"/>
      <c r="G509" s="1050"/>
      <c r="H509" s="1051"/>
      <c r="I509" s="1052"/>
      <c r="J509" s="1064"/>
      <c r="K509" s="1063"/>
      <c r="L509" s="562">
        <f>SUM(F509:K509)</f>
        <v>0</v>
      </c>
      <c r="M509" s="1047"/>
    </row>
    <row r="510" spans="1:13" ht="22.5" customHeight="1">
      <c r="A510" s="959">
        <v>502</v>
      </c>
      <c r="B510" s="1046"/>
      <c r="C510" s="567">
        <v>156</v>
      </c>
      <c r="D510" s="1074" t="s">
        <v>892</v>
      </c>
      <c r="E510" s="971">
        <f>F510+G510+L511</f>
        <v>6086</v>
      </c>
      <c r="F510" s="1073"/>
      <c r="G510" s="1050"/>
      <c r="H510" s="1051" t="s">
        <v>231</v>
      </c>
      <c r="I510" s="1052"/>
      <c r="J510" s="1063"/>
      <c r="K510" s="1063"/>
      <c r="L510" s="572"/>
      <c r="M510" s="1047"/>
    </row>
    <row r="511" spans="1:13" ht="18" customHeight="1">
      <c r="A511" s="959">
        <v>503</v>
      </c>
      <c r="B511" s="1046"/>
      <c r="C511" s="567"/>
      <c r="D511" s="1065" t="s">
        <v>765</v>
      </c>
      <c r="E511" s="1072"/>
      <c r="F511" s="1073"/>
      <c r="G511" s="1050"/>
      <c r="H511" s="1051"/>
      <c r="I511" s="1052"/>
      <c r="J511" s="1063">
        <v>6086</v>
      </c>
      <c r="K511" s="1063"/>
      <c r="L511" s="563">
        <f>SUM(F511:K511)</f>
        <v>6086</v>
      </c>
      <c r="M511" s="1047"/>
    </row>
    <row r="512" spans="1:13" ht="18" customHeight="1">
      <c r="A512" s="959">
        <v>504</v>
      </c>
      <c r="B512" s="1046"/>
      <c r="C512" s="567"/>
      <c r="D512" s="989" t="s">
        <v>1021</v>
      </c>
      <c r="E512" s="971"/>
      <c r="F512" s="972"/>
      <c r="G512" s="1050"/>
      <c r="H512" s="1051"/>
      <c r="I512" s="1052"/>
      <c r="J512" s="1064"/>
      <c r="K512" s="1063"/>
      <c r="L512" s="562">
        <f>SUM(F512:K512)</f>
        <v>0</v>
      </c>
      <c r="M512" s="1047"/>
    </row>
    <row r="513" spans="1:13" ht="22.5" customHeight="1">
      <c r="A513" s="959">
        <v>505</v>
      </c>
      <c r="B513" s="1046"/>
      <c r="C513" s="567">
        <v>157</v>
      </c>
      <c r="D513" s="1074" t="s">
        <v>893</v>
      </c>
      <c r="E513" s="971">
        <f>F513+G513+L514</f>
        <v>8000</v>
      </c>
      <c r="F513" s="972"/>
      <c r="G513" s="1050"/>
      <c r="H513" s="1051" t="s">
        <v>231</v>
      </c>
      <c r="I513" s="1052"/>
      <c r="J513" s="1063"/>
      <c r="K513" s="1063"/>
      <c r="L513" s="572"/>
      <c r="M513" s="1047"/>
    </row>
    <row r="514" spans="1:13" ht="18" customHeight="1">
      <c r="A514" s="959">
        <v>506</v>
      </c>
      <c r="B514" s="1046"/>
      <c r="C514" s="567"/>
      <c r="D514" s="1065" t="s">
        <v>765</v>
      </c>
      <c r="E514" s="971"/>
      <c r="F514" s="972"/>
      <c r="G514" s="1050"/>
      <c r="H514" s="1051"/>
      <c r="I514" s="1052"/>
      <c r="J514" s="1063">
        <v>8000</v>
      </c>
      <c r="K514" s="1063"/>
      <c r="L514" s="563">
        <f>SUM(F514:K514)</f>
        <v>8000</v>
      </c>
      <c r="M514" s="1047"/>
    </row>
    <row r="515" spans="1:13" ht="18" customHeight="1">
      <c r="A515" s="959">
        <v>507</v>
      </c>
      <c r="B515" s="1046"/>
      <c r="C515" s="567"/>
      <c r="D515" s="989" t="s">
        <v>1021</v>
      </c>
      <c r="E515" s="971"/>
      <c r="F515" s="972"/>
      <c r="G515" s="1050"/>
      <c r="H515" s="1051"/>
      <c r="I515" s="1052"/>
      <c r="J515" s="1064"/>
      <c r="K515" s="1063"/>
      <c r="L515" s="562">
        <f>SUM(F515:K515)</f>
        <v>0</v>
      </c>
      <c r="M515" s="1047"/>
    </row>
    <row r="516" spans="1:13" ht="21.75" customHeight="1">
      <c r="A516" s="959">
        <v>508</v>
      </c>
      <c r="B516" s="1046"/>
      <c r="C516" s="567">
        <v>158</v>
      </c>
      <c r="D516" s="1074" t="s">
        <v>894</v>
      </c>
      <c r="E516" s="971">
        <f>F516+G516+L517</f>
        <v>23775</v>
      </c>
      <c r="F516" s="972"/>
      <c r="G516" s="1050"/>
      <c r="H516" s="1051" t="s">
        <v>231</v>
      </c>
      <c r="I516" s="1052"/>
      <c r="J516" s="1063"/>
      <c r="K516" s="1063"/>
      <c r="L516" s="572"/>
      <c r="M516" s="1047"/>
    </row>
    <row r="517" spans="1:13" ht="18" customHeight="1">
      <c r="A517" s="959">
        <v>509</v>
      </c>
      <c r="B517" s="1046"/>
      <c r="C517" s="567"/>
      <c r="D517" s="1065" t="s">
        <v>765</v>
      </c>
      <c r="E517" s="971"/>
      <c r="F517" s="972"/>
      <c r="G517" s="1050"/>
      <c r="H517" s="1051"/>
      <c r="I517" s="1052"/>
      <c r="J517" s="1063">
        <v>23775</v>
      </c>
      <c r="K517" s="1063"/>
      <c r="L517" s="563">
        <f>SUM(F517:K517)</f>
        <v>23775</v>
      </c>
      <c r="M517" s="1047"/>
    </row>
    <row r="518" spans="1:13" ht="18" customHeight="1">
      <c r="A518" s="959">
        <v>510</v>
      </c>
      <c r="B518" s="1046"/>
      <c r="C518" s="567"/>
      <c r="D518" s="989" t="s">
        <v>1021</v>
      </c>
      <c r="E518" s="971"/>
      <c r="F518" s="972"/>
      <c r="G518" s="1050"/>
      <c r="H518" s="1051"/>
      <c r="I518" s="1052"/>
      <c r="J518" s="1064"/>
      <c r="K518" s="1063"/>
      <c r="L518" s="562">
        <f>SUM(F518:K518)</f>
        <v>0</v>
      </c>
      <c r="M518" s="1047"/>
    </row>
    <row r="519" spans="1:13" ht="22.5" customHeight="1">
      <c r="A519" s="959">
        <v>511</v>
      </c>
      <c r="B519" s="1046"/>
      <c r="C519" s="567">
        <v>159</v>
      </c>
      <c r="D519" s="1074" t="s">
        <v>895</v>
      </c>
      <c r="E519" s="971">
        <f>F519+G519+L520</f>
        <v>22225</v>
      </c>
      <c r="F519" s="972"/>
      <c r="G519" s="1050"/>
      <c r="H519" s="1051" t="s">
        <v>231</v>
      </c>
      <c r="I519" s="1052"/>
      <c r="J519" s="1063"/>
      <c r="K519" s="1063"/>
      <c r="L519" s="572"/>
      <c r="M519" s="1047"/>
    </row>
    <row r="520" spans="1:13" ht="18" customHeight="1">
      <c r="A520" s="959">
        <v>512</v>
      </c>
      <c r="B520" s="1046"/>
      <c r="C520" s="567"/>
      <c r="D520" s="1065" t="s">
        <v>765</v>
      </c>
      <c r="E520" s="971"/>
      <c r="F520" s="972"/>
      <c r="G520" s="1050"/>
      <c r="H520" s="1051"/>
      <c r="I520" s="1063">
        <v>22225</v>
      </c>
      <c r="J520" s="1063"/>
      <c r="K520" s="1063"/>
      <c r="L520" s="563">
        <f>SUM(F520:K520)</f>
        <v>22225</v>
      </c>
      <c r="M520" s="1047"/>
    </row>
    <row r="521" spans="1:13" ht="18" customHeight="1">
      <c r="A521" s="959">
        <v>513</v>
      </c>
      <c r="B521" s="1046"/>
      <c r="C521" s="567"/>
      <c r="D521" s="989" t="s">
        <v>1021</v>
      </c>
      <c r="E521" s="971"/>
      <c r="F521" s="972"/>
      <c r="G521" s="1050"/>
      <c r="H521" s="1051"/>
      <c r="I521" s="1052"/>
      <c r="J521" s="1064"/>
      <c r="K521" s="1063"/>
      <c r="L521" s="562">
        <f>SUM(F521:K521)</f>
        <v>0</v>
      </c>
      <c r="M521" s="1047"/>
    </row>
    <row r="522" spans="1:13" ht="22.5" customHeight="1">
      <c r="A522" s="959">
        <v>514</v>
      </c>
      <c r="B522" s="1046"/>
      <c r="C522" s="567">
        <v>160</v>
      </c>
      <c r="D522" s="1074" t="s">
        <v>896</v>
      </c>
      <c r="E522" s="971">
        <f>F522+G522+L523</f>
        <v>8446</v>
      </c>
      <c r="F522" s="972"/>
      <c r="G522" s="1050"/>
      <c r="H522" s="1051" t="s">
        <v>231</v>
      </c>
      <c r="I522" s="1052"/>
      <c r="J522" s="1063"/>
      <c r="K522" s="1063"/>
      <c r="L522" s="572"/>
      <c r="M522" s="1047"/>
    </row>
    <row r="523" spans="1:13" ht="18" customHeight="1">
      <c r="A523" s="959">
        <v>515</v>
      </c>
      <c r="B523" s="1046"/>
      <c r="C523" s="567"/>
      <c r="D523" s="1065" t="s">
        <v>765</v>
      </c>
      <c r="E523" s="971"/>
      <c r="F523" s="972"/>
      <c r="G523" s="1050"/>
      <c r="H523" s="1051"/>
      <c r="I523" s="1052"/>
      <c r="J523" s="1063">
        <v>8446</v>
      </c>
      <c r="K523" s="1063"/>
      <c r="L523" s="563">
        <f>SUM(F523:K523)</f>
        <v>8446</v>
      </c>
      <c r="M523" s="1047"/>
    </row>
    <row r="524" spans="1:13" ht="18" customHeight="1">
      <c r="A524" s="959">
        <v>516</v>
      </c>
      <c r="B524" s="1046"/>
      <c r="C524" s="567"/>
      <c r="D524" s="989" t="s">
        <v>1021</v>
      </c>
      <c r="E524" s="971"/>
      <c r="F524" s="972"/>
      <c r="G524" s="1050"/>
      <c r="H524" s="1051"/>
      <c r="I524" s="1052"/>
      <c r="J524" s="1064"/>
      <c r="K524" s="1063"/>
      <c r="L524" s="562">
        <f>SUM(F524:K524)</f>
        <v>0</v>
      </c>
      <c r="M524" s="1047"/>
    </row>
    <row r="525" spans="1:13" ht="22.5" customHeight="1">
      <c r="A525" s="959">
        <v>517</v>
      </c>
      <c r="B525" s="1046"/>
      <c r="C525" s="567">
        <v>161</v>
      </c>
      <c r="D525" s="1074" t="s">
        <v>897</v>
      </c>
      <c r="E525" s="971">
        <f>F525+G525+L526</f>
        <v>51443</v>
      </c>
      <c r="F525" s="972"/>
      <c r="G525" s="1050"/>
      <c r="H525" s="1051" t="s">
        <v>231</v>
      </c>
      <c r="I525" s="1052"/>
      <c r="J525" s="1063"/>
      <c r="K525" s="1063"/>
      <c r="L525" s="572"/>
      <c r="M525" s="1047"/>
    </row>
    <row r="526" spans="1:13" ht="18" customHeight="1">
      <c r="A526" s="959">
        <v>518</v>
      </c>
      <c r="B526" s="1046"/>
      <c r="C526" s="567"/>
      <c r="D526" s="1065" t="s">
        <v>765</v>
      </c>
      <c r="E526" s="971"/>
      <c r="F526" s="972"/>
      <c r="G526" s="1050"/>
      <c r="H526" s="1051"/>
      <c r="I526" s="1052"/>
      <c r="J526" s="1063">
        <v>51443</v>
      </c>
      <c r="K526" s="1063"/>
      <c r="L526" s="563">
        <f>SUM(F526:K526)</f>
        <v>51443</v>
      </c>
      <c r="M526" s="1047"/>
    </row>
    <row r="527" spans="1:13" ht="18" customHeight="1">
      <c r="A527" s="959">
        <v>519</v>
      </c>
      <c r="B527" s="1046"/>
      <c r="C527" s="567"/>
      <c r="D527" s="989" t="s">
        <v>1021</v>
      </c>
      <c r="E527" s="971"/>
      <c r="F527" s="972"/>
      <c r="G527" s="1050"/>
      <c r="H527" s="1051"/>
      <c r="I527" s="1052"/>
      <c r="J527" s="1064"/>
      <c r="K527" s="1063"/>
      <c r="L527" s="562">
        <f>SUM(F527:K527)</f>
        <v>0</v>
      </c>
      <c r="M527" s="1047"/>
    </row>
    <row r="528" spans="1:13" ht="22.5" customHeight="1">
      <c r="A528" s="959">
        <v>520</v>
      </c>
      <c r="B528" s="1046"/>
      <c r="C528" s="567">
        <v>162</v>
      </c>
      <c r="D528" s="1074" t="s">
        <v>898</v>
      </c>
      <c r="E528" s="971">
        <f>F528+G528+L529</f>
        <v>47838</v>
      </c>
      <c r="F528" s="972"/>
      <c r="G528" s="1050"/>
      <c r="H528" s="1051" t="s">
        <v>231</v>
      </c>
      <c r="I528" s="1052"/>
      <c r="J528" s="1063"/>
      <c r="K528" s="1063"/>
      <c r="L528" s="572"/>
      <c r="M528" s="1047"/>
    </row>
    <row r="529" spans="1:13" ht="18" customHeight="1">
      <c r="A529" s="959">
        <v>521</v>
      </c>
      <c r="B529" s="1046"/>
      <c r="C529" s="567"/>
      <c r="D529" s="1065" t="s">
        <v>765</v>
      </c>
      <c r="E529" s="971"/>
      <c r="F529" s="972"/>
      <c r="G529" s="1050"/>
      <c r="H529" s="1051"/>
      <c r="I529" s="1052"/>
      <c r="J529" s="1063">
        <v>47838</v>
      </c>
      <c r="K529" s="1063"/>
      <c r="L529" s="563">
        <f>SUM(F529:K529)</f>
        <v>47838</v>
      </c>
      <c r="M529" s="1047"/>
    </row>
    <row r="530" spans="1:13" ht="18" customHeight="1">
      <c r="A530" s="959">
        <v>522</v>
      </c>
      <c r="B530" s="1046"/>
      <c r="C530" s="567"/>
      <c r="D530" s="989" t="s">
        <v>1021</v>
      </c>
      <c r="E530" s="971"/>
      <c r="F530" s="972"/>
      <c r="G530" s="1050"/>
      <c r="H530" s="1051"/>
      <c r="I530" s="1052"/>
      <c r="J530" s="1064"/>
      <c r="K530" s="1063"/>
      <c r="L530" s="562">
        <f>SUM(F530:K530)</f>
        <v>0</v>
      </c>
      <c r="M530" s="1047"/>
    </row>
    <row r="531" spans="1:13" ht="22.5" customHeight="1">
      <c r="A531" s="959">
        <v>523</v>
      </c>
      <c r="B531" s="1046"/>
      <c r="C531" s="567">
        <v>163</v>
      </c>
      <c r="D531" s="1074" t="s">
        <v>899</v>
      </c>
      <c r="E531" s="971">
        <f>F531+G531+L532</f>
        <v>1207</v>
      </c>
      <c r="F531" s="972"/>
      <c r="G531" s="1050"/>
      <c r="H531" s="1051" t="s">
        <v>231</v>
      </c>
      <c r="I531" s="1052"/>
      <c r="J531" s="1063"/>
      <c r="K531" s="1063"/>
      <c r="L531" s="572"/>
      <c r="M531" s="1047"/>
    </row>
    <row r="532" spans="1:13" ht="18" customHeight="1">
      <c r="A532" s="959">
        <v>524</v>
      </c>
      <c r="B532" s="1046"/>
      <c r="C532" s="567"/>
      <c r="D532" s="1065" t="s">
        <v>765</v>
      </c>
      <c r="E532" s="971"/>
      <c r="F532" s="972"/>
      <c r="G532" s="1050"/>
      <c r="H532" s="1051"/>
      <c r="I532" s="1052"/>
      <c r="J532" s="1063">
        <v>1207</v>
      </c>
      <c r="K532" s="1063"/>
      <c r="L532" s="563">
        <f>SUM(F532:K532)</f>
        <v>1207</v>
      </c>
      <c r="M532" s="1047"/>
    </row>
    <row r="533" spans="1:13" ht="18" customHeight="1">
      <c r="A533" s="959">
        <v>525</v>
      </c>
      <c r="B533" s="1046"/>
      <c r="C533" s="567"/>
      <c r="D533" s="989" t="s">
        <v>1021</v>
      </c>
      <c r="E533" s="971"/>
      <c r="F533" s="972"/>
      <c r="G533" s="1050"/>
      <c r="H533" s="1051"/>
      <c r="I533" s="1052"/>
      <c r="J533" s="1064"/>
      <c r="K533" s="1063"/>
      <c r="L533" s="562">
        <f>SUM(F533:K533)</f>
        <v>0</v>
      </c>
      <c r="M533" s="1047"/>
    </row>
    <row r="534" spans="1:13" ht="35.25" customHeight="1">
      <c r="A534" s="959">
        <v>526</v>
      </c>
      <c r="B534" s="1046"/>
      <c r="C534" s="1060">
        <v>164</v>
      </c>
      <c r="D534" s="1071" t="s">
        <v>900</v>
      </c>
      <c r="E534" s="971">
        <f>F534+G534+L535</f>
        <v>6108</v>
      </c>
      <c r="F534" s="972"/>
      <c r="G534" s="1050"/>
      <c r="H534" s="1051" t="s">
        <v>80</v>
      </c>
      <c r="I534" s="1052"/>
      <c r="J534" s="1063"/>
      <c r="K534" s="1063"/>
      <c r="L534" s="572"/>
      <c r="M534" s="1047"/>
    </row>
    <row r="535" spans="1:13" ht="18" customHeight="1">
      <c r="A535" s="959">
        <v>527</v>
      </c>
      <c r="B535" s="1046"/>
      <c r="C535" s="1060"/>
      <c r="D535" s="1065" t="s">
        <v>765</v>
      </c>
      <c r="E535" s="971"/>
      <c r="F535" s="972"/>
      <c r="G535" s="1050"/>
      <c r="H535" s="1051"/>
      <c r="I535" s="1052"/>
      <c r="J535" s="1063">
        <v>6108</v>
      </c>
      <c r="K535" s="1063"/>
      <c r="L535" s="563">
        <f>SUM(F535:K535)</f>
        <v>6108</v>
      </c>
      <c r="M535" s="1047"/>
    </row>
    <row r="536" spans="1:13" ht="18" customHeight="1">
      <c r="A536" s="959">
        <v>528</v>
      </c>
      <c r="B536" s="1046"/>
      <c r="C536" s="567"/>
      <c r="D536" s="989" t="s">
        <v>1021</v>
      </c>
      <c r="E536" s="971"/>
      <c r="F536" s="972"/>
      <c r="G536" s="1050"/>
      <c r="H536" s="1051"/>
      <c r="I536" s="1052"/>
      <c r="J536" s="1064"/>
      <c r="K536" s="1063"/>
      <c r="L536" s="562">
        <f>SUM(F536:K536)</f>
        <v>0</v>
      </c>
      <c r="M536" s="1047"/>
    </row>
    <row r="537" spans="1:13" ht="37.5" customHeight="1">
      <c r="A537" s="959">
        <v>529</v>
      </c>
      <c r="B537" s="1046"/>
      <c r="C537" s="1060">
        <v>165</v>
      </c>
      <c r="D537" s="1071" t="s">
        <v>901</v>
      </c>
      <c r="E537" s="971">
        <f>F537+G537+L538</f>
        <v>2500</v>
      </c>
      <c r="F537" s="972"/>
      <c r="G537" s="1050"/>
      <c r="H537" s="1051" t="s">
        <v>231</v>
      </c>
      <c r="I537" s="1052"/>
      <c r="J537" s="1063"/>
      <c r="K537" s="1063"/>
      <c r="L537" s="572"/>
      <c r="M537" s="1047"/>
    </row>
    <row r="538" spans="1:13" ht="18" customHeight="1">
      <c r="A538" s="959">
        <v>530</v>
      </c>
      <c r="B538" s="1046"/>
      <c r="C538" s="1060"/>
      <c r="D538" s="1065" t="s">
        <v>765</v>
      </c>
      <c r="E538" s="971"/>
      <c r="F538" s="972"/>
      <c r="G538" s="1050"/>
      <c r="H538" s="1051"/>
      <c r="I538" s="1052"/>
      <c r="J538" s="1063"/>
      <c r="K538" s="1063">
        <v>2500</v>
      </c>
      <c r="L538" s="563">
        <f>SUM(F538:K538)</f>
        <v>2500</v>
      </c>
      <c r="M538" s="1047"/>
    </row>
    <row r="539" spans="1:13" ht="18" customHeight="1">
      <c r="A539" s="959">
        <v>531</v>
      </c>
      <c r="B539" s="1046"/>
      <c r="C539" s="567"/>
      <c r="D539" s="989" t="s">
        <v>1021</v>
      </c>
      <c r="E539" s="971"/>
      <c r="F539" s="972"/>
      <c r="G539" s="1050"/>
      <c r="H539" s="1051"/>
      <c r="I539" s="1052"/>
      <c r="J539" s="1064"/>
      <c r="K539" s="1064">
        <v>2500</v>
      </c>
      <c r="L539" s="562">
        <f>SUM(F539:K539)</f>
        <v>2500</v>
      </c>
      <c r="M539" s="1047"/>
    </row>
    <row r="540" spans="1:13" ht="22.5" customHeight="1">
      <c r="A540" s="959">
        <v>532</v>
      </c>
      <c r="B540" s="1046"/>
      <c r="C540" s="567">
        <v>166</v>
      </c>
      <c r="D540" s="1071" t="s">
        <v>902</v>
      </c>
      <c r="E540" s="971">
        <f>F540+G540+L541</f>
        <v>3500</v>
      </c>
      <c r="F540" s="1073"/>
      <c r="G540" s="1050"/>
      <c r="H540" s="1051" t="s">
        <v>231</v>
      </c>
      <c r="I540" s="1052"/>
      <c r="J540" s="1063"/>
      <c r="K540" s="1063"/>
      <c r="L540" s="572"/>
      <c r="M540" s="1047"/>
    </row>
    <row r="541" spans="1:13" ht="18" customHeight="1">
      <c r="A541" s="959">
        <v>533</v>
      </c>
      <c r="B541" s="1046"/>
      <c r="C541" s="567"/>
      <c r="D541" s="1065" t="s">
        <v>765</v>
      </c>
      <c r="E541" s="1072"/>
      <c r="F541" s="1073"/>
      <c r="G541" s="1050"/>
      <c r="H541" s="1051"/>
      <c r="I541" s="1052"/>
      <c r="J541" s="1063">
        <v>3500</v>
      </c>
      <c r="K541" s="1063"/>
      <c r="L541" s="563">
        <f>SUM(F541:K541)</f>
        <v>3500</v>
      </c>
      <c r="M541" s="1047"/>
    </row>
    <row r="542" spans="1:13" ht="18" customHeight="1">
      <c r="A542" s="959">
        <v>534</v>
      </c>
      <c r="B542" s="1046"/>
      <c r="C542" s="567"/>
      <c r="D542" s="989" t="s">
        <v>1021</v>
      </c>
      <c r="E542" s="1072"/>
      <c r="F542" s="1073"/>
      <c r="G542" s="1050"/>
      <c r="H542" s="1051"/>
      <c r="I542" s="1052"/>
      <c r="J542" s="1064"/>
      <c r="K542" s="1063"/>
      <c r="L542" s="562">
        <f>SUM(F542:K542)</f>
        <v>0</v>
      </c>
      <c r="M542" s="1047"/>
    </row>
    <row r="543" spans="1:13" ht="22.5" customHeight="1">
      <c r="A543" s="959">
        <v>535</v>
      </c>
      <c r="B543" s="1046"/>
      <c r="C543" s="567">
        <v>167</v>
      </c>
      <c r="D543" s="570" t="s">
        <v>903</v>
      </c>
      <c r="E543" s="971">
        <f>F543+G543+L544</f>
        <v>5200</v>
      </c>
      <c r="F543" s="972"/>
      <c r="G543" s="1050"/>
      <c r="H543" s="1051" t="s">
        <v>80</v>
      </c>
      <c r="I543" s="1052"/>
      <c r="J543" s="1063"/>
      <c r="K543" s="1063"/>
      <c r="L543" s="572"/>
      <c r="M543" s="1047"/>
    </row>
    <row r="544" spans="1:13" ht="18" customHeight="1">
      <c r="A544" s="959">
        <v>536</v>
      </c>
      <c r="B544" s="1046"/>
      <c r="C544" s="567"/>
      <c r="D544" s="1065" t="s">
        <v>765</v>
      </c>
      <c r="E544" s="971"/>
      <c r="F544" s="972"/>
      <c r="G544" s="1050"/>
      <c r="H544" s="1051"/>
      <c r="I544" s="1052"/>
      <c r="J544" s="1063">
        <v>5200</v>
      </c>
      <c r="K544" s="1063"/>
      <c r="L544" s="563">
        <f>SUM(F544:K544)</f>
        <v>5200</v>
      </c>
      <c r="M544" s="1047"/>
    </row>
    <row r="545" spans="1:13" ht="18" customHeight="1">
      <c r="A545" s="959">
        <v>537</v>
      </c>
      <c r="B545" s="1046"/>
      <c r="C545" s="567"/>
      <c r="D545" s="989" t="s">
        <v>1022</v>
      </c>
      <c r="E545" s="971"/>
      <c r="F545" s="972"/>
      <c r="G545" s="1050"/>
      <c r="H545" s="1051"/>
      <c r="I545" s="1052"/>
      <c r="J545" s="1064"/>
      <c r="K545" s="1063"/>
      <c r="L545" s="562">
        <f>SUM(F545:K545)</f>
        <v>0</v>
      </c>
      <c r="M545" s="1047"/>
    </row>
    <row r="546" spans="1:13" ht="22.5" customHeight="1">
      <c r="A546" s="959">
        <v>538</v>
      </c>
      <c r="B546" s="1046"/>
      <c r="C546" s="567">
        <v>168</v>
      </c>
      <c r="D546" s="1061" t="s">
        <v>904</v>
      </c>
      <c r="E546" s="971">
        <f>F546+G546+L547</f>
        <v>260000</v>
      </c>
      <c r="F546" s="972"/>
      <c r="G546" s="1050"/>
      <c r="H546" s="1051" t="s">
        <v>80</v>
      </c>
      <c r="I546" s="1052"/>
      <c r="J546" s="1063"/>
      <c r="K546" s="1063"/>
      <c r="L546" s="572"/>
      <c r="M546" s="1047"/>
    </row>
    <row r="547" spans="1:13" ht="18" customHeight="1">
      <c r="A547" s="959">
        <v>539</v>
      </c>
      <c r="B547" s="1046"/>
      <c r="C547" s="567"/>
      <c r="D547" s="1065" t="s">
        <v>765</v>
      </c>
      <c r="E547" s="971"/>
      <c r="F547" s="972"/>
      <c r="G547" s="1050"/>
      <c r="H547" s="1051"/>
      <c r="I547" s="1052"/>
      <c r="J547" s="1063">
        <v>260000</v>
      </c>
      <c r="K547" s="1063"/>
      <c r="L547" s="563">
        <f>SUM(F547:K547)</f>
        <v>260000</v>
      </c>
      <c r="M547" s="1047"/>
    </row>
    <row r="548" spans="1:13" ht="18" customHeight="1" thickBot="1">
      <c r="A548" s="959">
        <v>540</v>
      </c>
      <c r="B548" s="1046"/>
      <c r="C548" s="567"/>
      <c r="D548" s="989" t="s">
        <v>1021</v>
      </c>
      <c r="E548" s="971"/>
      <c r="F548" s="972"/>
      <c r="G548" s="1050"/>
      <c r="H548" s="1051"/>
      <c r="I548" s="1052"/>
      <c r="J548" s="1064"/>
      <c r="K548" s="1063"/>
      <c r="L548" s="562">
        <f>SUM(F548:K548)</f>
        <v>0</v>
      </c>
      <c r="M548" s="1047"/>
    </row>
    <row r="549" spans="1:13" ht="27" customHeight="1" thickTop="1">
      <c r="A549" s="959">
        <v>541</v>
      </c>
      <c r="B549" s="1075"/>
      <c r="C549" s="1076"/>
      <c r="D549" s="1965" t="s">
        <v>221</v>
      </c>
      <c r="E549" s="1965"/>
      <c r="F549" s="1965"/>
      <c r="G549" s="1965"/>
      <c r="H549" s="1077"/>
      <c r="I549" s="1078"/>
      <c r="J549" s="1078"/>
      <c r="K549" s="1078"/>
      <c r="L549" s="1079"/>
      <c r="M549" s="1080"/>
    </row>
    <row r="550" spans="1:13" ht="19.5" customHeight="1">
      <c r="A550" s="959">
        <v>542</v>
      </c>
      <c r="B550" s="1081"/>
      <c r="C550" s="1082"/>
      <c r="D550" s="978" t="s">
        <v>198</v>
      </c>
      <c r="E550" s="979"/>
      <c r="F550" s="980"/>
      <c r="G550" s="981"/>
      <c r="H550" s="982"/>
      <c r="I550" s="983">
        <f>I414+I409+I405+I401+I397+I393+I389+I385+I381+I377+I373+I369+I365+I361+I357+I353+I349+I345+I341+I337+I333+I329+I325+I321+I317+I313+I309+I305+I301+I297+I293+I289+I282+I278+I274+I270+I266+I262+I258+I254+I250+I246+I242+I238+I234+I230+I226+I222+I218+I214+I210+I206+I202+I198+I194+I190+I186+I182+I178+I173+I169+I165+I67+I63+I59+I55+I51+I47+I43+I39+I35+I31+I27+I19+I15+I11</f>
        <v>25587</v>
      </c>
      <c r="J550" s="984">
        <f>J414+J409+J405+J401+J397+J393+J389+J385+J381+J377+J373+J369+J365+J361+J357+J353+J349+J345+J341+J337+J333+J329+J325+J321+J317+J313+J309+J305+J301+J297+J293+J289+J282+J278+J274+J270+J266+J262+J258+J254+J250+J246+J242+J238+J234+J230+J226+J222+J218+J214+J210+J206+J202+J198+J194+J190+J186+J182+J178+J173+J169+J165+J67+J63+J59+J55+J51+J47+J43+J39+J35+J31+J27+J19+J15+J11</f>
        <v>1826448</v>
      </c>
      <c r="K550" s="984">
        <f>K414+K409+K405+K401+K397+K393+K389+K385+K381+K377+K373+K369+K365+K361+K357+K353+K349+K345+K341+K337+K333+K329+K325+K321+K317+K313+K309+K305+K301+K297+K293+K289+K282+K278+K274+K270+K266+K262+K258+K254+K250+K246+K242+K238+K234+K230+K226+K222+K218+K214+K210+K206+K202+K198+K194+K190+K186+K182+K178+K173+K169+K165+K67+K63+K59+K55+K51+K47+K43+K39+K35+K31+K27+K19+K15+K11</f>
        <v>1809638</v>
      </c>
      <c r="L550" s="985">
        <f>SUM(I550:K550)</f>
        <v>3661673</v>
      </c>
      <c r="M550" s="1083">
        <f>SUM(M11:M549)</f>
        <v>3260912</v>
      </c>
    </row>
    <row r="551" spans="1:13" ht="19.5" customHeight="1">
      <c r="A551" s="959">
        <v>543</v>
      </c>
      <c r="B551" s="1081"/>
      <c r="C551" s="1082"/>
      <c r="D551" s="570" t="s">
        <v>765</v>
      </c>
      <c r="E551" s="979"/>
      <c r="F551" s="980"/>
      <c r="G551" s="981"/>
      <c r="H551" s="982"/>
      <c r="I551" s="987">
        <f>I415+I410+I406+I402+I398+I394+I390+I386+I382+I378+I374+I370+I366+I362+I358+I354+I350+I346+I342+I338+I334+I330+I326+I322+I318+I314+I310+I306+I302+I298+I294+I290+I283+I279+I275+I271+I267+I263+I259+I255+I251+I247+I243+I239+I235+I231+I227+I223+I219+I215+I211+I207+I203+I199+I195+I191+I187+I183+I179+I174+I170+I166+I68+I64+I60+I56+I52+I48+I44+I40+I36+I32+I28+I20+I16+I12+I439+I436+I433+I430+I427+I424+I421+I418+I460+I457+I454+I451+I448+I445+I442+I286+I463+I484+I481+I478+I475+I472+I469+I466+I511+I508+I505+I502+I499+I496+I493+I490+I487+I514+I517+I520+I523+I526+I529+I532+I535+I538+I541+I544+I547</f>
        <v>87619</v>
      </c>
      <c r="J551" s="987">
        <f t="shared" ref="J551:K551" si="0">J415+J410+J406+J402+J398+J394+J390+J386+J382+J378+J374+J370+J366+J362+J358+J354+J350+J346+J342+J338+J334+J330+J326+J322+J318+J314+J310+J306+J302+J298+J294+J290+J283+J279+J275+J271+J267+J263+J259+J255+J251+J247+J243+J239+J235+J231+J227+J223+J219+J215+J211+J207+J203+J199+J195+J191+J187+J183+J179+J174+J170+J166+J68+J64+J60+J56+J52+J48+J44+J40+J36+J32+J28+J20+J16+J12+J439+J436+J433+J430+J427+J424+J421+J418+J460+J457+J454+J451+J448+J445+J442+J286+J463+J484+J481+J478+J475+J472+J469+J466+J511+J508+J505+J502+J499+J496+J493+J490+J487+J514+J517+J520+J523+J526+J529+J532+J535+J538+J541+J544+J547</f>
        <v>2700218</v>
      </c>
      <c r="K551" s="987">
        <f t="shared" si="0"/>
        <v>578525</v>
      </c>
      <c r="L551" s="563">
        <f>SUM(I551:K551)</f>
        <v>3366362</v>
      </c>
      <c r="M551" s="574"/>
    </row>
    <row r="552" spans="1:13" ht="19.5" customHeight="1" thickBot="1">
      <c r="A552" s="959">
        <v>544</v>
      </c>
      <c r="B552" s="1081"/>
      <c r="C552" s="1082"/>
      <c r="D552" s="989" t="s">
        <v>1022</v>
      </c>
      <c r="E552" s="990"/>
      <c r="F552" s="991"/>
      <c r="G552" s="992"/>
      <c r="H552" s="993"/>
      <c r="I552" s="994">
        <f>I416+I411+I407+I403+I399+I395+I391+I387+I383+I379+I375+I371+I367+I363+I359+I355+I351+I347+I343+I339+I335+I331+I327+I323+I319+I315+I311+I307+I303+I299+I295+I291+I284+I280+I276+I272+I268+I264+I260+I256+I252+I248+I244+I240+I236+I232+I228+I224+I220+I216+I212+I208+I204+I200+I196+I192+I188+I184+I180+I175+I171+I167+I65+I61+I57+I53+I49+I45+I41+I37+I33+I29+I21+I17+I13+I69+I419+I422+I425+I440+I437+I434+I431+I428+I443+I287+I446+I449+I452+I461+I455+I458+I476+I473+I470+I467+I464+I479+I485+I482+I488+I509+I506+I503+I500+I497+I494+I491+I512+I515+I533+I530+I527+I524+I521+I518+I536+I539+I542+I548+I545</f>
        <v>14379</v>
      </c>
      <c r="J552" s="994">
        <f>J416+J411+J407+J403+J399+J395+J391+J387+J383+J379+J375+J371+J367+J363+J359+J355+J351+J347+J343+J339+J335+J331+J327+J323+J319+J315+J311+J307+J303+J299+J295+J291+J284+J280+J276+J272+J268+J264+J260+J256+J252+J248+J244+J240+J236+J232+J228+J224+J220+J216+J212+J208+J204+J200+J196+J192+J188+J184+J180+J175+J171+J167+J65+J61+J57+J53+J49+J45+J41+J37+J33+J29+J21+J17+J13+J69+J419+J422+J425+J440+J437+J434+J431+J428+J443+J287+J446+J449+J452+J461+J455+J458+J476+J473+J470+J467+J464+J479+J485+J482+J488+J509+J506+J503+J500+J497+J494+J491+J512+J515+J533+J530+J527+J524+J521+J518+J536+J539+J542+J548+J545</f>
        <v>1054376</v>
      </c>
      <c r="K552" s="994">
        <f>K416+K411+K407+K403+K399+K395+K391+K387+K383+K379+K375+K371+K367+K363+K359+K355+K351+K347+K343+K339+K335+K331+K327+K323+K319+K315+K311+K307+K303+K299+K295+K291+K284+K280+K276+K272+K268+K264+K260+K256+K252+K248+K244+K240+K236+K232+K228+K224+K220+K216+K212+K208+K204+K200+K196+K192+K188+K184+K180+K175+K171+K167+K65+K61+K57+K53+K49+K45+K41+K37+K33+K29+K21+K17+K13+K69+K419+K422+K425+K440+K437+K434+K431+K428+K443+K287+K446+K449+K452+K461+K455+K458+K476+K473+K470+K467+K464+K479+K485+K482+K488+K509+K506+K503+K500+K497+K494+K491+K512+K515+K533+K530+K527+K524+K521+K518+K536+K539+K542+K548+K545</f>
        <v>578163</v>
      </c>
      <c r="L552" s="575">
        <f>SUM(I552:K552)</f>
        <v>1646918</v>
      </c>
      <c r="M552" s="574"/>
    </row>
    <row r="553" spans="1:13" ht="18" customHeight="1" thickTop="1">
      <c r="A553" s="959">
        <v>545</v>
      </c>
      <c r="B553" s="1086"/>
      <c r="C553" s="1076"/>
      <c r="D553" s="519" t="s">
        <v>644</v>
      </c>
      <c r="E553" s="1087"/>
      <c r="F553" s="1087"/>
      <c r="G553" s="1088"/>
      <c r="H553" s="1089"/>
      <c r="I553" s="1090"/>
      <c r="J553" s="1090"/>
      <c r="K553" s="1090"/>
      <c r="L553" s="1091"/>
      <c r="M553" s="1092"/>
    </row>
    <row r="554" spans="1:13" ht="18" customHeight="1">
      <c r="A554" s="959">
        <v>546</v>
      </c>
      <c r="B554" s="1093"/>
      <c r="C554" s="1082"/>
      <c r="D554" s="1094" t="s">
        <v>198</v>
      </c>
      <c r="E554" s="1095"/>
      <c r="F554" s="1095"/>
      <c r="G554" s="1096"/>
      <c r="H554" s="1097"/>
      <c r="I554" s="1098">
        <f>I414+I393+I389+I313+I258+I234+I194+I186+I173+I169+I51+I47+I43+I19+I15+I11</f>
        <v>0</v>
      </c>
      <c r="J554" s="1099">
        <f>J414+J393+J389+J313+J258+J234+J194+J186+J173+J169+J51+J47+J43+J19+J15+J11</f>
        <v>474168</v>
      </c>
      <c r="K554" s="1100">
        <f>K414+K393+K389+K313+K258+K234+K194+K186+K173+K169+K51+K47+K43+K19+K15+K11</f>
        <v>1799488</v>
      </c>
      <c r="L554" s="1101">
        <f>SUM(I554:K554)</f>
        <v>2273656</v>
      </c>
      <c r="M554" s="1102"/>
    </row>
    <row r="555" spans="1:13" ht="18" customHeight="1">
      <c r="A555" s="959">
        <v>547</v>
      </c>
      <c r="B555" s="1093"/>
      <c r="C555" s="1082"/>
      <c r="D555" s="1103" t="s">
        <v>765</v>
      </c>
      <c r="E555" s="1095"/>
      <c r="F555" s="1095"/>
      <c r="G555" s="1096"/>
      <c r="H555" s="1097"/>
      <c r="I555" s="1033">
        <f>I415+I394+I390+I314+I259+I235+I195+I187+I174+I170+I52+I48+I44+I20+I16+I12+I418+I460++I451+I448+I505+I547+I544+I535</f>
        <v>0</v>
      </c>
      <c r="J555" s="1033">
        <f t="shared" ref="J555:K555" si="1">J415+J394+J390+J314+J259+J235+J195+J187+J174+J170+J52+J48+J44+J20+J16+J12+J418+J460++J451+J448+J505+J547+J544+J535</f>
        <v>772357</v>
      </c>
      <c r="K555" s="1033">
        <f t="shared" si="1"/>
        <v>509733</v>
      </c>
      <c r="L555" s="1035">
        <f>SUM(I555:K555)</f>
        <v>1282090</v>
      </c>
      <c r="M555" s="1102"/>
    </row>
    <row r="556" spans="1:13" ht="18" customHeight="1">
      <c r="A556" s="959">
        <v>548</v>
      </c>
      <c r="B556" s="1093"/>
      <c r="C556" s="1082"/>
      <c r="D556" s="165" t="s">
        <v>1022</v>
      </c>
      <c r="E556" s="1104"/>
      <c r="F556" s="1104"/>
      <c r="G556" s="1105"/>
      <c r="H556" s="1106"/>
      <c r="I556" s="1107">
        <f>I416+I395+I391+I315+I260+I236+I196+I188+I175+I171+I49+I53+I45+I21+I17+I13+I419+I452+I449+I461+I506+I536+I548+I545</f>
        <v>0</v>
      </c>
      <c r="J556" s="1107">
        <f>J416+J395+J391+J315+J260+J236+J196+J188+J175+J171+J49+J53+J45+J21+J17+J13+J419+J452+J449+J461+J506+J536+J548+J545</f>
        <v>413453</v>
      </c>
      <c r="K556" s="1107">
        <f>K416+K395+K391+K315+K260+K236+K196+K188+K175+K171+K49+K53+K45+K21+K17+K13+K419+K452+K449+K461+K506+K536+K548+K545</f>
        <v>509733</v>
      </c>
      <c r="L556" s="1022">
        <f>SUM(F556:K556)</f>
        <v>923186</v>
      </c>
      <c r="M556" s="1102"/>
    </row>
    <row r="557" spans="1:13" ht="18" customHeight="1">
      <c r="A557" s="959">
        <v>549</v>
      </c>
      <c r="B557" s="1093"/>
      <c r="C557" s="1082"/>
      <c r="D557" s="1108" t="s">
        <v>645</v>
      </c>
      <c r="E557" s="1109"/>
      <c r="F557" s="1109"/>
      <c r="G557" s="1110"/>
      <c r="H557" s="1106"/>
      <c r="I557" s="1111"/>
      <c r="J557" s="1111"/>
      <c r="K557" s="1111"/>
      <c r="L557" s="1035"/>
      <c r="M557" s="1102"/>
    </row>
    <row r="558" spans="1:13" ht="18" customHeight="1">
      <c r="A558" s="959">
        <v>550</v>
      </c>
      <c r="B558" s="1093"/>
      <c r="C558" s="1082"/>
      <c r="D558" s="1094" t="s">
        <v>198</v>
      </c>
      <c r="E558" s="1095"/>
      <c r="F558" s="1095"/>
      <c r="G558" s="1096"/>
      <c r="H558" s="1097"/>
      <c r="I558" s="1112">
        <f>I409+I405+I401+I397+I381+I377+I373+I369+I365+I361+I357+I353+I349+I345+I341+I337+I333+I329+I325+I321+I317+I309+I305+I301+I297+I293+I289+I282+I278+I274+I270+I266+I262+I254+I250+I246+I242+I238+I230+I226+I222+I218+I214+I210+I206+I202+I198+I190+I182+I178+I165+I67+I63+I59+I55+I39+I35+I31+I27</f>
        <v>25587</v>
      </c>
      <c r="J558" s="1112">
        <f>J409+J405+J401+J397+J381+J377+J373+J369+J365+J361+J357+J353+J349+J345+J341+J337+J333+J329+J325+J321+J317+J309+J305+J301+J297+J293+J289+J282+J278+J274+J270+J266+J262+J254+J250+J246+J242+J238+J230+J226+J222+J218+J214+J210+J206+J202+J198+J190+J182+J178+J165+J67+J63+J59+J55+J39+J35+J31+J27+J385</f>
        <v>1352280</v>
      </c>
      <c r="K558" s="1112">
        <f>K409+K405+K401+K397+K381+K377+K373+K369+K365+K361+K357+K353+K349+K345+K341+K337+K333+K329+K325+K321+K317+K309+K305+K301+K297+K293+K289+K282+K278+K274+K270+K266+K262+K254+K250+K246+K242+K238+K230+K226+K222+K218+K214+K210+K206+K202+K198+K190+K182+K178+K165+K67+K63+K59+K55+K39+K35+K31+K27</f>
        <v>10150</v>
      </c>
      <c r="L558" s="1101">
        <f>SUM(I558:K558)</f>
        <v>1388017</v>
      </c>
      <c r="M558" s="1102"/>
    </row>
    <row r="559" spans="1:13" ht="18" customHeight="1">
      <c r="A559" s="959">
        <v>551</v>
      </c>
      <c r="B559" s="1093"/>
      <c r="C559" s="1082"/>
      <c r="D559" s="1103" t="s">
        <v>765</v>
      </c>
      <c r="E559" s="1095"/>
      <c r="F559" s="1095"/>
      <c r="G559" s="1096"/>
      <c r="H559" s="1097"/>
      <c r="I559" s="1111">
        <f>I410+I406+I402+I398+I382+I378+I374+I370+I366+I362+I358+I354+I350+I346+I342+I338+I334+I330+I326+I322+I318+I310+I306+I302+I298+I294+I290+I283+I279+I275+I271+I267+I263+I255+I251+I247+I243+I239+I231+I227+I223+I219+I215+I211+I207+I203+I199+I191+I183+I179+I166+I68+I64+I60+I56+I40+I36+I32+I28+I439+I436+I433+I430+I427+I424++I421+I386+I457+I454+I445+I442+I286+I463+I484+I481+I478+I475+I472+I469+I466+I511+I508+I502+I499+I496+I493+I490+I487+I541+I538+I532+I529+I526+I523+I520+I517+I514</f>
        <v>87619</v>
      </c>
      <c r="J559" s="1111">
        <f t="shared" ref="J559:K559" si="2">J410+J406+J402+J398+J382+J378+J374+J370+J366+J362+J358+J354+J350+J346+J342+J338+J334+J330+J326+J322+J318+J310+J306+J302+J298+J294+J290+J283+J279+J275+J271+J267+J263+J255+J251+J247+J243+J239+J231+J227+J223+J219+J215+J211+J207+J203+J199+J191+J183+J179+J166+J68+J64+J60+J56+J40+J36+J32+J28+J439+J436+J433+J430+J427+J424++J421+J386+J457+J454+J445+J442+J286+J463+J484+J481+J478+J475+J472+J469+J466+J511+J508+J502+J499+J496+J493+J490+J487+J541+J538+J532+J529+J526+J523+J520+J517+J514</f>
        <v>1927861</v>
      </c>
      <c r="K559" s="1111">
        <f t="shared" si="2"/>
        <v>68792</v>
      </c>
      <c r="L559" s="1035">
        <f>SUM(I559:K559)</f>
        <v>2084272</v>
      </c>
      <c r="M559" s="1102"/>
    </row>
    <row r="560" spans="1:13" ht="18" customHeight="1" thickBot="1">
      <c r="A560" s="959">
        <v>552</v>
      </c>
      <c r="B560" s="1114"/>
      <c r="C560" s="1115"/>
      <c r="D560" s="1303" t="s">
        <v>1022</v>
      </c>
      <c r="E560" s="1116"/>
      <c r="F560" s="1116"/>
      <c r="G560" s="1117"/>
      <c r="H560" s="1118"/>
      <c r="I560" s="1321">
        <f>I485+I482+I479+I476+I473+I470+I467+I464+I458+I455+I446+I443+I440+I437+I434+I431+I428+I425+I422+I411+I407+I403+I399+I391+I387+I383+I379+I375+I371+I367+I363+I359+I355+I351+I347+I343+I339+I335+I331+I327+I323+I311+I319+I307+I303+I299+I295+I291+I284+I280+I276+I272+I268+I264+I256+I252+I248+I244+I240+I232+I228+I224+I220+I216+I212+I208+I204+I200+I192+I184+I180+I167+I69+I65+I61+I57+I41+I37+I33+I29+I488+I509+I503+I500+I497+I494+I491+I512+I515+I533+I530+I527+I524+I521+I518+I539+I542+I287</f>
        <v>14379</v>
      </c>
      <c r="J560" s="1321">
        <f t="shared" ref="J560:K560" si="3">J485+J482+J479+J476+J473+J470+J467+J464+J458+J455+J446+J443+J440+J437+J434+J431+J428+J425+J422+J411+J407+J403+J399+J391+J387+J383+J379+J375+J371+J367+J363+J359+J355+J351+J347+J343+J339+J335+J331+J327+J323+J311+J319+J307+J303+J299+J295+J291+J284+J280+J276+J272+J268+J264+J256+J252+J248+J244+J240+J232+J228+J224+J220+J216+J212+J208+J204+J200+J192+J184+J180+J167+J69+J65+J61+J57+J41+J37+J33+J29+J488+J509+J503+J500+J497+J494+J491+J512+J515+J533+J530+J527+J524+J521+J518+J539+J542+J287</f>
        <v>640923</v>
      </c>
      <c r="K560" s="1321">
        <f t="shared" si="3"/>
        <v>68430</v>
      </c>
      <c r="L560" s="1322">
        <f>SUM(F560:K560)</f>
        <v>723732</v>
      </c>
      <c r="M560" s="1119"/>
    </row>
    <row r="561" spans="2:12" ht="18" customHeight="1">
      <c r="B561" s="1120" t="s">
        <v>288</v>
      </c>
      <c r="C561" s="1121"/>
      <c r="D561" s="1120"/>
      <c r="E561" s="1122"/>
      <c r="F561" s="1123"/>
      <c r="G561" s="1122"/>
      <c r="H561" s="1124"/>
      <c r="I561" s="1122"/>
      <c r="J561" s="1122"/>
      <c r="K561" s="1122"/>
      <c r="L561" s="1122"/>
    </row>
    <row r="562" spans="2:12" ht="18" customHeight="1">
      <c r="B562" s="1120" t="s">
        <v>289</v>
      </c>
      <c r="C562" s="1121"/>
      <c r="D562" s="1120"/>
      <c r="E562" s="1126"/>
      <c r="F562" s="1123"/>
      <c r="G562" s="1122"/>
      <c r="H562" s="1124"/>
      <c r="I562" s="1122"/>
      <c r="J562" s="1122"/>
      <c r="K562" s="1122"/>
      <c r="L562" s="1122"/>
    </row>
    <row r="563" spans="2:12" ht="18" customHeight="1">
      <c r="B563" s="1120" t="s">
        <v>290</v>
      </c>
      <c r="C563" s="1121"/>
      <c r="D563" s="1120"/>
      <c r="E563" s="1126"/>
      <c r="F563" s="1123"/>
      <c r="G563" s="1122"/>
      <c r="H563" s="1124"/>
      <c r="I563" s="1122"/>
      <c r="J563" s="1122"/>
      <c r="K563" s="1122"/>
      <c r="L563" s="1122"/>
    </row>
  </sheetData>
  <mergeCells count="16">
    <mergeCell ref="D549:G549"/>
    <mergeCell ref="B3:M3"/>
    <mergeCell ref="B6:B8"/>
    <mergeCell ref="C6:C8"/>
    <mergeCell ref="D6:D8"/>
    <mergeCell ref="E6:E8"/>
    <mergeCell ref="F6:F8"/>
    <mergeCell ref="G6:G8"/>
    <mergeCell ref="H6:H8"/>
    <mergeCell ref="I6:L6"/>
    <mergeCell ref="M6:M8"/>
    <mergeCell ref="B2:M2"/>
    <mergeCell ref="I1:M1"/>
    <mergeCell ref="B1:F1"/>
    <mergeCell ref="J7:K7"/>
    <mergeCell ref="L7:L8"/>
  </mergeCells>
  <printOptions horizontalCentered="1"/>
  <pageMargins left="0.196527777777778" right="0.196527777777778" top="0.59027777777777801" bottom="0.59027777777777801" header="0.511811023622047" footer="0.51180555555555596"/>
  <pageSetup paperSize="9" scale="54" fitToHeight="0" orientation="portrait" horizontalDpi="300" verticalDpi="300" r:id="rId1"/>
  <headerFooter>
    <oddFooter>&amp;C- &amp;P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R233"/>
  <sheetViews>
    <sheetView view="pageBreakPreview" topLeftCell="D217" zoomScaleNormal="100" workbookViewId="0">
      <selection activeCell="A4" sqref="A4:L232"/>
    </sheetView>
  </sheetViews>
  <sheetFormatPr defaultColWidth="9.26953125" defaultRowHeight="14.5"/>
  <cols>
    <col min="1" max="1" width="3.54296875" style="950" customWidth="1"/>
    <col min="2" max="2" width="5.7265625" style="951" customWidth="1"/>
    <col min="3" max="3" width="5.7265625" style="546" customWidth="1"/>
    <col min="4" max="4" width="59.7265625" style="952" customWidth="1"/>
    <col min="5" max="7" width="10.7265625" style="547" customWidth="1"/>
    <col min="8" max="8" width="6.7265625" style="953" customWidth="1"/>
    <col min="9" max="10" width="14.7265625" style="547" customWidth="1"/>
    <col min="11" max="11" width="15.7265625" style="547" customWidth="1"/>
    <col min="12" max="12" width="13.7265625" style="1125" customWidth="1"/>
    <col min="13" max="16384" width="9.26953125" style="548"/>
  </cols>
  <sheetData>
    <row r="1" spans="1:250" s="552" customFormat="1" ht="18" customHeight="1">
      <c r="A1" s="948"/>
      <c r="B1" s="1893" t="s">
        <v>1193</v>
      </c>
      <c r="C1" s="1893"/>
      <c r="D1" s="1893"/>
      <c r="E1" s="1893"/>
      <c r="F1" s="1893"/>
      <c r="G1" s="549"/>
      <c r="H1" s="949"/>
      <c r="I1" s="1962"/>
      <c r="J1" s="1962"/>
      <c r="K1" s="1962"/>
      <c r="L1" s="1962"/>
      <c r="M1" s="551"/>
      <c r="N1" s="551"/>
      <c r="O1" s="551"/>
      <c r="P1" s="551"/>
      <c r="Q1" s="551"/>
      <c r="R1" s="551"/>
      <c r="S1" s="551"/>
      <c r="T1" s="551"/>
      <c r="U1" s="551"/>
      <c r="V1" s="551"/>
      <c r="W1" s="551"/>
      <c r="X1" s="551"/>
      <c r="Y1" s="551"/>
      <c r="Z1" s="551"/>
      <c r="AA1" s="551"/>
      <c r="AB1" s="551"/>
      <c r="AC1" s="551"/>
      <c r="AD1" s="551"/>
      <c r="AE1" s="551"/>
      <c r="AF1" s="551"/>
      <c r="AG1" s="551"/>
      <c r="AH1" s="551"/>
      <c r="AI1" s="551"/>
      <c r="AJ1" s="551"/>
      <c r="AK1" s="551"/>
      <c r="AL1" s="551"/>
      <c r="AM1" s="551"/>
      <c r="AN1" s="551"/>
      <c r="AO1" s="551"/>
      <c r="AP1" s="551"/>
      <c r="AQ1" s="551"/>
      <c r="AR1" s="551"/>
      <c r="AS1" s="551"/>
      <c r="AT1" s="551"/>
      <c r="AU1" s="551"/>
      <c r="AV1" s="551"/>
      <c r="AW1" s="551"/>
      <c r="AX1" s="551"/>
      <c r="AY1" s="551"/>
      <c r="AZ1" s="551"/>
      <c r="BA1" s="551"/>
      <c r="BB1" s="551"/>
      <c r="BC1" s="551"/>
      <c r="BD1" s="551"/>
      <c r="BE1" s="551"/>
      <c r="BF1" s="551"/>
      <c r="BG1" s="551"/>
      <c r="BH1" s="551"/>
      <c r="BI1" s="551"/>
      <c r="BJ1" s="551"/>
      <c r="BK1" s="551"/>
      <c r="BL1" s="551"/>
      <c r="BM1" s="551"/>
      <c r="BN1" s="551"/>
      <c r="BO1" s="551"/>
      <c r="BP1" s="551"/>
      <c r="BQ1" s="551"/>
      <c r="BR1" s="551"/>
      <c r="BS1" s="551"/>
      <c r="BT1" s="551"/>
      <c r="BU1" s="551"/>
      <c r="BV1" s="551"/>
      <c r="BW1" s="551"/>
      <c r="BX1" s="551"/>
      <c r="BY1" s="551"/>
      <c r="BZ1" s="551"/>
      <c r="CA1" s="551"/>
      <c r="CB1" s="551"/>
      <c r="CC1" s="551"/>
      <c r="CD1" s="551"/>
      <c r="CE1" s="551"/>
      <c r="CF1" s="551"/>
      <c r="CG1" s="551"/>
      <c r="CH1" s="551"/>
      <c r="CI1" s="551"/>
      <c r="CJ1" s="551"/>
      <c r="CK1" s="551"/>
      <c r="CL1" s="551"/>
      <c r="CM1" s="551"/>
      <c r="CN1" s="551"/>
      <c r="CO1" s="551"/>
      <c r="CP1" s="551"/>
      <c r="CQ1" s="551"/>
      <c r="CR1" s="551"/>
      <c r="CS1" s="551"/>
      <c r="CT1" s="551"/>
      <c r="CU1" s="551"/>
      <c r="CV1" s="551"/>
      <c r="CW1" s="551"/>
      <c r="CX1" s="551"/>
      <c r="CY1" s="551"/>
      <c r="CZ1" s="551"/>
      <c r="DA1" s="551"/>
      <c r="DB1" s="551"/>
      <c r="DC1" s="551"/>
      <c r="DD1" s="551"/>
      <c r="DE1" s="551"/>
      <c r="DF1" s="551"/>
      <c r="DG1" s="551"/>
      <c r="DH1" s="551"/>
      <c r="DI1" s="551"/>
      <c r="DJ1" s="551"/>
      <c r="DK1" s="551"/>
      <c r="DL1" s="551"/>
      <c r="DM1" s="551"/>
      <c r="DN1" s="551"/>
      <c r="DO1" s="551"/>
      <c r="DP1" s="551"/>
      <c r="DQ1" s="551"/>
      <c r="DR1" s="551"/>
      <c r="DS1" s="551"/>
      <c r="DT1" s="551"/>
      <c r="DU1" s="551"/>
      <c r="DV1" s="551"/>
      <c r="DW1" s="551"/>
      <c r="DX1" s="551"/>
      <c r="DY1" s="551"/>
      <c r="DZ1" s="551"/>
      <c r="EA1" s="551"/>
      <c r="EB1" s="551"/>
      <c r="EC1" s="551"/>
      <c r="ED1" s="551"/>
      <c r="EE1" s="551"/>
      <c r="EF1" s="551"/>
      <c r="EG1" s="551"/>
      <c r="EH1" s="551"/>
      <c r="EI1" s="551"/>
      <c r="EJ1" s="551"/>
      <c r="EK1" s="551"/>
      <c r="EL1" s="551"/>
      <c r="EM1" s="551"/>
      <c r="EN1" s="551"/>
      <c r="EO1" s="551"/>
      <c r="EP1" s="551"/>
      <c r="EQ1" s="551"/>
      <c r="ER1" s="551"/>
      <c r="ES1" s="551"/>
      <c r="ET1" s="551"/>
      <c r="EU1" s="551"/>
      <c r="EV1" s="551"/>
      <c r="EW1" s="551"/>
      <c r="EX1" s="551"/>
      <c r="EY1" s="551"/>
      <c r="EZ1" s="551"/>
      <c r="FA1" s="551"/>
      <c r="FB1" s="551"/>
      <c r="FC1" s="551"/>
      <c r="FD1" s="551"/>
      <c r="FE1" s="551"/>
      <c r="FF1" s="551"/>
      <c r="FG1" s="551"/>
      <c r="FH1" s="551"/>
      <c r="FI1" s="551"/>
      <c r="FJ1" s="551"/>
      <c r="FK1" s="551"/>
      <c r="FL1" s="551"/>
      <c r="FM1" s="551"/>
      <c r="FN1" s="551"/>
      <c r="FO1" s="551"/>
      <c r="FP1" s="551"/>
      <c r="FQ1" s="551"/>
      <c r="FR1" s="551"/>
      <c r="FS1" s="551"/>
      <c r="FT1" s="551"/>
      <c r="FU1" s="551"/>
      <c r="FV1" s="551"/>
      <c r="FW1" s="551"/>
      <c r="FX1" s="551"/>
      <c r="FY1" s="551"/>
      <c r="FZ1" s="551"/>
      <c r="GA1" s="551"/>
      <c r="GB1" s="551"/>
      <c r="GC1" s="551"/>
      <c r="GD1" s="551"/>
      <c r="GE1" s="551"/>
      <c r="GF1" s="551"/>
      <c r="GG1" s="551"/>
      <c r="GH1" s="551"/>
      <c r="GI1" s="551"/>
      <c r="GJ1" s="551"/>
      <c r="GK1" s="551"/>
      <c r="GL1" s="551"/>
      <c r="GM1" s="551"/>
      <c r="GN1" s="551"/>
      <c r="GO1" s="551"/>
      <c r="GP1" s="551"/>
      <c r="GQ1" s="551"/>
      <c r="GR1" s="551"/>
      <c r="GS1" s="551"/>
      <c r="GT1" s="551"/>
      <c r="GU1" s="551"/>
      <c r="GV1" s="551"/>
      <c r="GW1" s="551"/>
      <c r="GX1" s="551"/>
      <c r="GY1" s="551"/>
      <c r="GZ1" s="551"/>
      <c r="HA1" s="551"/>
      <c r="HB1" s="551"/>
      <c r="HC1" s="551"/>
      <c r="HD1" s="551"/>
      <c r="HE1" s="551"/>
      <c r="HF1" s="551"/>
      <c r="HG1" s="551"/>
      <c r="HH1" s="551"/>
      <c r="HI1" s="551"/>
      <c r="HJ1" s="551"/>
      <c r="HK1" s="551"/>
      <c r="HL1" s="551"/>
      <c r="HM1" s="551"/>
      <c r="HN1" s="551"/>
      <c r="HO1" s="551"/>
      <c r="HP1" s="551"/>
      <c r="HQ1" s="551"/>
      <c r="HR1" s="551"/>
      <c r="HS1" s="551"/>
      <c r="HT1" s="551"/>
      <c r="HU1" s="551"/>
      <c r="HV1" s="551"/>
      <c r="HW1" s="551"/>
      <c r="HX1" s="551"/>
      <c r="HY1" s="551"/>
      <c r="HZ1" s="551"/>
      <c r="IA1" s="551"/>
      <c r="IB1" s="551"/>
      <c r="IC1" s="551"/>
      <c r="ID1" s="551"/>
      <c r="IE1" s="551"/>
      <c r="IF1" s="551"/>
      <c r="IG1" s="551"/>
      <c r="IH1" s="551"/>
      <c r="II1" s="551"/>
      <c r="IJ1" s="551"/>
      <c r="IK1" s="551"/>
      <c r="IL1" s="551"/>
      <c r="IM1" s="551"/>
      <c r="IN1" s="551"/>
      <c r="IO1" s="551"/>
      <c r="IP1" s="551"/>
    </row>
    <row r="2" spans="1:250" s="552" customFormat="1" ht="18" customHeight="1">
      <c r="A2" s="950"/>
      <c r="B2" s="1961" t="s">
        <v>411</v>
      </c>
      <c r="C2" s="1961"/>
      <c r="D2" s="1961"/>
      <c r="E2" s="1961"/>
      <c r="F2" s="1961"/>
      <c r="G2" s="1961"/>
      <c r="H2" s="1961"/>
      <c r="I2" s="1961"/>
      <c r="J2" s="1961"/>
      <c r="K2" s="1961"/>
      <c r="L2" s="1961"/>
    </row>
    <row r="3" spans="1:250" s="552" customFormat="1" ht="18" customHeight="1">
      <c r="A3" s="950"/>
      <c r="B3" s="1966" t="s">
        <v>905</v>
      </c>
      <c r="C3" s="1966"/>
      <c r="D3" s="1966"/>
      <c r="E3" s="1966"/>
      <c r="F3" s="1966"/>
      <c r="G3" s="1966"/>
      <c r="H3" s="1966"/>
      <c r="I3" s="1966"/>
      <c r="J3" s="1966"/>
      <c r="K3" s="1966"/>
      <c r="L3" s="1966"/>
    </row>
    <row r="4" spans="1:250" ht="18" customHeight="1">
      <c r="L4" s="553" t="s">
        <v>0</v>
      </c>
    </row>
    <row r="5" spans="1:250" s="555" customFormat="1" ht="18" customHeight="1" thickBot="1">
      <c r="A5" s="950"/>
      <c r="B5" s="954" t="s">
        <v>1</v>
      </c>
      <c r="C5" s="554" t="s">
        <v>2</v>
      </c>
      <c r="D5" s="955" t="s">
        <v>72</v>
      </c>
      <c r="E5" s="955" t="s">
        <v>73</v>
      </c>
      <c r="F5" s="955" t="s">
        <v>74</v>
      </c>
      <c r="G5" s="955" t="s">
        <v>75</v>
      </c>
      <c r="H5" s="955" t="s">
        <v>76</v>
      </c>
      <c r="I5" s="955" t="s">
        <v>79</v>
      </c>
      <c r="J5" s="955" t="s">
        <v>80</v>
      </c>
      <c r="K5" s="955" t="s">
        <v>81</v>
      </c>
      <c r="L5" s="955" t="s">
        <v>184</v>
      </c>
      <c r="M5" s="950"/>
      <c r="N5" s="950"/>
      <c r="O5" s="950"/>
      <c r="P5" s="950"/>
      <c r="Q5" s="950"/>
      <c r="R5" s="950"/>
      <c r="S5" s="950"/>
      <c r="T5" s="950"/>
      <c r="U5" s="950"/>
      <c r="V5" s="950"/>
      <c r="W5" s="950"/>
      <c r="X5" s="950"/>
      <c r="Y5" s="950"/>
      <c r="Z5" s="950"/>
      <c r="AA5" s="950"/>
      <c r="AB5" s="950"/>
      <c r="AC5" s="950"/>
      <c r="AD5" s="950"/>
      <c r="AE5" s="950"/>
      <c r="AF5" s="950"/>
      <c r="AG5" s="950"/>
      <c r="AH5" s="950"/>
      <c r="AI5" s="950"/>
      <c r="AJ5" s="950"/>
      <c r="AK5" s="950"/>
      <c r="AL5" s="950"/>
      <c r="AM5" s="950"/>
      <c r="AN5" s="950"/>
      <c r="AO5" s="950"/>
      <c r="AP5" s="950"/>
      <c r="AQ5" s="950"/>
      <c r="AR5" s="950"/>
      <c r="AS5" s="950"/>
      <c r="AT5" s="950"/>
      <c r="AU5" s="950"/>
      <c r="AV5" s="950"/>
      <c r="AW5" s="950"/>
      <c r="AX5" s="950"/>
      <c r="AY5" s="950"/>
      <c r="AZ5" s="950"/>
      <c r="BA5" s="950"/>
      <c r="BB5" s="950"/>
      <c r="BC5" s="950"/>
      <c r="BD5" s="950"/>
      <c r="BE5" s="950"/>
      <c r="BF5" s="950"/>
      <c r="BG5" s="950"/>
      <c r="BH5" s="950"/>
      <c r="BI5" s="950"/>
      <c r="BJ5" s="950"/>
      <c r="BK5" s="950"/>
      <c r="BL5" s="950"/>
      <c r="BM5" s="950"/>
      <c r="BN5" s="950"/>
      <c r="BO5" s="950"/>
      <c r="BP5" s="950"/>
      <c r="BQ5" s="950"/>
      <c r="BR5" s="950"/>
      <c r="BS5" s="950"/>
      <c r="BT5" s="950"/>
      <c r="BU5" s="950"/>
      <c r="BV5" s="950"/>
      <c r="BW5" s="950"/>
      <c r="BX5" s="950"/>
      <c r="BY5" s="950"/>
      <c r="BZ5" s="950"/>
      <c r="CA5" s="950"/>
      <c r="CB5" s="950"/>
      <c r="CC5" s="950"/>
      <c r="CD5" s="950"/>
      <c r="CE5" s="950"/>
      <c r="CF5" s="950"/>
      <c r="CG5" s="950"/>
      <c r="CH5" s="950"/>
      <c r="CI5" s="950"/>
      <c r="CJ5" s="950"/>
      <c r="CK5" s="950"/>
      <c r="CL5" s="950"/>
      <c r="CM5" s="950"/>
      <c r="CN5" s="950"/>
      <c r="CO5" s="950"/>
      <c r="CP5" s="950"/>
      <c r="CQ5" s="950"/>
      <c r="CR5" s="950"/>
      <c r="CS5" s="950"/>
      <c r="CT5" s="950"/>
      <c r="CU5" s="950"/>
      <c r="CV5" s="950"/>
      <c r="CW5" s="950"/>
      <c r="CX5" s="950"/>
      <c r="CY5" s="950"/>
      <c r="CZ5" s="950"/>
      <c r="DA5" s="950"/>
      <c r="DB5" s="950"/>
      <c r="DC5" s="950"/>
      <c r="DD5" s="950"/>
      <c r="DE5" s="950"/>
      <c r="DF5" s="950"/>
      <c r="DG5" s="950"/>
      <c r="DH5" s="950"/>
      <c r="DI5" s="950"/>
      <c r="DJ5" s="950"/>
      <c r="DK5" s="950"/>
      <c r="DL5" s="950"/>
      <c r="DM5" s="950"/>
      <c r="DN5" s="950"/>
      <c r="DO5" s="950"/>
      <c r="DP5" s="950"/>
      <c r="DQ5" s="950"/>
      <c r="DR5" s="950"/>
      <c r="DS5" s="950"/>
      <c r="DT5" s="950"/>
      <c r="DU5" s="950"/>
      <c r="DV5" s="950"/>
      <c r="DW5" s="950"/>
      <c r="DX5" s="950"/>
      <c r="DY5" s="950"/>
      <c r="DZ5" s="950"/>
      <c r="EA5" s="950"/>
      <c r="EB5" s="950"/>
      <c r="EC5" s="950"/>
      <c r="ED5" s="950"/>
      <c r="EE5" s="950"/>
      <c r="EF5" s="950"/>
      <c r="EG5" s="950"/>
      <c r="EH5" s="950"/>
      <c r="EI5" s="950"/>
      <c r="EJ5" s="950"/>
      <c r="EK5" s="950"/>
      <c r="EL5" s="950"/>
      <c r="EM5" s="950"/>
      <c r="EN5" s="950"/>
      <c r="EO5" s="950"/>
      <c r="EP5" s="950"/>
      <c r="EQ5" s="950"/>
      <c r="ER5" s="950"/>
      <c r="ES5" s="950"/>
      <c r="ET5" s="950"/>
      <c r="EU5" s="950"/>
      <c r="EV5" s="950"/>
      <c r="EW5" s="950"/>
      <c r="EX5" s="950"/>
      <c r="EY5" s="950"/>
      <c r="EZ5" s="950"/>
      <c r="FA5" s="950"/>
      <c r="FB5" s="950"/>
      <c r="FC5" s="950"/>
      <c r="FD5" s="950"/>
      <c r="FE5" s="950"/>
      <c r="FF5" s="950"/>
      <c r="FG5" s="950"/>
      <c r="FH5" s="950"/>
      <c r="FI5" s="950"/>
      <c r="FJ5" s="950"/>
      <c r="FK5" s="950"/>
      <c r="FL5" s="950"/>
      <c r="FM5" s="950"/>
      <c r="FN5" s="950"/>
      <c r="FO5" s="950"/>
      <c r="FP5" s="950"/>
      <c r="FQ5" s="950"/>
      <c r="FR5" s="950"/>
      <c r="FS5" s="950"/>
      <c r="FT5" s="950"/>
      <c r="FU5" s="950"/>
      <c r="FV5" s="950"/>
      <c r="FW5" s="950"/>
      <c r="FX5" s="950"/>
      <c r="FY5" s="950"/>
      <c r="FZ5" s="950"/>
      <c r="GA5" s="950"/>
      <c r="GB5" s="950"/>
      <c r="GC5" s="950"/>
      <c r="GD5" s="950"/>
      <c r="GE5" s="950"/>
      <c r="GF5" s="950"/>
      <c r="GG5" s="950"/>
      <c r="GH5" s="950"/>
      <c r="GI5" s="950"/>
      <c r="GJ5" s="950"/>
      <c r="GK5" s="950"/>
      <c r="GL5" s="950"/>
      <c r="GM5" s="950"/>
      <c r="GN5" s="950"/>
      <c r="GO5" s="950"/>
      <c r="GP5" s="950"/>
      <c r="GQ5" s="950"/>
      <c r="GR5" s="950"/>
      <c r="GS5" s="950"/>
      <c r="GT5" s="950"/>
      <c r="GU5" s="950"/>
      <c r="GV5" s="950"/>
      <c r="GW5" s="950"/>
      <c r="GX5" s="950"/>
      <c r="GY5" s="950"/>
      <c r="GZ5" s="950"/>
      <c r="HA5" s="950"/>
      <c r="HB5" s="950"/>
      <c r="HC5" s="950"/>
      <c r="HD5" s="950"/>
      <c r="HE5" s="950"/>
      <c r="HF5" s="950"/>
      <c r="HG5" s="950"/>
      <c r="HH5" s="950"/>
      <c r="HI5" s="950"/>
      <c r="HJ5" s="950"/>
      <c r="HK5" s="950"/>
      <c r="HL5" s="950"/>
      <c r="HM5" s="950"/>
      <c r="HN5" s="950"/>
      <c r="HO5" s="950"/>
      <c r="HP5" s="950"/>
      <c r="HQ5" s="950"/>
      <c r="HR5" s="950"/>
      <c r="HS5" s="950"/>
      <c r="HT5" s="950"/>
      <c r="HU5" s="950"/>
      <c r="HV5" s="950"/>
      <c r="HW5" s="950"/>
      <c r="HX5" s="950"/>
      <c r="HY5" s="950"/>
      <c r="HZ5" s="950"/>
      <c r="IA5" s="950"/>
      <c r="IB5" s="950"/>
      <c r="IC5" s="950"/>
      <c r="ID5" s="950"/>
      <c r="IE5" s="950"/>
      <c r="IF5" s="950"/>
      <c r="IG5" s="950"/>
      <c r="IH5" s="950"/>
      <c r="II5" s="950"/>
      <c r="IJ5" s="950"/>
      <c r="IK5" s="950"/>
      <c r="IL5" s="950"/>
      <c r="IM5" s="950"/>
      <c r="IN5" s="950"/>
      <c r="IO5" s="950"/>
      <c r="IP5" s="950"/>
    </row>
    <row r="6" spans="1:250" ht="30" customHeight="1" thickBot="1">
      <c r="B6" s="1953" t="s">
        <v>82</v>
      </c>
      <c r="C6" s="1954" t="s">
        <v>83</v>
      </c>
      <c r="D6" s="1967" t="s">
        <v>3</v>
      </c>
      <c r="E6" s="1968" t="s">
        <v>783</v>
      </c>
      <c r="F6" s="1968" t="s">
        <v>188</v>
      </c>
      <c r="G6" s="1969" t="s">
        <v>88</v>
      </c>
      <c r="H6" s="1970" t="s">
        <v>292</v>
      </c>
      <c r="I6" s="1971" t="s">
        <v>413</v>
      </c>
      <c r="J6" s="1971"/>
      <c r="K6" s="1971"/>
      <c r="L6" s="1972" t="s">
        <v>646</v>
      </c>
    </row>
    <row r="7" spans="1:250" ht="45" customHeight="1" thickBot="1">
      <c r="B7" s="1953"/>
      <c r="C7" s="1954"/>
      <c r="D7" s="1967"/>
      <c r="E7" s="1968"/>
      <c r="F7" s="1968"/>
      <c r="G7" s="1969"/>
      <c r="H7" s="1970"/>
      <c r="I7" s="953" t="s">
        <v>21</v>
      </c>
      <c r="J7" s="956" t="s">
        <v>157</v>
      </c>
      <c r="K7" s="1964" t="s">
        <v>4</v>
      </c>
      <c r="L7" s="1972"/>
    </row>
    <row r="8" spans="1:250" ht="53.25" customHeight="1" thickBot="1">
      <c r="B8" s="1953"/>
      <c r="C8" s="1954"/>
      <c r="D8" s="1967"/>
      <c r="E8" s="1968"/>
      <c r="F8" s="1968"/>
      <c r="G8" s="1969"/>
      <c r="H8" s="1970"/>
      <c r="I8" s="957" t="s">
        <v>226</v>
      </c>
      <c r="J8" s="958" t="s">
        <v>159</v>
      </c>
      <c r="K8" s="1964"/>
      <c r="L8" s="1972"/>
    </row>
    <row r="9" spans="1:250" ht="23.25" customHeight="1">
      <c r="A9" s="959">
        <v>1</v>
      </c>
      <c r="B9" s="960">
        <v>18</v>
      </c>
      <c r="C9" s="330" t="s">
        <v>906</v>
      </c>
      <c r="D9" s="961"/>
      <c r="E9" s="962"/>
      <c r="F9" s="963"/>
      <c r="G9" s="964"/>
      <c r="H9" s="965"/>
      <c r="I9" s="966"/>
      <c r="J9" s="967"/>
      <c r="K9" s="968"/>
      <c r="L9" s="969"/>
    </row>
    <row r="10" spans="1:250" ht="19.5" customHeight="1">
      <c r="A10" s="959">
        <v>2</v>
      </c>
      <c r="B10" s="970"/>
      <c r="C10" s="559">
        <v>1</v>
      </c>
      <c r="D10" s="999" t="s">
        <v>907</v>
      </c>
      <c r="E10" s="971">
        <f>F10+G10+L11+K12</f>
        <v>1253</v>
      </c>
      <c r="F10" s="972"/>
      <c r="G10" s="973"/>
      <c r="H10" s="974" t="s">
        <v>231</v>
      </c>
      <c r="I10" s="558"/>
      <c r="J10" s="975"/>
      <c r="K10" s="976"/>
      <c r="L10" s="977"/>
    </row>
    <row r="11" spans="1:250" ht="18" customHeight="1">
      <c r="A11" s="959">
        <v>3</v>
      </c>
      <c r="B11" s="970"/>
      <c r="C11" s="559"/>
      <c r="D11" s="1040" t="s">
        <v>198</v>
      </c>
      <c r="E11" s="979"/>
      <c r="F11" s="980"/>
      <c r="G11" s="981"/>
      <c r="H11" s="982"/>
      <c r="I11" s="983"/>
      <c r="J11" s="984">
        <v>1253</v>
      </c>
      <c r="K11" s="985">
        <f>SUM(I11:J11)</f>
        <v>1253</v>
      </c>
      <c r="L11" s="977"/>
    </row>
    <row r="12" spans="1:250" ht="18" customHeight="1">
      <c r="A12" s="959">
        <v>4</v>
      </c>
      <c r="B12" s="970"/>
      <c r="C12" s="559"/>
      <c r="D12" s="1065" t="s">
        <v>765</v>
      </c>
      <c r="E12" s="979"/>
      <c r="F12" s="980"/>
      <c r="G12" s="981"/>
      <c r="H12" s="982"/>
      <c r="I12" s="987"/>
      <c r="J12" s="988">
        <v>1253</v>
      </c>
      <c r="K12" s="560">
        <f>SUM(I12:J12)</f>
        <v>1253</v>
      </c>
      <c r="L12" s="977"/>
    </row>
    <row r="13" spans="1:250" ht="18" customHeight="1">
      <c r="A13" s="959">
        <v>5</v>
      </c>
      <c r="B13" s="970"/>
      <c r="C13" s="559"/>
      <c r="D13" s="989" t="s">
        <v>1022</v>
      </c>
      <c r="E13" s="990"/>
      <c r="F13" s="991"/>
      <c r="G13" s="992"/>
      <c r="H13" s="993"/>
      <c r="I13" s="994"/>
      <c r="J13" s="561"/>
      <c r="K13" s="562">
        <f>SUM(E13:J13)</f>
        <v>0</v>
      </c>
      <c r="L13" s="977"/>
    </row>
    <row r="14" spans="1:250" ht="19.5" customHeight="1">
      <c r="A14" s="959">
        <v>6</v>
      </c>
      <c r="B14" s="970"/>
      <c r="C14" s="559">
        <v>2</v>
      </c>
      <c r="D14" s="999" t="s">
        <v>908</v>
      </c>
      <c r="E14" s="971">
        <f>F14+G14+L15+K16</f>
        <v>21000</v>
      </c>
      <c r="F14" s="972"/>
      <c r="G14" s="973"/>
      <c r="H14" s="974" t="s">
        <v>80</v>
      </c>
      <c r="I14" s="558"/>
      <c r="J14" s="975"/>
      <c r="K14" s="976"/>
      <c r="L14" s="977"/>
    </row>
    <row r="15" spans="1:250" ht="18" customHeight="1">
      <c r="A15" s="959">
        <v>7</v>
      </c>
      <c r="B15" s="970"/>
      <c r="C15" s="559"/>
      <c r="D15" s="1040" t="s">
        <v>198</v>
      </c>
      <c r="E15" s="979"/>
      <c r="F15" s="980"/>
      <c r="G15" s="981"/>
      <c r="H15" s="982"/>
      <c r="I15" s="983"/>
      <c r="J15" s="984">
        <v>16000</v>
      </c>
      <c r="K15" s="985">
        <f>SUM(I15:J15)</f>
        <v>16000</v>
      </c>
      <c r="L15" s="977"/>
    </row>
    <row r="16" spans="1:250" ht="18" customHeight="1">
      <c r="A16" s="959">
        <v>8</v>
      </c>
      <c r="B16" s="970"/>
      <c r="C16" s="559"/>
      <c r="D16" s="1065" t="s">
        <v>765</v>
      </c>
      <c r="E16" s="979"/>
      <c r="F16" s="980"/>
      <c r="G16" s="981"/>
      <c r="H16" s="982"/>
      <c r="I16" s="987"/>
      <c r="J16" s="988">
        <v>21000</v>
      </c>
      <c r="K16" s="560">
        <f>SUM(I16:J16)</f>
        <v>21000</v>
      </c>
      <c r="L16" s="977"/>
    </row>
    <row r="17" spans="1:12" ht="18" customHeight="1">
      <c r="A17" s="959">
        <v>9</v>
      </c>
      <c r="B17" s="970"/>
      <c r="C17" s="559"/>
      <c r="D17" s="989" t="s">
        <v>1021</v>
      </c>
      <c r="E17" s="990"/>
      <c r="F17" s="991"/>
      <c r="G17" s="992"/>
      <c r="H17" s="993"/>
      <c r="I17" s="994"/>
      <c r="J17" s="561">
        <v>3354</v>
      </c>
      <c r="K17" s="562">
        <f>SUM(E17:J17)</f>
        <v>3354</v>
      </c>
      <c r="L17" s="977"/>
    </row>
    <row r="18" spans="1:12" ht="19.5" customHeight="1">
      <c r="A18" s="959">
        <v>10</v>
      </c>
      <c r="B18" s="970"/>
      <c r="C18" s="559">
        <v>3</v>
      </c>
      <c r="D18" s="999" t="s">
        <v>909</v>
      </c>
      <c r="E18" s="971">
        <f>F18+G18+L19+K20</f>
        <v>20000</v>
      </c>
      <c r="F18" s="972">
        <v>1336</v>
      </c>
      <c r="G18" s="973"/>
      <c r="H18" s="974" t="s">
        <v>80</v>
      </c>
      <c r="I18" s="558"/>
      <c r="J18" s="975"/>
      <c r="K18" s="976"/>
      <c r="L18" s="977"/>
    </row>
    <row r="19" spans="1:12" ht="18" customHeight="1">
      <c r="A19" s="959">
        <v>11</v>
      </c>
      <c r="B19" s="970"/>
      <c r="C19" s="559"/>
      <c r="D19" s="1040" t="s">
        <v>198</v>
      </c>
      <c r="E19" s="979"/>
      <c r="F19" s="980"/>
      <c r="G19" s="981"/>
      <c r="H19" s="982"/>
      <c r="I19" s="983"/>
      <c r="J19" s="984">
        <v>18664</v>
      </c>
      <c r="K19" s="985">
        <f>SUM(I19:J19)</f>
        <v>18664</v>
      </c>
      <c r="L19" s="977"/>
    </row>
    <row r="20" spans="1:12" ht="18" customHeight="1">
      <c r="A20" s="959">
        <v>12</v>
      </c>
      <c r="B20" s="970"/>
      <c r="C20" s="559"/>
      <c r="D20" s="1065" t="s">
        <v>765</v>
      </c>
      <c r="E20" s="979"/>
      <c r="F20" s="980"/>
      <c r="G20" s="981"/>
      <c r="H20" s="982"/>
      <c r="I20" s="983"/>
      <c r="J20" s="988">
        <v>18664</v>
      </c>
      <c r="K20" s="560">
        <f>SUM(I20:J20)</f>
        <v>18664</v>
      </c>
      <c r="L20" s="977"/>
    </row>
    <row r="21" spans="1:12" ht="18" customHeight="1">
      <c r="A21" s="959">
        <v>13</v>
      </c>
      <c r="B21" s="970"/>
      <c r="C21" s="559"/>
      <c r="D21" s="989" t="s">
        <v>1022</v>
      </c>
      <c r="E21" s="990"/>
      <c r="F21" s="991"/>
      <c r="G21" s="992"/>
      <c r="H21" s="993"/>
      <c r="I21" s="994"/>
      <c r="J21" s="561">
        <v>18664</v>
      </c>
      <c r="K21" s="562">
        <f>SUM(E21:J21)</f>
        <v>18664</v>
      </c>
      <c r="L21" s="977"/>
    </row>
    <row r="22" spans="1:12" ht="19.5" customHeight="1">
      <c r="A22" s="959">
        <v>14</v>
      </c>
      <c r="B22" s="970"/>
      <c r="C22" s="559">
        <v>4</v>
      </c>
      <c r="D22" s="999" t="s">
        <v>910</v>
      </c>
      <c r="E22" s="971">
        <f>F22+G22+L23+K24</f>
        <v>25000</v>
      </c>
      <c r="F22" s="972">
        <v>5000</v>
      </c>
      <c r="G22" s="973">
        <v>10000</v>
      </c>
      <c r="H22" s="974" t="s">
        <v>80</v>
      </c>
      <c r="I22" s="558"/>
      <c r="J22" s="975"/>
      <c r="K22" s="976"/>
      <c r="L22" s="977"/>
    </row>
    <row r="23" spans="1:12" ht="18" customHeight="1">
      <c r="A23" s="959">
        <v>15</v>
      </c>
      <c r="B23" s="970"/>
      <c r="C23" s="559"/>
      <c r="D23" s="1040" t="s">
        <v>198</v>
      </c>
      <c r="E23" s="979"/>
      <c r="F23" s="980"/>
      <c r="G23" s="981"/>
      <c r="H23" s="982"/>
      <c r="I23" s="983"/>
      <c r="J23" s="984">
        <v>10000</v>
      </c>
      <c r="K23" s="985">
        <f>SUM(I23:J23)</f>
        <v>10000</v>
      </c>
      <c r="L23" s="977"/>
    </row>
    <row r="24" spans="1:12" ht="18" customHeight="1">
      <c r="A24" s="959">
        <v>16</v>
      </c>
      <c r="B24" s="970"/>
      <c r="C24" s="559"/>
      <c r="D24" s="1065" t="s">
        <v>765</v>
      </c>
      <c r="E24" s="979"/>
      <c r="F24" s="980"/>
      <c r="G24" s="981"/>
      <c r="H24" s="982"/>
      <c r="I24" s="987"/>
      <c r="J24" s="988">
        <v>10000</v>
      </c>
      <c r="K24" s="560">
        <f>SUM(I24:J24)</f>
        <v>10000</v>
      </c>
      <c r="L24" s="977"/>
    </row>
    <row r="25" spans="1:12" ht="18" customHeight="1">
      <c r="A25" s="959">
        <v>17</v>
      </c>
      <c r="B25" s="970"/>
      <c r="C25" s="559"/>
      <c r="D25" s="989" t="s">
        <v>1022</v>
      </c>
      <c r="E25" s="990"/>
      <c r="F25" s="991"/>
      <c r="G25" s="992"/>
      <c r="H25" s="993"/>
      <c r="I25" s="994"/>
      <c r="J25" s="561">
        <v>10000</v>
      </c>
      <c r="K25" s="562">
        <f>SUM(E25:J25)</f>
        <v>10000</v>
      </c>
      <c r="L25" s="977"/>
    </row>
    <row r="26" spans="1:12" ht="19.5" customHeight="1">
      <c r="A26" s="959">
        <v>18</v>
      </c>
      <c r="B26" s="970"/>
      <c r="C26" s="559">
        <v>5</v>
      </c>
      <c r="D26" s="999" t="s">
        <v>911</v>
      </c>
      <c r="E26" s="971">
        <f>F26+G26+L27+K28</f>
        <v>77000</v>
      </c>
      <c r="F26" s="972"/>
      <c r="G26" s="973">
        <v>12665</v>
      </c>
      <c r="H26" s="974" t="s">
        <v>80</v>
      </c>
      <c r="I26" s="558"/>
      <c r="J26" s="975"/>
      <c r="K26" s="976"/>
      <c r="L26" s="977"/>
    </row>
    <row r="27" spans="1:12" ht="18" customHeight="1">
      <c r="A27" s="959">
        <v>19</v>
      </c>
      <c r="B27" s="970"/>
      <c r="C27" s="559"/>
      <c r="D27" s="1040" t="s">
        <v>198</v>
      </c>
      <c r="E27" s="979"/>
      <c r="F27" s="980"/>
      <c r="G27" s="981"/>
      <c r="H27" s="982"/>
      <c r="I27" s="983"/>
      <c r="J27" s="984">
        <f>64335</f>
        <v>64335</v>
      </c>
      <c r="K27" s="985">
        <f>SUM(I27:J27)</f>
        <v>64335</v>
      </c>
      <c r="L27" s="977"/>
    </row>
    <row r="28" spans="1:12" ht="18" customHeight="1">
      <c r="A28" s="959">
        <v>20</v>
      </c>
      <c r="B28" s="970"/>
      <c r="C28" s="559"/>
      <c r="D28" s="1065" t="s">
        <v>765</v>
      </c>
      <c r="E28" s="979"/>
      <c r="F28" s="980"/>
      <c r="G28" s="981"/>
      <c r="H28" s="982"/>
      <c r="I28" s="983"/>
      <c r="J28" s="988">
        <v>64335</v>
      </c>
      <c r="K28" s="560">
        <f>SUM(I28:J28)</f>
        <v>64335</v>
      </c>
      <c r="L28" s="977"/>
    </row>
    <row r="29" spans="1:12" ht="18" customHeight="1">
      <c r="A29" s="959">
        <v>21</v>
      </c>
      <c r="B29" s="970"/>
      <c r="C29" s="559"/>
      <c r="D29" s="989" t="s">
        <v>1022</v>
      </c>
      <c r="E29" s="990"/>
      <c r="F29" s="991"/>
      <c r="G29" s="992"/>
      <c r="H29" s="993"/>
      <c r="I29" s="994"/>
      <c r="J29" s="561">
        <v>27420</v>
      </c>
      <c r="K29" s="562">
        <f>SUM(E29:J29)</f>
        <v>27420</v>
      </c>
      <c r="L29" s="977"/>
    </row>
    <row r="30" spans="1:12" ht="19.5" customHeight="1">
      <c r="A30" s="959">
        <v>22</v>
      </c>
      <c r="B30" s="970"/>
      <c r="C30" s="559">
        <v>6</v>
      </c>
      <c r="D30" s="999" t="s">
        <v>912</v>
      </c>
      <c r="E30" s="971">
        <f>F30+G30+L31+K32</f>
        <v>0</v>
      </c>
      <c r="F30" s="972"/>
      <c r="G30" s="973"/>
      <c r="H30" s="974" t="s">
        <v>231</v>
      </c>
      <c r="I30" s="558"/>
      <c r="J30" s="975"/>
      <c r="K30" s="976"/>
      <c r="L30" s="977"/>
    </row>
    <row r="31" spans="1:12" ht="18" customHeight="1">
      <c r="A31" s="959">
        <v>23</v>
      </c>
      <c r="B31" s="970"/>
      <c r="C31" s="559"/>
      <c r="D31" s="1040" t="s">
        <v>198</v>
      </c>
      <c r="E31" s="979"/>
      <c r="F31" s="980"/>
      <c r="G31" s="981"/>
      <c r="H31" s="982"/>
      <c r="I31" s="983"/>
      <c r="J31" s="984">
        <v>3000</v>
      </c>
      <c r="K31" s="985">
        <f>SUM(I31:J31)</f>
        <v>3000</v>
      </c>
      <c r="L31" s="977"/>
    </row>
    <row r="32" spans="1:12" ht="18" customHeight="1">
      <c r="A32" s="959">
        <v>24</v>
      </c>
      <c r="B32" s="970"/>
      <c r="C32" s="559"/>
      <c r="D32" s="1065" t="s">
        <v>765</v>
      </c>
      <c r="E32" s="979"/>
      <c r="F32" s="980"/>
      <c r="G32" s="981"/>
      <c r="H32" s="982"/>
      <c r="I32" s="987"/>
      <c r="J32" s="988">
        <v>0</v>
      </c>
      <c r="K32" s="560">
        <f>SUM(I32:J32)</f>
        <v>0</v>
      </c>
      <c r="L32" s="977"/>
    </row>
    <row r="33" spans="1:12" ht="18" customHeight="1">
      <c r="A33" s="959">
        <v>25</v>
      </c>
      <c r="B33" s="970"/>
      <c r="C33" s="559"/>
      <c r="D33" s="989" t="s">
        <v>1021</v>
      </c>
      <c r="E33" s="990"/>
      <c r="F33" s="991"/>
      <c r="G33" s="992"/>
      <c r="H33" s="993"/>
      <c r="I33" s="994"/>
      <c r="J33" s="561"/>
      <c r="K33" s="562">
        <f>SUM(E33:J33)</f>
        <v>0</v>
      </c>
      <c r="L33" s="977"/>
    </row>
    <row r="34" spans="1:12" ht="19.5" customHeight="1">
      <c r="A34" s="959">
        <v>26</v>
      </c>
      <c r="B34" s="970"/>
      <c r="C34" s="559">
        <v>7</v>
      </c>
      <c r="D34" s="999" t="s">
        <v>913</v>
      </c>
      <c r="E34" s="971">
        <f>F34+G34+L35+K36</f>
        <v>7000</v>
      </c>
      <c r="F34" s="972">
        <v>2000</v>
      </c>
      <c r="G34" s="973">
        <v>2000</v>
      </c>
      <c r="H34" s="974" t="s">
        <v>80</v>
      </c>
      <c r="I34" s="558"/>
      <c r="J34" s="975"/>
      <c r="K34" s="976"/>
      <c r="L34" s="977"/>
    </row>
    <row r="35" spans="1:12" ht="18" customHeight="1">
      <c r="A35" s="959">
        <v>27</v>
      </c>
      <c r="B35" s="970"/>
      <c r="C35" s="559"/>
      <c r="D35" s="1040" t="s">
        <v>198</v>
      </c>
      <c r="E35" s="979"/>
      <c r="F35" s="980"/>
      <c r="G35" s="981"/>
      <c r="H35" s="982"/>
      <c r="I35" s="983"/>
      <c r="J35" s="984">
        <v>3000</v>
      </c>
      <c r="K35" s="985">
        <f>SUM(I35:J35)</f>
        <v>3000</v>
      </c>
      <c r="L35" s="977"/>
    </row>
    <row r="36" spans="1:12" ht="18" customHeight="1">
      <c r="A36" s="959">
        <v>28</v>
      </c>
      <c r="B36" s="970"/>
      <c r="C36" s="559"/>
      <c r="D36" s="1065" t="s">
        <v>765</v>
      </c>
      <c r="E36" s="979"/>
      <c r="F36" s="980"/>
      <c r="G36" s="981"/>
      <c r="H36" s="982"/>
      <c r="I36" s="987"/>
      <c r="J36" s="988">
        <v>3000</v>
      </c>
      <c r="K36" s="560">
        <f>SUM(I36:J36)</f>
        <v>3000</v>
      </c>
      <c r="L36" s="977"/>
    </row>
    <row r="37" spans="1:12" ht="18" customHeight="1">
      <c r="A37" s="959">
        <v>29</v>
      </c>
      <c r="B37" s="970"/>
      <c r="C37" s="559"/>
      <c r="D37" s="989" t="s">
        <v>1022</v>
      </c>
      <c r="E37" s="990"/>
      <c r="F37" s="991"/>
      <c r="G37" s="992"/>
      <c r="H37" s="993"/>
      <c r="I37" s="994"/>
      <c r="J37" s="561">
        <v>3000</v>
      </c>
      <c r="K37" s="562">
        <f>SUM(E37:J37)</f>
        <v>3000</v>
      </c>
      <c r="L37" s="977"/>
    </row>
    <row r="38" spans="1:12" ht="19.5" customHeight="1">
      <c r="A38" s="959">
        <v>30</v>
      </c>
      <c r="B38" s="970"/>
      <c r="C38" s="559">
        <v>52</v>
      </c>
      <c r="D38" s="999" t="s">
        <v>914</v>
      </c>
      <c r="E38" s="971">
        <f>F38+G38+L39+K40</f>
        <v>35614</v>
      </c>
      <c r="F38" s="972"/>
      <c r="G38" s="973"/>
      <c r="H38" s="974" t="s">
        <v>231</v>
      </c>
      <c r="I38" s="558"/>
      <c r="J38" s="975"/>
      <c r="K38" s="976"/>
      <c r="L38" s="977"/>
    </row>
    <row r="39" spans="1:12" ht="18" customHeight="1">
      <c r="A39" s="959">
        <v>31</v>
      </c>
      <c r="B39" s="970"/>
      <c r="C39" s="559"/>
      <c r="D39" s="1040" t="s">
        <v>198</v>
      </c>
      <c r="E39" s="979"/>
      <c r="F39" s="980"/>
      <c r="G39" s="981"/>
      <c r="H39" s="982"/>
      <c r="I39" s="983"/>
      <c r="J39" s="984">
        <v>30000</v>
      </c>
      <c r="K39" s="985">
        <f>SUM(I39:J39)</f>
        <v>30000</v>
      </c>
      <c r="L39" s="977"/>
    </row>
    <row r="40" spans="1:12" ht="18" customHeight="1">
      <c r="A40" s="959">
        <v>32</v>
      </c>
      <c r="B40" s="970"/>
      <c r="C40" s="559"/>
      <c r="D40" s="1065" t="s">
        <v>765</v>
      </c>
      <c r="E40" s="979"/>
      <c r="F40" s="980"/>
      <c r="G40" s="981"/>
      <c r="H40" s="982"/>
      <c r="I40" s="987"/>
      <c r="J40" s="988">
        <v>35614</v>
      </c>
      <c r="K40" s="560">
        <f>SUM(I40:J40)</f>
        <v>35614</v>
      </c>
      <c r="L40" s="977"/>
    </row>
    <row r="41" spans="1:12" ht="18" customHeight="1">
      <c r="A41" s="959">
        <v>33</v>
      </c>
      <c r="B41" s="970"/>
      <c r="C41" s="559"/>
      <c r="D41" s="989" t="s">
        <v>1021</v>
      </c>
      <c r="E41" s="990"/>
      <c r="F41" s="991"/>
      <c r="G41" s="992"/>
      <c r="H41" s="993"/>
      <c r="I41" s="994"/>
      <c r="J41" s="561">
        <v>6149</v>
      </c>
      <c r="K41" s="562">
        <f>SUM(E41:J41)</f>
        <v>6149</v>
      </c>
      <c r="L41" s="977"/>
    </row>
    <row r="42" spans="1:12" ht="19.5" customHeight="1">
      <c r="A42" s="959">
        <v>34</v>
      </c>
      <c r="B42" s="970"/>
      <c r="C42" s="559">
        <v>53</v>
      </c>
      <c r="D42" s="999" t="s">
        <v>915</v>
      </c>
      <c r="E42" s="971">
        <f>F42+G42+L43+K44</f>
        <v>3000</v>
      </c>
      <c r="F42" s="972"/>
      <c r="G42" s="973"/>
      <c r="H42" s="974" t="s">
        <v>231</v>
      </c>
      <c r="I42" s="558"/>
      <c r="J42" s="975"/>
      <c r="K42" s="976"/>
      <c r="L42" s="977"/>
    </row>
    <row r="43" spans="1:12" ht="18" customHeight="1">
      <c r="A43" s="959">
        <v>35</v>
      </c>
      <c r="B43" s="970"/>
      <c r="C43" s="559"/>
      <c r="D43" s="1040" t="s">
        <v>198</v>
      </c>
      <c r="E43" s="979"/>
      <c r="F43" s="980"/>
      <c r="G43" s="981"/>
      <c r="H43" s="982"/>
      <c r="I43" s="983"/>
      <c r="J43" s="984">
        <v>3000</v>
      </c>
      <c r="K43" s="985">
        <f>SUM(I43:J43)</f>
        <v>3000</v>
      </c>
      <c r="L43" s="977"/>
    </row>
    <row r="44" spans="1:12" ht="18" customHeight="1">
      <c r="A44" s="959">
        <v>36</v>
      </c>
      <c r="B44" s="970"/>
      <c r="C44" s="559"/>
      <c r="D44" s="1065" t="s">
        <v>765</v>
      </c>
      <c r="E44" s="979"/>
      <c r="F44" s="980"/>
      <c r="G44" s="981"/>
      <c r="H44" s="982"/>
      <c r="I44" s="987"/>
      <c r="J44" s="988">
        <v>3000</v>
      </c>
      <c r="K44" s="560">
        <f>SUM(I44:J44)</f>
        <v>3000</v>
      </c>
      <c r="L44" s="977"/>
    </row>
    <row r="45" spans="1:12" ht="18" customHeight="1">
      <c r="A45" s="959">
        <v>37</v>
      </c>
      <c r="B45" s="970"/>
      <c r="C45" s="559"/>
      <c r="D45" s="989" t="s">
        <v>1022</v>
      </c>
      <c r="E45" s="990"/>
      <c r="F45" s="991"/>
      <c r="G45" s="992"/>
      <c r="H45" s="993"/>
      <c r="I45" s="994"/>
      <c r="J45" s="561"/>
      <c r="K45" s="562">
        <f>SUM(E45:J45)</f>
        <v>0</v>
      </c>
      <c r="L45" s="977"/>
    </row>
    <row r="46" spans="1:12" ht="19.5" customHeight="1">
      <c r="A46" s="959">
        <v>38</v>
      </c>
      <c r="B46" s="970"/>
      <c r="C46" s="559">
        <v>54</v>
      </c>
      <c r="D46" s="999" t="s">
        <v>916</v>
      </c>
      <c r="E46" s="971">
        <f>F46+G46+L47+K48</f>
        <v>6000</v>
      </c>
      <c r="F46" s="972"/>
      <c r="G46" s="973"/>
      <c r="H46" s="974" t="s">
        <v>231</v>
      </c>
      <c r="I46" s="558"/>
      <c r="J46" s="975"/>
      <c r="K46" s="976"/>
      <c r="L46" s="977"/>
    </row>
    <row r="47" spans="1:12" ht="18" customHeight="1">
      <c r="A47" s="959">
        <v>39</v>
      </c>
      <c r="B47" s="970"/>
      <c r="C47" s="559"/>
      <c r="D47" s="1040" t="s">
        <v>198</v>
      </c>
      <c r="E47" s="979"/>
      <c r="F47" s="980"/>
      <c r="G47" s="981"/>
      <c r="H47" s="982"/>
      <c r="I47" s="983"/>
      <c r="J47" s="984">
        <v>7000</v>
      </c>
      <c r="K47" s="985">
        <f>SUM(I47:J47)</f>
        <v>7000</v>
      </c>
      <c r="L47" s="977"/>
    </row>
    <row r="48" spans="1:12" ht="18" customHeight="1">
      <c r="A48" s="959">
        <v>40</v>
      </c>
      <c r="B48" s="970"/>
      <c r="C48" s="559"/>
      <c r="D48" s="1065" t="s">
        <v>765</v>
      </c>
      <c r="E48" s="979"/>
      <c r="F48" s="980"/>
      <c r="G48" s="981"/>
      <c r="H48" s="982"/>
      <c r="I48" s="987"/>
      <c r="J48" s="988">
        <v>6000</v>
      </c>
      <c r="K48" s="560">
        <f>SUM(I48:J48)</f>
        <v>6000</v>
      </c>
      <c r="L48" s="977"/>
    </row>
    <row r="49" spans="1:12" ht="18" customHeight="1">
      <c r="A49" s="959">
        <v>41</v>
      </c>
      <c r="B49" s="970"/>
      <c r="C49" s="559"/>
      <c r="D49" s="989" t="s">
        <v>1021</v>
      </c>
      <c r="E49" s="990"/>
      <c r="F49" s="991"/>
      <c r="G49" s="992"/>
      <c r="H49" s="993"/>
      <c r="I49" s="994"/>
      <c r="J49" s="561">
        <v>5436</v>
      </c>
      <c r="K49" s="562">
        <f>SUM(E49:J49)</f>
        <v>5436</v>
      </c>
      <c r="L49" s="977"/>
    </row>
    <row r="50" spans="1:12" ht="19.5" customHeight="1">
      <c r="A50" s="959">
        <v>42</v>
      </c>
      <c r="B50" s="970"/>
      <c r="C50" s="559">
        <v>55</v>
      </c>
      <c r="D50" s="999" t="s">
        <v>917</v>
      </c>
      <c r="E50" s="971">
        <f>F50+G50+L51+K52</f>
        <v>0</v>
      </c>
      <c r="F50" s="972"/>
      <c r="G50" s="973"/>
      <c r="H50" s="974" t="s">
        <v>231</v>
      </c>
      <c r="I50" s="558"/>
      <c r="J50" s="975"/>
      <c r="K50" s="976"/>
      <c r="L50" s="977"/>
    </row>
    <row r="51" spans="1:12" ht="18" customHeight="1">
      <c r="A51" s="959">
        <v>43</v>
      </c>
      <c r="B51" s="970"/>
      <c r="C51" s="559"/>
      <c r="D51" s="1040" t="s">
        <v>198</v>
      </c>
      <c r="E51" s="979"/>
      <c r="F51" s="980"/>
      <c r="G51" s="981"/>
      <c r="H51" s="982"/>
      <c r="I51" s="983"/>
      <c r="J51" s="984">
        <v>1500</v>
      </c>
      <c r="K51" s="985">
        <f>SUM(I51:J51)</f>
        <v>1500</v>
      </c>
      <c r="L51" s="977"/>
    </row>
    <row r="52" spans="1:12" ht="18" customHeight="1">
      <c r="A52" s="959">
        <v>44</v>
      </c>
      <c r="B52" s="970"/>
      <c r="C52" s="559"/>
      <c r="D52" s="1065" t="s">
        <v>765</v>
      </c>
      <c r="E52" s="979"/>
      <c r="F52" s="980"/>
      <c r="G52" s="981"/>
      <c r="H52" s="982"/>
      <c r="I52" s="987"/>
      <c r="J52" s="988">
        <v>0</v>
      </c>
      <c r="K52" s="560">
        <f>SUM(I52:J52)</f>
        <v>0</v>
      </c>
      <c r="L52" s="977"/>
    </row>
    <row r="53" spans="1:12" ht="18" customHeight="1">
      <c r="A53" s="959">
        <v>45</v>
      </c>
      <c r="B53" s="970"/>
      <c r="C53" s="559"/>
      <c r="D53" s="989" t="s">
        <v>1021</v>
      </c>
      <c r="E53" s="990"/>
      <c r="F53" s="991"/>
      <c r="G53" s="992"/>
      <c r="H53" s="993"/>
      <c r="I53" s="994"/>
      <c r="J53" s="561"/>
      <c r="K53" s="562">
        <f>SUM(E53:J53)</f>
        <v>0</v>
      </c>
      <c r="L53" s="977"/>
    </row>
    <row r="54" spans="1:12" ht="19.5" customHeight="1">
      <c r="A54" s="959">
        <v>46</v>
      </c>
      <c r="B54" s="970"/>
      <c r="C54" s="559">
        <v>14</v>
      </c>
      <c r="D54" s="999" t="s">
        <v>918</v>
      </c>
      <c r="E54" s="971">
        <f>F54+G54+L55+K56</f>
        <v>5000</v>
      </c>
      <c r="F54" s="972"/>
      <c r="G54" s="973"/>
      <c r="H54" s="974" t="s">
        <v>80</v>
      </c>
      <c r="I54" s="558"/>
      <c r="J54" s="975"/>
      <c r="K54" s="976"/>
      <c r="L54" s="977"/>
    </row>
    <row r="55" spans="1:12" ht="18" customHeight="1">
      <c r="A55" s="959">
        <v>47</v>
      </c>
      <c r="B55" s="1056"/>
      <c r="C55" s="566"/>
      <c r="D55" s="1040" t="s">
        <v>198</v>
      </c>
      <c r="E55" s="979"/>
      <c r="F55" s="980"/>
      <c r="G55" s="981"/>
      <c r="H55" s="982"/>
      <c r="I55" s="983"/>
      <c r="J55" s="984">
        <v>5000</v>
      </c>
      <c r="K55" s="985">
        <f>SUM(I55:J55)</f>
        <v>5000</v>
      </c>
      <c r="L55" s="1127"/>
    </row>
    <row r="56" spans="1:12" ht="18" customHeight="1">
      <c r="A56" s="959">
        <v>48</v>
      </c>
      <c r="B56" s="970"/>
      <c r="C56" s="566"/>
      <c r="D56" s="1065" t="s">
        <v>765</v>
      </c>
      <c r="E56" s="979"/>
      <c r="F56" s="980"/>
      <c r="G56" s="981"/>
      <c r="H56" s="982"/>
      <c r="I56" s="987"/>
      <c r="J56" s="988">
        <v>5000</v>
      </c>
      <c r="K56" s="560">
        <f>SUM(I56:J56)</f>
        <v>5000</v>
      </c>
      <c r="L56" s="1036"/>
    </row>
    <row r="57" spans="1:12" ht="18" customHeight="1">
      <c r="A57" s="959">
        <v>49</v>
      </c>
      <c r="B57" s="1037"/>
      <c r="C57" s="559"/>
      <c r="D57" s="989" t="s">
        <v>1022</v>
      </c>
      <c r="E57" s="990"/>
      <c r="F57" s="991"/>
      <c r="G57" s="992"/>
      <c r="H57" s="993"/>
      <c r="I57" s="994"/>
      <c r="J57" s="561"/>
      <c r="K57" s="562">
        <f>SUM(E57:J57)</f>
        <v>0</v>
      </c>
      <c r="L57" s="1002"/>
    </row>
    <row r="58" spans="1:12" ht="19.5" customHeight="1">
      <c r="A58" s="959">
        <v>50</v>
      </c>
      <c r="B58" s="970"/>
      <c r="C58" s="559">
        <v>56</v>
      </c>
      <c r="D58" s="564" t="s">
        <v>919</v>
      </c>
      <c r="E58" s="971">
        <f>F58+G58+L59+K60</f>
        <v>40000</v>
      </c>
      <c r="F58" s="972"/>
      <c r="G58" s="973"/>
      <c r="H58" s="974" t="s">
        <v>231</v>
      </c>
      <c r="I58" s="558"/>
      <c r="J58" s="975"/>
      <c r="K58" s="1004"/>
      <c r="L58" s="1002"/>
    </row>
    <row r="59" spans="1:12" ht="18" customHeight="1">
      <c r="A59" s="959">
        <v>51</v>
      </c>
      <c r="B59" s="970"/>
      <c r="C59" s="559"/>
      <c r="D59" s="1040" t="s">
        <v>198</v>
      </c>
      <c r="E59" s="979"/>
      <c r="F59" s="980"/>
      <c r="G59" s="981"/>
      <c r="H59" s="982"/>
      <c r="I59" s="983"/>
      <c r="J59" s="984">
        <v>40000</v>
      </c>
      <c r="K59" s="985">
        <f>SUM(I59:J59)</f>
        <v>40000</v>
      </c>
      <c r="L59" s="1002"/>
    </row>
    <row r="60" spans="1:12" ht="18" customHeight="1">
      <c r="A60" s="959">
        <v>52</v>
      </c>
      <c r="B60" s="970"/>
      <c r="C60" s="559"/>
      <c r="D60" s="1065" t="s">
        <v>765</v>
      </c>
      <c r="E60" s="979"/>
      <c r="F60" s="980"/>
      <c r="G60" s="981"/>
      <c r="H60" s="982"/>
      <c r="I60" s="987"/>
      <c r="J60" s="988">
        <v>40000</v>
      </c>
      <c r="K60" s="560">
        <f>SUM(I60:J60)</f>
        <v>40000</v>
      </c>
      <c r="L60" s="1002"/>
    </row>
    <row r="61" spans="1:12" ht="18" customHeight="1">
      <c r="A61" s="959">
        <v>53</v>
      </c>
      <c r="B61" s="970"/>
      <c r="C61" s="559"/>
      <c r="D61" s="989" t="s">
        <v>1022</v>
      </c>
      <c r="E61" s="990"/>
      <c r="F61" s="991"/>
      <c r="G61" s="992"/>
      <c r="H61" s="993"/>
      <c r="I61" s="994"/>
      <c r="J61" s="561"/>
      <c r="K61" s="562">
        <f>SUM(E61:J61)</f>
        <v>0</v>
      </c>
      <c r="L61" s="1002"/>
    </row>
    <row r="62" spans="1:12" ht="19.5" customHeight="1">
      <c r="A62" s="959">
        <v>54</v>
      </c>
      <c r="B62" s="970"/>
      <c r="C62" s="559">
        <v>16</v>
      </c>
      <c r="D62" s="999" t="s">
        <v>920</v>
      </c>
      <c r="E62" s="971">
        <f>F62+G62+L63+K64</f>
        <v>3000</v>
      </c>
      <c r="F62" s="972"/>
      <c r="G62" s="973"/>
      <c r="H62" s="974" t="s">
        <v>231</v>
      </c>
      <c r="I62" s="975"/>
      <c r="J62" s="975"/>
      <c r="K62" s="976"/>
      <c r="L62" s="1002"/>
    </row>
    <row r="63" spans="1:12" ht="18" customHeight="1">
      <c r="A63" s="959">
        <v>55</v>
      </c>
      <c r="B63" s="970"/>
      <c r="C63" s="559"/>
      <c r="D63" s="1040" t="s">
        <v>198</v>
      </c>
      <c r="E63" s="979"/>
      <c r="F63" s="980"/>
      <c r="G63" s="981"/>
      <c r="H63" s="982"/>
      <c r="I63" s="983"/>
      <c r="J63" s="984">
        <v>3000</v>
      </c>
      <c r="K63" s="985">
        <f>SUM(I63:J63)</f>
        <v>3000</v>
      </c>
      <c r="L63" s="1002"/>
    </row>
    <row r="64" spans="1:12" ht="18" customHeight="1">
      <c r="A64" s="959">
        <v>56</v>
      </c>
      <c r="B64" s="970"/>
      <c r="C64" s="559"/>
      <c r="D64" s="1065" t="s">
        <v>765</v>
      </c>
      <c r="E64" s="979"/>
      <c r="F64" s="980"/>
      <c r="G64" s="981"/>
      <c r="H64" s="982"/>
      <c r="I64" s="987"/>
      <c r="J64" s="988">
        <v>3000</v>
      </c>
      <c r="K64" s="560">
        <f>SUM(I64:J64)</f>
        <v>3000</v>
      </c>
      <c r="L64" s="1002"/>
    </row>
    <row r="65" spans="1:12" ht="18" customHeight="1">
      <c r="A65" s="959">
        <v>57</v>
      </c>
      <c r="B65" s="970"/>
      <c r="C65" s="559"/>
      <c r="D65" s="989" t="s">
        <v>1022</v>
      </c>
      <c r="E65" s="990"/>
      <c r="F65" s="991"/>
      <c r="G65" s="992"/>
      <c r="H65" s="993"/>
      <c r="I65" s="994"/>
      <c r="J65" s="561">
        <v>2285</v>
      </c>
      <c r="K65" s="562">
        <f>SUM(E65:J65)</f>
        <v>2285</v>
      </c>
      <c r="L65" s="1002"/>
    </row>
    <row r="66" spans="1:12" ht="19.5" customHeight="1">
      <c r="A66" s="959">
        <v>58</v>
      </c>
      <c r="B66" s="970"/>
      <c r="C66" s="559">
        <v>18</v>
      </c>
      <c r="D66" s="999" t="s">
        <v>921</v>
      </c>
      <c r="E66" s="971">
        <f>F66+G66+L67+K68</f>
        <v>380000</v>
      </c>
      <c r="F66" s="972"/>
      <c r="G66" s="973"/>
      <c r="H66" s="974" t="s">
        <v>231</v>
      </c>
      <c r="I66" s="558"/>
      <c r="J66" s="975"/>
      <c r="K66" s="976"/>
      <c r="L66" s="977"/>
    </row>
    <row r="67" spans="1:12" ht="18" customHeight="1">
      <c r="A67" s="959">
        <v>59</v>
      </c>
      <c r="B67" s="970"/>
      <c r="C67" s="559"/>
      <c r="D67" s="1040" t="s">
        <v>198</v>
      </c>
      <c r="E67" s="979"/>
      <c r="F67" s="980"/>
      <c r="G67" s="981"/>
      <c r="H67" s="982"/>
      <c r="I67" s="983"/>
      <c r="J67" s="984">
        <v>380000</v>
      </c>
      <c r="K67" s="985">
        <f>SUM(I67:J67)</f>
        <v>380000</v>
      </c>
      <c r="L67" s="977"/>
    </row>
    <row r="68" spans="1:12" ht="18" customHeight="1">
      <c r="A68" s="959">
        <v>60</v>
      </c>
      <c r="B68" s="970"/>
      <c r="C68" s="559"/>
      <c r="D68" s="1065" t="s">
        <v>765</v>
      </c>
      <c r="E68" s="979"/>
      <c r="F68" s="980"/>
      <c r="G68" s="981"/>
      <c r="H68" s="982"/>
      <c r="I68" s="987"/>
      <c r="J68" s="988">
        <v>380000</v>
      </c>
      <c r="K68" s="560">
        <f>SUM(I68:J68)</f>
        <v>380000</v>
      </c>
      <c r="L68" s="1002"/>
    </row>
    <row r="69" spans="1:12" ht="18" customHeight="1">
      <c r="A69" s="959">
        <v>61</v>
      </c>
      <c r="B69" s="970"/>
      <c r="C69" s="559"/>
      <c r="D69" s="989" t="s">
        <v>1022</v>
      </c>
      <c r="E69" s="990"/>
      <c r="F69" s="991"/>
      <c r="G69" s="992"/>
      <c r="H69" s="993"/>
      <c r="I69" s="994"/>
      <c r="J69" s="561">
        <v>209999</v>
      </c>
      <c r="K69" s="562">
        <f>SUM(E69:J69)</f>
        <v>209999</v>
      </c>
      <c r="L69" s="1002"/>
    </row>
    <row r="70" spans="1:12" ht="34.5" customHeight="1">
      <c r="A70" s="959">
        <v>62</v>
      </c>
      <c r="B70" s="970"/>
      <c r="C70" s="556">
        <v>50</v>
      </c>
      <c r="D70" s="999" t="s">
        <v>922</v>
      </c>
      <c r="E70" s="971">
        <f>F70+G70+L71+K72</f>
        <v>18000</v>
      </c>
      <c r="F70" s="972"/>
      <c r="G70" s="973"/>
      <c r="H70" s="974" t="s">
        <v>80</v>
      </c>
      <c r="I70" s="975"/>
      <c r="J70" s="975"/>
      <c r="K70" s="976"/>
      <c r="L70" s="1002"/>
    </row>
    <row r="71" spans="1:12" ht="18" customHeight="1">
      <c r="A71" s="959">
        <v>63</v>
      </c>
      <c r="B71" s="970"/>
      <c r="C71" s="559"/>
      <c r="D71" s="1040" t="s">
        <v>198</v>
      </c>
      <c r="E71" s="979"/>
      <c r="F71" s="980"/>
      <c r="G71" s="981"/>
      <c r="H71" s="982"/>
      <c r="I71" s="983"/>
      <c r="J71" s="984">
        <v>18000</v>
      </c>
      <c r="K71" s="985">
        <f>SUM(I71:J71)</f>
        <v>18000</v>
      </c>
      <c r="L71" s="1002"/>
    </row>
    <row r="72" spans="1:12" ht="18" customHeight="1">
      <c r="A72" s="959">
        <v>64</v>
      </c>
      <c r="B72" s="970"/>
      <c r="C72" s="559"/>
      <c r="D72" s="1065" t="s">
        <v>765</v>
      </c>
      <c r="E72" s="979"/>
      <c r="F72" s="980"/>
      <c r="G72" s="981"/>
      <c r="H72" s="982"/>
      <c r="I72" s="987"/>
      <c r="J72" s="988">
        <v>18000</v>
      </c>
      <c r="K72" s="560">
        <f>SUM(I72:J72)</f>
        <v>18000</v>
      </c>
      <c r="L72" s="1002"/>
    </row>
    <row r="73" spans="1:12" ht="18" customHeight="1">
      <c r="A73" s="959">
        <v>65</v>
      </c>
      <c r="B73" s="970"/>
      <c r="C73" s="559"/>
      <c r="D73" s="989" t="s">
        <v>1022</v>
      </c>
      <c r="E73" s="990"/>
      <c r="F73" s="991"/>
      <c r="G73" s="992"/>
      <c r="H73" s="993"/>
      <c r="I73" s="994"/>
      <c r="J73" s="561">
        <v>17971</v>
      </c>
      <c r="K73" s="562">
        <f>SUM(E73:J73)</f>
        <v>17971</v>
      </c>
      <c r="L73" s="1002"/>
    </row>
    <row r="74" spans="1:12" ht="22.5" customHeight="1">
      <c r="A74" s="959">
        <v>66</v>
      </c>
      <c r="B74" s="970"/>
      <c r="C74" s="559"/>
      <c r="D74" s="1128" t="s">
        <v>923</v>
      </c>
      <c r="E74" s="971"/>
      <c r="F74" s="972"/>
      <c r="G74" s="973"/>
      <c r="H74" s="974" t="s">
        <v>80</v>
      </c>
      <c r="I74" s="558"/>
      <c r="J74" s="975"/>
      <c r="K74" s="976"/>
      <c r="L74" s="977"/>
    </row>
    <row r="75" spans="1:12" ht="19.5" customHeight="1">
      <c r="A75" s="959">
        <v>67</v>
      </c>
      <c r="B75" s="970"/>
      <c r="C75" s="559"/>
      <c r="D75" s="1129" t="s">
        <v>924</v>
      </c>
      <c r="E75" s="971"/>
      <c r="F75" s="972"/>
      <c r="G75" s="973"/>
      <c r="H75" s="974"/>
      <c r="I75" s="558"/>
      <c r="J75" s="975"/>
      <c r="K75" s="976"/>
      <c r="L75" s="977"/>
    </row>
    <row r="76" spans="1:12" ht="19.5" customHeight="1">
      <c r="A76" s="959">
        <v>68</v>
      </c>
      <c r="B76" s="970"/>
      <c r="C76" s="559">
        <v>31</v>
      </c>
      <c r="D76" s="1130" t="s">
        <v>925</v>
      </c>
      <c r="E76" s="971">
        <f>F76+G76+L77+K78</f>
        <v>40361</v>
      </c>
      <c r="F76" s="972"/>
      <c r="G76" s="973">
        <v>20561</v>
      </c>
      <c r="H76" s="974"/>
      <c r="I76" s="558"/>
      <c r="J76" s="975"/>
      <c r="K76" s="976"/>
      <c r="L76" s="977"/>
    </row>
    <row r="77" spans="1:12" ht="18" customHeight="1">
      <c r="A77" s="959">
        <v>69</v>
      </c>
      <c r="B77" s="970"/>
      <c r="C77" s="559"/>
      <c r="D77" s="1040" t="s">
        <v>198</v>
      </c>
      <c r="E77" s="979"/>
      <c r="F77" s="980"/>
      <c r="G77" s="981"/>
      <c r="H77" s="982"/>
      <c r="I77" s="983"/>
      <c r="J77" s="984">
        <v>19800</v>
      </c>
      <c r="K77" s="985">
        <f>SUM(I77:J77)</f>
        <v>19800</v>
      </c>
      <c r="L77" s="977"/>
    </row>
    <row r="78" spans="1:12" ht="18" customHeight="1">
      <c r="A78" s="959">
        <v>70</v>
      </c>
      <c r="B78" s="970"/>
      <c r="C78" s="559"/>
      <c r="D78" s="1065" t="s">
        <v>765</v>
      </c>
      <c r="E78" s="979"/>
      <c r="F78" s="980"/>
      <c r="G78" s="981"/>
      <c r="H78" s="982"/>
      <c r="I78" s="983"/>
      <c r="J78" s="988">
        <v>19800</v>
      </c>
      <c r="K78" s="560">
        <f>SUM(I78:J78)</f>
        <v>19800</v>
      </c>
      <c r="L78" s="977"/>
    </row>
    <row r="79" spans="1:12" ht="18" customHeight="1">
      <c r="A79" s="959">
        <v>71</v>
      </c>
      <c r="B79" s="970"/>
      <c r="C79" s="559"/>
      <c r="D79" s="989" t="s">
        <v>1022</v>
      </c>
      <c r="E79" s="990"/>
      <c r="F79" s="991"/>
      <c r="G79" s="992"/>
      <c r="H79" s="993"/>
      <c r="I79" s="994"/>
      <c r="J79" s="561">
        <v>19747</v>
      </c>
      <c r="K79" s="562">
        <f>SUM(E79:J79)</f>
        <v>19747</v>
      </c>
      <c r="L79" s="977"/>
    </row>
    <row r="80" spans="1:12" ht="22.5" customHeight="1">
      <c r="A80" s="959">
        <v>72</v>
      </c>
      <c r="B80" s="970"/>
      <c r="C80" s="559"/>
      <c r="D80" s="1048" t="s">
        <v>22</v>
      </c>
      <c r="E80" s="971"/>
      <c r="F80" s="972"/>
      <c r="G80" s="973"/>
      <c r="H80" s="974" t="s">
        <v>80</v>
      </c>
      <c r="I80" s="558"/>
      <c r="J80" s="975"/>
      <c r="K80" s="976"/>
      <c r="L80" s="977"/>
    </row>
    <row r="81" spans="1:12" ht="19.5" customHeight="1">
      <c r="A81" s="959">
        <v>73</v>
      </c>
      <c r="B81" s="970"/>
      <c r="C81" s="559">
        <v>57</v>
      </c>
      <c r="D81" s="1130" t="s">
        <v>926</v>
      </c>
      <c r="E81" s="971">
        <f>F81+G81+L82+K83</f>
        <v>14000</v>
      </c>
      <c r="F81" s="972"/>
      <c r="G81" s="973"/>
      <c r="H81" s="974"/>
      <c r="I81" s="558"/>
      <c r="J81" s="975"/>
      <c r="K81" s="976"/>
      <c r="L81" s="977"/>
    </row>
    <row r="82" spans="1:12" ht="18" customHeight="1">
      <c r="A82" s="959">
        <v>74</v>
      </c>
      <c r="B82" s="970"/>
      <c r="C82" s="559"/>
      <c r="D82" s="1040" t="s">
        <v>198</v>
      </c>
      <c r="E82" s="979"/>
      <c r="F82" s="980"/>
      <c r="G82" s="981"/>
      <c r="H82" s="982"/>
      <c r="I82" s="983"/>
      <c r="J82" s="984">
        <v>14000</v>
      </c>
      <c r="K82" s="985">
        <f>SUM(I82:J82)</f>
        <v>14000</v>
      </c>
      <c r="L82" s="977"/>
    </row>
    <row r="83" spans="1:12" ht="18" customHeight="1">
      <c r="A83" s="959">
        <v>75</v>
      </c>
      <c r="B83" s="970"/>
      <c r="C83" s="559"/>
      <c r="D83" s="1065" t="s">
        <v>765</v>
      </c>
      <c r="E83" s="979"/>
      <c r="F83" s="980"/>
      <c r="G83" s="981"/>
      <c r="H83" s="982"/>
      <c r="I83" s="987"/>
      <c r="J83" s="988">
        <v>14000</v>
      </c>
      <c r="K83" s="560">
        <f>SUM(I83:J83)</f>
        <v>14000</v>
      </c>
      <c r="L83" s="977"/>
    </row>
    <row r="84" spans="1:12" ht="18" customHeight="1">
      <c r="A84" s="959">
        <v>76</v>
      </c>
      <c r="B84" s="970"/>
      <c r="C84" s="559"/>
      <c r="D84" s="989" t="s">
        <v>1022</v>
      </c>
      <c r="E84" s="990"/>
      <c r="F84" s="991"/>
      <c r="G84" s="992"/>
      <c r="H84" s="993"/>
      <c r="I84" s="994"/>
      <c r="J84" s="561">
        <v>13979</v>
      </c>
      <c r="K84" s="562">
        <f>SUM(E84:J84)</f>
        <v>13979</v>
      </c>
      <c r="L84" s="977"/>
    </row>
    <row r="85" spans="1:12" ht="22.5" customHeight="1">
      <c r="A85" s="959">
        <v>77</v>
      </c>
      <c r="B85" s="970"/>
      <c r="C85" s="559"/>
      <c r="D85" s="1048" t="s">
        <v>23</v>
      </c>
      <c r="E85" s="971"/>
      <c r="F85" s="972"/>
      <c r="G85" s="973"/>
      <c r="H85" s="974" t="s">
        <v>80</v>
      </c>
      <c r="I85" s="558"/>
      <c r="J85" s="975"/>
      <c r="K85" s="976"/>
      <c r="L85" s="977"/>
    </row>
    <row r="86" spans="1:12" ht="34.5" customHeight="1">
      <c r="A86" s="959">
        <v>78</v>
      </c>
      <c r="B86" s="970"/>
      <c r="C86" s="556">
        <v>20</v>
      </c>
      <c r="D86" s="1130" t="s">
        <v>927</v>
      </c>
      <c r="E86" s="971">
        <f>F86+G86+L87+K88</f>
        <v>6391</v>
      </c>
      <c r="F86" s="972"/>
      <c r="G86" s="973"/>
      <c r="H86" s="974"/>
      <c r="I86" s="558"/>
      <c r="J86" s="975"/>
      <c r="K86" s="976"/>
      <c r="L86" s="977"/>
    </row>
    <row r="87" spans="1:12" ht="18" customHeight="1">
      <c r="A87" s="959">
        <v>79</v>
      </c>
      <c r="B87" s="970"/>
      <c r="C87" s="559"/>
      <c r="D87" s="1040" t="s">
        <v>198</v>
      </c>
      <c r="E87" s="979"/>
      <c r="F87" s="980"/>
      <c r="G87" s="981"/>
      <c r="H87" s="982"/>
      <c r="I87" s="983"/>
      <c r="J87" s="984">
        <f>2400+4500+1500</f>
        <v>8400</v>
      </c>
      <c r="K87" s="985">
        <f>SUM(I87:J87)</f>
        <v>8400</v>
      </c>
      <c r="L87" s="977"/>
    </row>
    <row r="88" spans="1:12" ht="18" customHeight="1">
      <c r="A88" s="959">
        <v>80</v>
      </c>
      <c r="B88" s="970"/>
      <c r="C88" s="559"/>
      <c r="D88" s="1065" t="s">
        <v>765</v>
      </c>
      <c r="E88" s="979"/>
      <c r="F88" s="980"/>
      <c r="G88" s="981"/>
      <c r="H88" s="982"/>
      <c r="I88" s="987"/>
      <c r="J88" s="988">
        <v>6391</v>
      </c>
      <c r="K88" s="560">
        <f>SUM(I88:J88)</f>
        <v>6391</v>
      </c>
      <c r="L88" s="977"/>
    </row>
    <row r="89" spans="1:12" ht="18" customHeight="1">
      <c r="A89" s="959">
        <v>81</v>
      </c>
      <c r="B89" s="970"/>
      <c r="C89" s="559"/>
      <c r="D89" s="989" t="s">
        <v>1022</v>
      </c>
      <c r="E89" s="990"/>
      <c r="F89" s="991"/>
      <c r="G89" s="992"/>
      <c r="H89" s="993"/>
      <c r="I89" s="994"/>
      <c r="J89" s="561">
        <v>6391</v>
      </c>
      <c r="K89" s="562">
        <f>SUM(E89:J89)</f>
        <v>6391</v>
      </c>
      <c r="L89" s="977"/>
    </row>
    <row r="90" spans="1:12" ht="22.5" customHeight="1">
      <c r="A90" s="959">
        <v>82</v>
      </c>
      <c r="B90" s="970"/>
      <c r="C90" s="559"/>
      <c r="D90" s="1131" t="s">
        <v>928</v>
      </c>
      <c r="E90" s="971"/>
      <c r="F90" s="972"/>
      <c r="G90" s="973"/>
      <c r="H90" s="974" t="s">
        <v>80</v>
      </c>
      <c r="I90" s="558"/>
      <c r="J90" s="975"/>
      <c r="K90" s="976"/>
      <c r="L90" s="977"/>
    </row>
    <row r="91" spans="1:12" ht="22.5" customHeight="1">
      <c r="A91" s="959">
        <v>83</v>
      </c>
      <c r="B91" s="970"/>
      <c r="C91" s="559"/>
      <c r="D91" s="1132" t="s">
        <v>329</v>
      </c>
      <c r="E91" s="971"/>
      <c r="F91" s="972"/>
      <c r="G91" s="973"/>
      <c r="H91" s="974"/>
      <c r="I91" s="558"/>
      <c r="J91" s="975"/>
      <c r="K91" s="976"/>
      <c r="L91" s="977"/>
    </row>
    <row r="92" spans="1:12" ht="19.5" customHeight="1">
      <c r="A92" s="959">
        <v>84</v>
      </c>
      <c r="B92" s="970"/>
      <c r="C92" s="559"/>
      <c r="D92" s="1133" t="s">
        <v>929</v>
      </c>
      <c r="E92" s="971"/>
      <c r="F92" s="972"/>
      <c r="G92" s="973"/>
      <c r="H92" s="974"/>
      <c r="I92" s="558"/>
      <c r="J92" s="975"/>
      <c r="K92" s="976"/>
      <c r="L92" s="977"/>
    </row>
    <row r="93" spans="1:12" ht="19.5" customHeight="1">
      <c r="A93" s="959">
        <v>85</v>
      </c>
      <c r="B93" s="970"/>
      <c r="C93" s="559">
        <v>58</v>
      </c>
      <c r="D93" s="1130" t="s">
        <v>1280</v>
      </c>
      <c r="E93" s="971">
        <f>F93+G93+L94+K95</f>
        <v>1100</v>
      </c>
      <c r="F93" s="972"/>
      <c r="G93" s="973"/>
      <c r="H93" s="974"/>
      <c r="I93" s="558"/>
      <c r="J93" s="975"/>
      <c r="K93" s="976"/>
      <c r="L93" s="977"/>
    </row>
    <row r="94" spans="1:12" ht="18" customHeight="1">
      <c r="A94" s="959">
        <v>86</v>
      </c>
      <c r="B94" s="970"/>
      <c r="C94" s="559"/>
      <c r="D94" s="1040" t="s">
        <v>198</v>
      </c>
      <c r="E94" s="979"/>
      <c r="F94" s="980"/>
      <c r="G94" s="981"/>
      <c r="H94" s="982"/>
      <c r="I94" s="983"/>
      <c r="J94" s="984">
        <v>1100</v>
      </c>
      <c r="K94" s="985">
        <f>SUM(I94:J94)</f>
        <v>1100</v>
      </c>
      <c r="L94" s="977"/>
    </row>
    <row r="95" spans="1:12" ht="18" customHeight="1">
      <c r="A95" s="959">
        <v>87</v>
      </c>
      <c r="B95" s="970"/>
      <c r="C95" s="559"/>
      <c r="D95" s="1065" t="s">
        <v>765</v>
      </c>
      <c r="E95" s="979"/>
      <c r="F95" s="980"/>
      <c r="G95" s="981"/>
      <c r="H95" s="982"/>
      <c r="I95" s="987"/>
      <c r="J95" s="988">
        <v>1100</v>
      </c>
      <c r="K95" s="560">
        <f>SUM(I95:J95)</f>
        <v>1100</v>
      </c>
      <c r="L95" s="977"/>
    </row>
    <row r="96" spans="1:12" ht="18" customHeight="1">
      <c r="A96" s="959">
        <v>88</v>
      </c>
      <c r="B96" s="970"/>
      <c r="C96" s="559"/>
      <c r="D96" s="989" t="s">
        <v>1022</v>
      </c>
      <c r="E96" s="990"/>
      <c r="F96" s="991"/>
      <c r="G96" s="992"/>
      <c r="H96" s="993"/>
      <c r="I96" s="994"/>
      <c r="J96" s="561">
        <v>1100</v>
      </c>
      <c r="K96" s="562">
        <f>SUM(E96:J96)</f>
        <v>1100</v>
      </c>
      <c r="L96" s="977"/>
    </row>
    <row r="97" spans="1:12" ht="19.5" customHeight="1">
      <c r="A97" s="959">
        <v>89</v>
      </c>
      <c r="B97" s="970"/>
      <c r="C97" s="559">
        <v>59</v>
      </c>
      <c r="D97" s="1130" t="s">
        <v>930</v>
      </c>
      <c r="E97" s="971">
        <f>F97+G97+L98+K99</f>
        <v>3000</v>
      </c>
      <c r="F97" s="972"/>
      <c r="G97" s="973"/>
      <c r="H97" s="974"/>
      <c r="I97" s="558"/>
      <c r="J97" s="975"/>
      <c r="K97" s="976"/>
      <c r="L97" s="977"/>
    </row>
    <row r="98" spans="1:12" ht="18" customHeight="1">
      <c r="A98" s="959">
        <v>90</v>
      </c>
      <c r="B98" s="970"/>
      <c r="C98" s="559"/>
      <c r="D98" s="1040" t="s">
        <v>198</v>
      </c>
      <c r="E98" s="979"/>
      <c r="F98" s="980"/>
      <c r="G98" s="981"/>
      <c r="H98" s="982"/>
      <c r="I98" s="983"/>
      <c r="J98" s="984">
        <v>3000</v>
      </c>
      <c r="K98" s="985">
        <f>SUM(I98:J98)</f>
        <v>3000</v>
      </c>
      <c r="L98" s="977"/>
    </row>
    <row r="99" spans="1:12" ht="18" customHeight="1">
      <c r="A99" s="959">
        <v>91</v>
      </c>
      <c r="B99" s="970"/>
      <c r="C99" s="559"/>
      <c r="D99" s="1065" t="s">
        <v>765</v>
      </c>
      <c r="E99" s="979"/>
      <c r="F99" s="980"/>
      <c r="G99" s="981"/>
      <c r="H99" s="982"/>
      <c r="I99" s="987"/>
      <c r="J99" s="988">
        <v>3000</v>
      </c>
      <c r="K99" s="560">
        <f>SUM(I99:J99)</f>
        <v>3000</v>
      </c>
      <c r="L99" s="977"/>
    </row>
    <row r="100" spans="1:12" ht="18" customHeight="1">
      <c r="A100" s="959">
        <v>92</v>
      </c>
      <c r="B100" s="970"/>
      <c r="C100" s="559"/>
      <c r="D100" s="989" t="s">
        <v>1022</v>
      </c>
      <c r="E100" s="990"/>
      <c r="F100" s="991"/>
      <c r="G100" s="992"/>
      <c r="H100" s="993"/>
      <c r="I100" s="994"/>
      <c r="J100" s="561">
        <v>2990</v>
      </c>
      <c r="K100" s="562">
        <f>SUM(E100:J100)</f>
        <v>2990</v>
      </c>
      <c r="L100" s="977"/>
    </row>
    <row r="101" spans="1:12" ht="33.75" customHeight="1">
      <c r="A101" s="959">
        <v>93</v>
      </c>
      <c r="B101" s="970"/>
      <c r="C101" s="556">
        <v>49</v>
      </c>
      <c r="D101" s="1130" t="s">
        <v>931</v>
      </c>
      <c r="E101" s="971">
        <f>F101+G101+L102+K103</f>
        <v>3150</v>
      </c>
      <c r="F101" s="972"/>
      <c r="G101" s="973"/>
      <c r="H101" s="974"/>
      <c r="I101" s="558"/>
      <c r="J101" s="975"/>
      <c r="K101" s="976"/>
      <c r="L101" s="977"/>
    </row>
    <row r="102" spans="1:12" ht="18" customHeight="1">
      <c r="A102" s="959">
        <v>94</v>
      </c>
      <c r="B102" s="970"/>
      <c r="C102" s="559"/>
      <c r="D102" s="1040" t="s">
        <v>198</v>
      </c>
      <c r="E102" s="979"/>
      <c r="F102" s="980"/>
      <c r="G102" s="981"/>
      <c r="H102" s="982"/>
      <c r="I102" s="983"/>
      <c r="J102" s="984">
        <v>3150</v>
      </c>
      <c r="K102" s="985">
        <f>SUM(I102:J102)</f>
        <v>3150</v>
      </c>
      <c r="L102" s="977"/>
    </row>
    <row r="103" spans="1:12" ht="18" customHeight="1">
      <c r="A103" s="959">
        <v>95</v>
      </c>
      <c r="B103" s="970"/>
      <c r="C103" s="559"/>
      <c r="D103" s="1065" t="s">
        <v>765</v>
      </c>
      <c r="E103" s="979"/>
      <c r="F103" s="980"/>
      <c r="G103" s="981"/>
      <c r="H103" s="982"/>
      <c r="I103" s="987"/>
      <c r="J103" s="988">
        <v>3150</v>
      </c>
      <c r="K103" s="560">
        <f>SUM(I103:J103)</f>
        <v>3150</v>
      </c>
      <c r="L103" s="977"/>
    </row>
    <row r="104" spans="1:12" ht="18" customHeight="1">
      <c r="A104" s="959">
        <v>96</v>
      </c>
      <c r="B104" s="970"/>
      <c r="C104" s="559"/>
      <c r="D104" s="989" t="s">
        <v>1022</v>
      </c>
      <c r="E104" s="990"/>
      <c r="F104" s="991"/>
      <c r="G104" s="992"/>
      <c r="H104" s="993"/>
      <c r="I104" s="994"/>
      <c r="J104" s="561">
        <v>3041</v>
      </c>
      <c r="K104" s="562">
        <f>SUM(E104:J104)</f>
        <v>3041</v>
      </c>
      <c r="L104" s="977"/>
    </row>
    <row r="105" spans="1:12" ht="18" customHeight="1">
      <c r="A105" s="959">
        <v>97</v>
      </c>
      <c r="B105" s="970"/>
      <c r="C105" s="559"/>
      <c r="D105" s="1133" t="s">
        <v>40</v>
      </c>
      <c r="E105" s="971"/>
      <c r="F105" s="972"/>
      <c r="G105" s="973"/>
      <c r="H105" s="974"/>
      <c r="I105" s="558"/>
      <c r="J105" s="975"/>
      <c r="K105" s="976"/>
      <c r="L105" s="977"/>
    </row>
    <row r="106" spans="1:12" ht="19.5" customHeight="1">
      <c r="A106" s="959">
        <v>98</v>
      </c>
      <c r="B106" s="970"/>
      <c r="C106" s="559">
        <v>60</v>
      </c>
      <c r="D106" s="1130" t="s">
        <v>932</v>
      </c>
      <c r="E106" s="971">
        <f>F106+G106+L107+K108</f>
        <v>8500</v>
      </c>
      <c r="F106" s="972"/>
      <c r="G106" s="973"/>
      <c r="H106" s="974"/>
      <c r="I106" s="558"/>
      <c r="J106" s="975"/>
      <c r="K106" s="976"/>
      <c r="L106" s="977"/>
    </row>
    <row r="107" spans="1:12" ht="18" customHeight="1">
      <c r="A107" s="959">
        <v>99</v>
      </c>
      <c r="B107" s="970"/>
      <c r="C107" s="559"/>
      <c r="D107" s="1040" t="s">
        <v>198</v>
      </c>
      <c r="E107" s="979"/>
      <c r="F107" s="980"/>
      <c r="G107" s="981"/>
      <c r="H107" s="982"/>
      <c r="I107" s="983"/>
      <c r="J107" s="984">
        <v>8500</v>
      </c>
      <c r="K107" s="985">
        <f>SUM(I107:J107)</f>
        <v>8500</v>
      </c>
      <c r="L107" s="977"/>
    </row>
    <row r="108" spans="1:12" ht="18" customHeight="1">
      <c r="A108" s="959">
        <v>100</v>
      </c>
      <c r="B108" s="970"/>
      <c r="C108" s="559"/>
      <c r="D108" s="1065" t="s">
        <v>765</v>
      </c>
      <c r="E108" s="979"/>
      <c r="F108" s="980"/>
      <c r="G108" s="981"/>
      <c r="H108" s="982"/>
      <c r="I108" s="987"/>
      <c r="J108" s="988">
        <v>8500</v>
      </c>
      <c r="K108" s="560">
        <f>SUM(I108:J108)</f>
        <v>8500</v>
      </c>
      <c r="L108" s="977"/>
    </row>
    <row r="109" spans="1:12" ht="18" customHeight="1">
      <c r="A109" s="959">
        <v>101</v>
      </c>
      <c r="B109" s="970"/>
      <c r="C109" s="559"/>
      <c r="D109" s="989" t="s">
        <v>1022</v>
      </c>
      <c r="E109" s="990"/>
      <c r="F109" s="991"/>
      <c r="G109" s="992"/>
      <c r="H109" s="993"/>
      <c r="I109" s="994"/>
      <c r="J109" s="561">
        <v>8491</v>
      </c>
      <c r="K109" s="562">
        <f>SUM(E109:J109)</f>
        <v>8491</v>
      </c>
      <c r="L109" s="977"/>
    </row>
    <row r="110" spans="1:12" ht="19.5" customHeight="1">
      <c r="A110" s="959">
        <v>102</v>
      </c>
      <c r="B110" s="970"/>
      <c r="C110" s="559">
        <v>61</v>
      </c>
      <c r="D110" s="1130" t="s">
        <v>933</v>
      </c>
      <c r="E110" s="971">
        <f>F110+G110+L111+K112</f>
        <v>34500</v>
      </c>
      <c r="F110" s="972"/>
      <c r="G110" s="973"/>
      <c r="H110" s="974"/>
      <c r="I110" s="558"/>
      <c r="J110" s="975"/>
      <c r="K110" s="976"/>
      <c r="L110" s="977"/>
    </row>
    <row r="111" spans="1:12" ht="18" customHeight="1">
      <c r="A111" s="959">
        <v>103</v>
      </c>
      <c r="B111" s="970"/>
      <c r="C111" s="559"/>
      <c r="D111" s="1040" t="s">
        <v>198</v>
      </c>
      <c r="E111" s="979"/>
      <c r="F111" s="980"/>
      <c r="G111" s="981"/>
      <c r="H111" s="982"/>
      <c r="I111" s="983"/>
      <c r="J111" s="984">
        <v>34500</v>
      </c>
      <c r="K111" s="985">
        <f>SUM(I111:J111)</f>
        <v>34500</v>
      </c>
      <c r="L111" s="977"/>
    </row>
    <row r="112" spans="1:12" ht="18" customHeight="1">
      <c r="A112" s="959">
        <v>104</v>
      </c>
      <c r="B112" s="970"/>
      <c r="C112" s="559"/>
      <c r="D112" s="1065" t="s">
        <v>765</v>
      </c>
      <c r="E112" s="979"/>
      <c r="F112" s="980"/>
      <c r="G112" s="981"/>
      <c r="H112" s="982"/>
      <c r="I112" s="987"/>
      <c r="J112" s="988">
        <v>34500</v>
      </c>
      <c r="K112" s="560">
        <f>SUM(I112:J112)</f>
        <v>34500</v>
      </c>
      <c r="L112" s="977"/>
    </row>
    <row r="113" spans="1:12" ht="18" customHeight="1">
      <c r="A113" s="959">
        <v>105</v>
      </c>
      <c r="B113" s="970"/>
      <c r="C113" s="559"/>
      <c r="D113" s="989" t="s">
        <v>1022</v>
      </c>
      <c r="E113" s="990"/>
      <c r="F113" s="991"/>
      <c r="G113" s="992"/>
      <c r="H113" s="993"/>
      <c r="I113" s="994"/>
      <c r="J113" s="561">
        <v>34484</v>
      </c>
      <c r="K113" s="562">
        <f>SUM(E113:J113)</f>
        <v>34484</v>
      </c>
      <c r="L113" s="977"/>
    </row>
    <row r="114" spans="1:12" ht="19.5" customHeight="1">
      <c r="A114" s="959">
        <v>106</v>
      </c>
      <c r="B114" s="970"/>
      <c r="C114" s="559">
        <v>62</v>
      </c>
      <c r="D114" s="1130" t="s">
        <v>934</v>
      </c>
      <c r="E114" s="971">
        <f>F114+G114+L115+K116</f>
        <v>5000</v>
      </c>
      <c r="F114" s="972"/>
      <c r="G114" s="973"/>
      <c r="H114" s="974"/>
      <c r="I114" s="558"/>
      <c r="J114" s="975"/>
      <c r="K114" s="976"/>
      <c r="L114" s="977"/>
    </row>
    <row r="115" spans="1:12" ht="18" customHeight="1">
      <c r="A115" s="959">
        <v>107</v>
      </c>
      <c r="B115" s="970"/>
      <c r="C115" s="559"/>
      <c r="D115" s="1040" t="s">
        <v>198</v>
      </c>
      <c r="E115" s="979"/>
      <c r="F115" s="980"/>
      <c r="G115" s="981"/>
      <c r="H115" s="982"/>
      <c r="I115" s="983"/>
      <c r="J115" s="984">
        <v>5000</v>
      </c>
      <c r="K115" s="985">
        <f>SUM(I115:J115)</f>
        <v>5000</v>
      </c>
      <c r="L115" s="977"/>
    </row>
    <row r="116" spans="1:12" ht="18" customHeight="1">
      <c r="A116" s="959">
        <v>108</v>
      </c>
      <c r="B116" s="970"/>
      <c r="C116" s="559"/>
      <c r="D116" s="1065" t="s">
        <v>765</v>
      </c>
      <c r="E116" s="979"/>
      <c r="F116" s="980"/>
      <c r="G116" s="981"/>
      <c r="H116" s="982"/>
      <c r="I116" s="987"/>
      <c r="J116" s="988">
        <v>5000</v>
      </c>
      <c r="K116" s="560">
        <f>SUM(I116:J116)</f>
        <v>5000</v>
      </c>
      <c r="L116" s="977"/>
    </row>
    <row r="117" spans="1:12" ht="18" customHeight="1">
      <c r="A117" s="959">
        <v>109</v>
      </c>
      <c r="B117" s="970"/>
      <c r="C117" s="559"/>
      <c r="D117" s="989" t="s">
        <v>1022</v>
      </c>
      <c r="E117" s="990"/>
      <c r="F117" s="991"/>
      <c r="G117" s="992"/>
      <c r="H117" s="993"/>
      <c r="I117" s="994"/>
      <c r="J117" s="561">
        <v>5000</v>
      </c>
      <c r="K117" s="562">
        <f>SUM(E117:J117)</f>
        <v>5000</v>
      </c>
      <c r="L117" s="977"/>
    </row>
    <row r="118" spans="1:12" ht="18" customHeight="1">
      <c r="A118" s="959">
        <v>110</v>
      </c>
      <c r="B118" s="970"/>
      <c r="C118" s="559"/>
      <c r="D118" s="1133" t="s">
        <v>1281</v>
      </c>
      <c r="E118" s="971"/>
      <c r="F118" s="972"/>
      <c r="G118" s="973"/>
      <c r="H118" s="974"/>
      <c r="I118" s="558"/>
      <c r="J118" s="975"/>
      <c r="K118" s="976"/>
      <c r="L118" s="977"/>
    </row>
    <row r="119" spans="1:12" ht="19.5" customHeight="1">
      <c r="A119" s="959">
        <v>111</v>
      </c>
      <c r="B119" s="970"/>
      <c r="C119" s="559">
        <v>63</v>
      </c>
      <c r="D119" s="1130" t="s">
        <v>935</v>
      </c>
      <c r="E119" s="971">
        <f>F119+G119+L120+K121</f>
        <v>16500</v>
      </c>
      <c r="F119" s="972"/>
      <c r="G119" s="973"/>
      <c r="H119" s="974"/>
      <c r="I119" s="558"/>
      <c r="J119" s="975"/>
      <c r="K119" s="976"/>
      <c r="L119" s="977"/>
    </row>
    <row r="120" spans="1:12" ht="18" customHeight="1">
      <c r="A120" s="959">
        <v>112</v>
      </c>
      <c r="B120" s="970"/>
      <c r="C120" s="559"/>
      <c r="D120" s="1040" t="s">
        <v>198</v>
      </c>
      <c r="E120" s="979"/>
      <c r="F120" s="980"/>
      <c r="G120" s="981"/>
      <c r="H120" s="982"/>
      <c r="I120" s="983"/>
      <c r="J120" s="984">
        <v>16500</v>
      </c>
      <c r="K120" s="985">
        <f>SUM(I120:J120)</f>
        <v>16500</v>
      </c>
      <c r="L120" s="977"/>
    </row>
    <row r="121" spans="1:12" ht="18" customHeight="1">
      <c r="A121" s="959">
        <v>113</v>
      </c>
      <c r="B121" s="970"/>
      <c r="C121" s="559"/>
      <c r="D121" s="1065" t="s">
        <v>765</v>
      </c>
      <c r="E121" s="979"/>
      <c r="F121" s="980"/>
      <c r="G121" s="981"/>
      <c r="H121" s="982"/>
      <c r="I121" s="987"/>
      <c r="J121" s="988">
        <v>16500</v>
      </c>
      <c r="K121" s="560">
        <f>SUM(I121:J121)</f>
        <v>16500</v>
      </c>
      <c r="L121" s="977"/>
    </row>
    <row r="122" spans="1:12" ht="18" customHeight="1">
      <c r="A122" s="959">
        <v>114</v>
      </c>
      <c r="B122" s="970"/>
      <c r="C122" s="559"/>
      <c r="D122" s="989" t="s">
        <v>1022</v>
      </c>
      <c r="E122" s="990"/>
      <c r="F122" s="991"/>
      <c r="G122" s="992"/>
      <c r="H122" s="993"/>
      <c r="I122" s="994"/>
      <c r="J122" s="561">
        <v>16461</v>
      </c>
      <c r="K122" s="562">
        <f>SUM(E122:J122)</f>
        <v>16461</v>
      </c>
      <c r="L122" s="977"/>
    </row>
    <row r="123" spans="1:12" ht="22.5" customHeight="1">
      <c r="A123" s="959">
        <v>115</v>
      </c>
      <c r="B123" s="970"/>
      <c r="C123" s="559"/>
      <c r="D123" s="1131" t="s">
        <v>936</v>
      </c>
      <c r="E123" s="971"/>
      <c r="F123" s="972"/>
      <c r="G123" s="973"/>
      <c r="H123" s="974" t="s">
        <v>80</v>
      </c>
      <c r="I123" s="558"/>
      <c r="J123" s="975"/>
      <c r="K123" s="976"/>
      <c r="L123" s="977"/>
    </row>
    <row r="124" spans="1:12" ht="19.5" customHeight="1">
      <c r="A124" s="959">
        <v>116</v>
      </c>
      <c r="B124" s="970"/>
      <c r="C124" s="559">
        <v>64</v>
      </c>
      <c r="D124" s="1130" t="s">
        <v>937</v>
      </c>
      <c r="E124" s="971">
        <f>F124+G124+L125+K126</f>
        <v>10500</v>
      </c>
      <c r="F124" s="972"/>
      <c r="G124" s="973"/>
      <c r="H124" s="974"/>
      <c r="I124" s="558"/>
      <c r="J124" s="975"/>
      <c r="K124" s="976"/>
      <c r="L124" s="977"/>
    </row>
    <row r="125" spans="1:12" ht="18" customHeight="1">
      <c r="A125" s="959">
        <v>117</v>
      </c>
      <c r="B125" s="970"/>
      <c r="C125" s="559"/>
      <c r="D125" s="1040" t="s">
        <v>198</v>
      </c>
      <c r="E125" s="979"/>
      <c r="F125" s="980"/>
      <c r="G125" s="981"/>
      <c r="H125" s="982"/>
      <c r="I125" s="983"/>
      <c r="J125" s="984">
        <f>8500+2000</f>
        <v>10500</v>
      </c>
      <c r="K125" s="985">
        <f>SUM(I125:J125)</f>
        <v>10500</v>
      </c>
      <c r="L125" s="977"/>
    </row>
    <row r="126" spans="1:12" ht="18" customHeight="1">
      <c r="A126" s="959">
        <v>118</v>
      </c>
      <c r="B126" s="970"/>
      <c r="C126" s="559"/>
      <c r="D126" s="1065" t="s">
        <v>765</v>
      </c>
      <c r="E126" s="979"/>
      <c r="F126" s="980"/>
      <c r="G126" s="981"/>
      <c r="H126" s="982"/>
      <c r="I126" s="987"/>
      <c r="J126" s="988">
        <v>10500</v>
      </c>
      <c r="K126" s="560">
        <f>SUM(I126:J126)</f>
        <v>10500</v>
      </c>
      <c r="L126" s="977"/>
    </row>
    <row r="127" spans="1:12" ht="18" customHeight="1">
      <c r="A127" s="959">
        <v>119</v>
      </c>
      <c r="B127" s="970"/>
      <c r="C127" s="559"/>
      <c r="D127" s="989" t="s">
        <v>1022</v>
      </c>
      <c r="E127" s="990"/>
      <c r="F127" s="991"/>
      <c r="G127" s="992"/>
      <c r="H127" s="993"/>
      <c r="I127" s="994"/>
      <c r="J127" s="561">
        <v>10492</v>
      </c>
      <c r="K127" s="562">
        <f>SUM(E127:J127)</f>
        <v>10492</v>
      </c>
      <c r="L127" s="977"/>
    </row>
    <row r="128" spans="1:12" ht="19.5" customHeight="1">
      <c r="A128" s="959">
        <v>120</v>
      </c>
      <c r="B128" s="970"/>
      <c r="C128" s="559">
        <v>65</v>
      </c>
      <c r="D128" s="1130" t="s">
        <v>938</v>
      </c>
      <c r="E128" s="971">
        <f>F128+G128+L129+K130</f>
        <v>4000</v>
      </c>
      <c r="F128" s="972"/>
      <c r="G128" s="973"/>
      <c r="H128" s="974"/>
      <c r="I128" s="558"/>
      <c r="J128" s="975"/>
      <c r="K128" s="976"/>
      <c r="L128" s="977"/>
    </row>
    <row r="129" spans="1:12" ht="18" customHeight="1">
      <c r="A129" s="959">
        <v>121</v>
      </c>
      <c r="B129" s="970"/>
      <c r="C129" s="559"/>
      <c r="D129" s="1040" t="s">
        <v>198</v>
      </c>
      <c r="E129" s="979"/>
      <c r="F129" s="980"/>
      <c r="G129" s="981"/>
      <c r="H129" s="982"/>
      <c r="I129" s="983"/>
      <c r="J129" s="984">
        <v>4000</v>
      </c>
      <c r="K129" s="985">
        <f>SUM(I129:J129)</f>
        <v>4000</v>
      </c>
      <c r="L129" s="977"/>
    </row>
    <row r="130" spans="1:12" ht="18" customHeight="1">
      <c r="A130" s="959">
        <v>122</v>
      </c>
      <c r="B130" s="970"/>
      <c r="C130" s="559"/>
      <c r="D130" s="1065" t="s">
        <v>765</v>
      </c>
      <c r="E130" s="979"/>
      <c r="F130" s="980"/>
      <c r="G130" s="981"/>
      <c r="H130" s="982"/>
      <c r="I130" s="987"/>
      <c r="J130" s="988">
        <v>4000</v>
      </c>
      <c r="K130" s="560">
        <f>SUM(I130:J130)</f>
        <v>4000</v>
      </c>
      <c r="L130" s="977"/>
    </row>
    <row r="131" spans="1:12" ht="18" customHeight="1">
      <c r="A131" s="959">
        <v>123</v>
      </c>
      <c r="B131" s="970"/>
      <c r="C131" s="559"/>
      <c r="D131" s="989" t="s">
        <v>1022</v>
      </c>
      <c r="E131" s="990"/>
      <c r="F131" s="991"/>
      <c r="G131" s="992"/>
      <c r="H131" s="993"/>
      <c r="I131" s="994"/>
      <c r="J131" s="561">
        <v>3990</v>
      </c>
      <c r="K131" s="562">
        <f>SUM(E131:J131)</f>
        <v>3990</v>
      </c>
      <c r="L131" s="977"/>
    </row>
    <row r="132" spans="1:12" ht="19.5" customHeight="1">
      <c r="A132" s="959">
        <v>124</v>
      </c>
      <c r="B132" s="970"/>
      <c r="C132" s="559">
        <v>66</v>
      </c>
      <c r="D132" s="1130" t="s">
        <v>939</v>
      </c>
      <c r="E132" s="971">
        <f>F132+G132+L133+K134</f>
        <v>4200</v>
      </c>
      <c r="F132" s="972"/>
      <c r="G132" s="973"/>
      <c r="H132" s="974"/>
      <c r="I132" s="558"/>
      <c r="J132" s="975"/>
      <c r="K132" s="976"/>
      <c r="L132" s="977"/>
    </row>
    <row r="133" spans="1:12" ht="18" customHeight="1">
      <c r="A133" s="959">
        <v>125</v>
      </c>
      <c r="B133" s="970"/>
      <c r="C133" s="559"/>
      <c r="D133" s="1040" t="s">
        <v>198</v>
      </c>
      <c r="E133" s="979"/>
      <c r="F133" s="980"/>
      <c r="G133" s="981"/>
      <c r="H133" s="982"/>
      <c r="I133" s="983"/>
      <c r="J133" s="984">
        <f>6200-2000</f>
        <v>4200</v>
      </c>
      <c r="K133" s="985">
        <f>SUM(I133:J133)</f>
        <v>4200</v>
      </c>
      <c r="L133" s="977"/>
    </row>
    <row r="134" spans="1:12" ht="18" customHeight="1">
      <c r="A134" s="959">
        <v>126</v>
      </c>
      <c r="B134" s="970"/>
      <c r="C134" s="559"/>
      <c r="D134" s="1065" t="s">
        <v>765</v>
      </c>
      <c r="E134" s="979"/>
      <c r="F134" s="980"/>
      <c r="G134" s="981"/>
      <c r="H134" s="982"/>
      <c r="I134" s="987"/>
      <c r="J134" s="988">
        <v>4200</v>
      </c>
      <c r="K134" s="560">
        <f>SUM(I134:J134)</f>
        <v>4200</v>
      </c>
      <c r="L134" s="977"/>
    </row>
    <row r="135" spans="1:12" ht="18" customHeight="1">
      <c r="A135" s="959">
        <v>127</v>
      </c>
      <c r="B135" s="970"/>
      <c r="C135" s="559"/>
      <c r="D135" s="989" t="s">
        <v>1022</v>
      </c>
      <c r="E135" s="990"/>
      <c r="F135" s="991"/>
      <c r="G135" s="992"/>
      <c r="H135" s="993"/>
      <c r="I135" s="994"/>
      <c r="J135" s="561">
        <v>4191</v>
      </c>
      <c r="K135" s="562">
        <f>SUM(E135:J135)</f>
        <v>4191</v>
      </c>
      <c r="L135" s="977"/>
    </row>
    <row r="136" spans="1:12" ht="19.5" customHeight="1">
      <c r="A136" s="959">
        <v>128</v>
      </c>
      <c r="B136" s="970"/>
      <c r="C136" s="559">
        <v>67</v>
      </c>
      <c r="D136" s="1130" t="s">
        <v>940</v>
      </c>
      <c r="E136" s="971">
        <f>F136+G136+L137+K138</f>
        <v>41000</v>
      </c>
      <c r="F136" s="972"/>
      <c r="G136" s="973"/>
      <c r="H136" s="974"/>
      <c r="I136" s="558"/>
      <c r="J136" s="975"/>
      <c r="K136" s="976"/>
      <c r="L136" s="977"/>
    </row>
    <row r="137" spans="1:12" ht="18" customHeight="1">
      <c r="A137" s="959">
        <v>129</v>
      </c>
      <c r="B137" s="970"/>
      <c r="C137" s="559"/>
      <c r="D137" s="1040" t="s">
        <v>198</v>
      </c>
      <c r="E137" s="979"/>
      <c r="F137" s="980"/>
      <c r="G137" s="981"/>
      <c r="H137" s="982"/>
      <c r="I137" s="983"/>
      <c r="J137" s="984">
        <v>41000</v>
      </c>
      <c r="K137" s="985">
        <f>SUM(I137:J137)</f>
        <v>41000</v>
      </c>
      <c r="L137" s="977"/>
    </row>
    <row r="138" spans="1:12" ht="18" customHeight="1">
      <c r="A138" s="959">
        <v>130</v>
      </c>
      <c r="B138" s="970"/>
      <c r="C138" s="559"/>
      <c r="D138" s="1065" t="s">
        <v>765</v>
      </c>
      <c r="E138" s="979"/>
      <c r="F138" s="980"/>
      <c r="G138" s="981"/>
      <c r="H138" s="982"/>
      <c r="I138" s="987"/>
      <c r="J138" s="988">
        <v>41000</v>
      </c>
      <c r="K138" s="560">
        <f>SUM(I138:J138)</f>
        <v>41000</v>
      </c>
      <c r="L138" s="977"/>
    </row>
    <row r="139" spans="1:12" ht="18" customHeight="1">
      <c r="A139" s="959">
        <v>131</v>
      </c>
      <c r="B139" s="970"/>
      <c r="C139" s="559"/>
      <c r="D139" s="989" t="s">
        <v>1022</v>
      </c>
      <c r="E139" s="990"/>
      <c r="F139" s="991"/>
      <c r="G139" s="992"/>
      <c r="H139" s="993"/>
      <c r="I139" s="994"/>
      <c r="J139" s="561">
        <v>36855</v>
      </c>
      <c r="K139" s="562">
        <f>SUM(E139:J139)</f>
        <v>36855</v>
      </c>
      <c r="L139" s="977"/>
    </row>
    <row r="140" spans="1:12" ht="22.5" customHeight="1">
      <c r="A140" s="959">
        <v>132</v>
      </c>
      <c r="B140" s="970"/>
      <c r="C140" s="559"/>
      <c r="D140" s="1131" t="s">
        <v>210</v>
      </c>
      <c r="E140" s="971"/>
      <c r="F140" s="972"/>
      <c r="G140" s="973"/>
      <c r="H140" s="974" t="s">
        <v>80</v>
      </c>
      <c r="I140" s="558"/>
      <c r="J140" s="975"/>
      <c r="K140" s="976"/>
      <c r="L140" s="977"/>
    </row>
    <row r="141" spans="1:12" ht="19.5" customHeight="1">
      <c r="A141" s="959">
        <v>133</v>
      </c>
      <c r="B141" s="970"/>
      <c r="C141" s="559">
        <v>12</v>
      </c>
      <c r="D141" s="1130" t="s">
        <v>941</v>
      </c>
      <c r="E141" s="971">
        <f>F141+G141+L142+K143</f>
        <v>14415</v>
      </c>
      <c r="F141" s="972">
        <v>5000</v>
      </c>
      <c r="G141" s="973"/>
      <c r="H141" s="974"/>
      <c r="I141" s="558"/>
      <c r="J141" s="975"/>
      <c r="K141" s="976"/>
      <c r="L141" s="977"/>
    </row>
    <row r="142" spans="1:12" ht="18" customHeight="1">
      <c r="A142" s="959">
        <v>134</v>
      </c>
      <c r="B142" s="970"/>
      <c r="C142" s="559"/>
      <c r="D142" s="1040" t="s">
        <v>198</v>
      </c>
      <c r="E142" s="979"/>
      <c r="F142" s="980"/>
      <c r="G142" s="981"/>
      <c r="H142" s="982"/>
      <c r="I142" s="983"/>
      <c r="J142" s="984">
        <v>18000</v>
      </c>
      <c r="K142" s="985">
        <f>SUM(I142:J142)</f>
        <v>18000</v>
      </c>
      <c r="L142" s="977"/>
    </row>
    <row r="143" spans="1:12" ht="18" customHeight="1">
      <c r="A143" s="959">
        <v>135</v>
      </c>
      <c r="B143" s="970"/>
      <c r="C143" s="559"/>
      <c r="D143" s="1065" t="s">
        <v>765</v>
      </c>
      <c r="E143" s="979"/>
      <c r="F143" s="980"/>
      <c r="G143" s="981"/>
      <c r="H143" s="982"/>
      <c r="I143" s="987"/>
      <c r="J143" s="988">
        <v>9415</v>
      </c>
      <c r="K143" s="560">
        <f>SUM(I143:J143)</f>
        <v>9415</v>
      </c>
      <c r="L143" s="977"/>
    </row>
    <row r="144" spans="1:12" ht="18" customHeight="1">
      <c r="A144" s="959">
        <v>136</v>
      </c>
      <c r="B144" s="970"/>
      <c r="C144" s="559"/>
      <c r="D144" s="989" t="s">
        <v>1021</v>
      </c>
      <c r="E144" s="990"/>
      <c r="F144" s="991"/>
      <c r="G144" s="992"/>
      <c r="H144" s="993"/>
      <c r="I144" s="994"/>
      <c r="J144" s="561">
        <v>9415</v>
      </c>
      <c r="K144" s="562">
        <f>SUM(E144:J144)</f>
        <v>9415</v>
      </c>
      <c r="L144" s="977"/>
    </row>
    <row r="145" spans="1:12" ht="18" customHeight="1">
      <c r="A145" s="959">
        <v>137</v>
      </c>
      <c r="B145" s="970"/>
      <c r="C145" s="559"/>
      <c r="D145" s="1133" t="s">
        <v>942</v>
      </c>
      <c r="E145" s="971"/>
      <c r="F145" s="972"/>
      <c r="G145" s="973"/>
      <c r="H145" s="974"/>
      <c r="I145" s="558"/>
      <c r="J145" s="975"/>
      <c r="K145" s="976"/>
      <c r="L145" s="977"/>
    </row>
    <row r="146" spans="1:12" ht="19.5" customHeight="1">
      <c r="A146" s="959">
        <v>138</v>
      </c>
      <c r="B146" s="970"/>
      <c r="C146" s="559">
        <v>68</v>
      </c>
      <c r="D146" s="1134" t="s">
        <v>943</v>
      </c>
      <c r="E146" s="971">
        <f>F146+G146+L147+K148</f>
        <v>3000</v>
      </c>
      <c r="F146" s="972"/>
      <c r="G146" s="973"/>
      <c r="H146" s="974"/>
      <c r="I146" s="558"/>
      <c r="J146" s="975"/>
      <c r="K146" s="976"/>
      <c r="L146" s="977"/>
    </row>
    <row r="147" spans="1:12" ht="18" customHeight="1">
      <c r="A147" s="959">
        <v>139</v>
      </c>
      <c r="B147" s="970"/>
      <c r="C147" s="559"/>
      <c r="D147" s="1040" t="s">
        <v>198</v>
      </c>
      <c r="E147" s="979"/>
      <c r="F147" s="980"/>
      <c r="G147" s="981"/>
      <c r="H147" s="982"/>
      <c r="I147" s="983"/>
      <c r="J147" s="984">
        <v>3000</v>
      </c>
      <c r="K147" s="985">
        <f>SUM(I147:J147)</f>
        <v>3000</v>
      </c>
      <c r="L147" s="977"/>
    </row>
    <row r="148" spans="1:12" ht="18" customHeight="1">
      <c r="A148" s="959">
        <v>140</v>
      </c>
      <c r="B148" s="970"/>
      <c r="C148" s="559"/>
      <c r="D148" s="1065" t="s">
        <v>765</v>
      </c>
      <c r="E148" s="979"/>
      <c r="F148" s="980"/>
      <c r="G148" s="981"/>
      <c r="H148" s="982"/>
      <c r="I148" s="987"/>
      <c r="J148" s="988">
        <v>3000</v>
      </c>
      <c r="K148" s="560">
        <f>SUM(I148:J148)</f>
        <v>3000</v>
      </c>
      <c r="L148" s="977"/>
    </row>
    <row r="149" spans="1:12" ht="18" customHeight="1">
      <c r="A149" s="959">
        <v>141</v>
      </c>
      <c r="B149" s="970"/>
      <c r="C149" s="559"/>
      <c r="D149" s="989" t="s">
        <v>1022</v>
      </c>
      <c r="E149" s="990"/>
      <c r="F149" s="991"/>
      <c r="G149" s="992"/>
      <c r="H149" s="993"/>
      <c r="I149" s="994"/>
      <c r="J149" s="561"/>
      <c r="K149" s="562">
        <f>SUM(E149:J149)</f>
        <v>0</v>
      </c>
      <c r="L149" s="977"/>
    </row>
    <row r="150" spans="1:12" ht="18" customHeight="1">
      <c r="A150" s="959">
        <v>142</v>
      </c>
      <c r="B150" s="970"/>
      <c r="C150" s="559"/>
      <c r="D150" s="1133" t="s">
        <v>944</v>
      </c>
      <c r="E150" s="971"/>
      <c r="F150" s="972"/>
      <c r="G150" s="973"/>
      <c r="H150" s="974"/>
      <c r="I150" s="558"/>
      <c r="J150" s="975"/>
      <c r="K150" s="976"/>
      <c r="L150" s="977"/>
    </row>
    <row r="151" spans="1:12" ht="19.5" customHeight="1">
      <c r="A151" s="959">
        <v>143</v>
      </c>
      <c r="B151" s="970"/>
      <c r="C151" s="559">
        <v>69</v>
      </c>
      <c r="D151" s="1134" t="s">
        <v>945</v>
      </c>
      <c r="E151" s="971">
        <f>F151+G151+L152+K153</f>
        <v>7818</v>
      </c>
      <c r="F151" s="972"/>
      <c r="G151" s="973"/>
      <c r="H151" s="974"/>
      <c r="I151" s="558"/>
      <c r="J151" s="975"/>
      <c r="K151" s="976"/>
      <c r="L151" s="977"/>
    </row>
    <row r="152" spans="1:12" ht="18" customHeight="1">
      <c r="A152" s="959">
        <v>144</v>
      </c>
      <c r="B152" s="970"/>
      <c r="C152" s="559"/>
      <c r="D152" s="1040" t="s">
        <v>198</v>
      </c>
      <c r="E152" s="979"/>
      <c r="F152" s="980"/>
      <c r="G152" s="981"/>
      <c r="H152" s="982"/>
      <c r="I152" s="983"/>
      <c r="J152" s="984">
        <v>10500</v>
      </c>
      <c r="K152" s="985">
        <f>SUM(I152:J152)</f>
        <v>10500</v>
      </c>
      <c r="L152" s="977"/>
    </row>
    <row r="153" spans="1:12" ht="18" customHeight="1">
      <c r="A153" s="959">
        <v>145</v>
      </c>
      <c r="B153" s="970"/>
      <c r="C153" s="559"/>
      <c r="D153" s="1065" t="s">
        <v>765</v>
      </c>
      <c r="E153" s="979"/>
      <c r="F153" s="980"/>
      <c r="G153" s="981"/>
      <c r="H153" s="982"/>
      <c r="I153" s="987"/>
      <c r="J153" s="988">
        <v>7818</v>
      </c>
      <c r="K153" s="560">
        <f>SUM(I153:J153)</f>
        <v>7818</v>
      </c>
      <c r="L153" s="977"/>
    </row>
    <row r="154" spans="1:12" ht="18" customHeight="1">
      <c r="A154" s="959">
        <v>146</v>
      </c>
      <c r="B154" s="970"/>
      <c r="C154" s="559"/>
      <c r="D154" s="989" t="s">
        <v>1021</v>
      </c>
      <c r="E154" s="990"/>
      <c r="F154" s="991"/>
      <c r="G154" s="992"/>
      <c r="H154" s="993"/>
      <c r="I154" s="994"/>
      <c r="J154" s="561">
        <v>7818</v>
      </c>
      <c r="K154" s="562">
        <f>SUM(E154:J154)</f>
        <v>7818</v>
      </c>
      <c r="L154" s="977"/>
    </row>
    <row r="155" spans="1:12" ht="19.5" customHeight="1">
      <c r="A155" s="959">
        <v>147</v>
      </c>
      <c r="B155" s="970"/>
      <c r="C155" s="559">
        <v>51</v>
      </c>
      <c r="D155" s="1134" t="s">
        <v>946</v>
      </c>
      <c r="E155" s="971">
        <f>F155+G155+L156+K157</f>
        <v>2564</v>
      </c>
      <c r="F155" s="972"/>
      <c r="G155" s="973"/>
      <c r="H155" s="974"/>
      <c r="I155" s="558"/>
      <c r="J155" s="975"/>
      <c r="K155" s="976"/>
      <c r="L155" s="977"/>
    </row>
    <row r="156" spans="1:12" ht="18" customHeight="1">
      <c r="A156" s="959">
        <v>148</v>
      </c>
      <c r="B156" s="970"/>
      <c r="C156" s="559"/>
      <c r="D156" s="1040" t="s">
        <v>198</v>
      </c>
      <c r="E156" s="979"/>
      <c r="F156" s="980"/>
      <c r="G156" s="981"/>
      <c r="H156" s="982"/>
      <c r="I156" s="983"/>
      <c r="J156" s="984">
        <v>2564</v>
      </c>
      <c r="K156" s="985">
        <f>SUM(I156:J156)</f>
        <v>2564</v>
      </c>
      <c r="L156" s="977"/>
    </row>
    <row r="157" spans="1:12" ht="18" customHeight="1">
      <c r="A157" s="959">
        <v>149</v>
      </c>
      <c r="B157" s="970"/>
      <c r="C157" s="559"/>
      <c r="D157" s="1065" t="s">
        <v>765</v>
      </c>
      <c r="E157" s="979"/>
      <c r="F157" s="980"/>
      <c r="G157" s="981"/>
      <c r="H157" s="982"/>
      <c r="I157" s="987"/>
      <c r="J157" s="988">
        <v>2564</v>
      </c>
      <c r="K157" s="560">
        <f>SUM(I157:J157)</f>
        <v>2564</v>
      </c>
      <c r="L157" s="1002"/>
    </row>
    <row r="158" spans="1:12" ht="18" customHeight="1">
      <c r="A158" s="959">
        <v>150</v>
      </c>
      <c r="B158" s="970"/>
      <c r="C158" s="559"/>
      <c r="D158" s="989" t="s">
        <v>1022</v>
      </c>
      <c r="E158" s="990"/>
      <c r="F158" s="991"/>
      <c r="G158" s="992"/>
      <c r="H158" s="993"/>
      <c r="I158" s="994"/>
      <c r="J158" s="561">
        <v>2564</v>
      </c>
      <c r="K158" s="562">
        <f>SUM(E158:J158)</f>
        <v>2564</v>
      </c>
      <c r="L158" s="1002"/>
    </row>
    <row r="159" spans="1:12" ht="22.5" customHeight="1">
      <c r="A159" s="959">
        <v>151</v>
      </c>
      <c r="B159" s="970"/>
      <c r="C159" s="559"/>
      <c r="D159" s="1135" t="s">
        <v>10</v>
      </c>
      <c r="E159" s="971"/>
      <c r="F159" s="972"/>
      <c r="G159" s="973"/>
      <c r="H159" s="974" t="s">
        <v>80</v>
      </c>
      <c r="I159" s="975"/>
      <c r="J159" s="975"/>
      <c r="K159" s="1004"/>
      <c r="L159" s="1002"/>
    </row>
    <row r="160" spans="1:12" ht="19.5" customHeight="1">
      <c r="A160" s="959">
        <v>152</v>
      </c>
      <c r="B160" s="970"/>
      <c r="C160" s="559">
        <v>43</v>
      </c>
      <c r="D160" s="1134" t="s">
        <v>947</v>
      </c>
      <c r="E160" s="971">
        <f>F160+G160+L161+K162</f>
        <v>38341</v>
      </c>
      <c r="F160" s="972"/>
      <c r="G160" s="973"/>
      <c r="H160" s="974"/>
      <c r="I160" s="975"/>
      <c r="J160" s="975"/>
      <c r="K160" s="1004"/>
      <c r="L160" s="1002"/>
    </row>
    <row r="161" spans="1:12" ht="18" customHeight="1">
      <c r="A161" s="959">
        <v>153</v>
      </c>
      <c r="B161" s="970"/>
      <c r="C161" s="559"/>
      <c r="D161" s="1040" t="s">
        <v>198</v>
      </c>
      <c r="E161" s="979"/>
      <c r="F161" s="980"/>
      <c r="G161" s="981"/>
      <c r="H161" s="982"/>
      <c r="I161" s="983"/>
      <c r="J161" s="984">
        <v>25065</v>
      </c>
      <c r="K161" s="985">
        <f>SUM(I161:J161)</f>
        <v>25065</v>
      </c>
      <c r="L161" s="1002"/>
    </row>
    <row r="162" spans="1:12" ht="18" customHeight="1">
      <c r="A162" s="959">
        <v>154</v>
      </c>
      <c r="B162" s="970"/>
      <c r="C162" s="559"/>
      <c r="D162" s="1065" t="s">
        <v>765</v>
      </c>
      <c r="E162" s="979"/>
      <c r="F162" s="980"/>
      <c r="G162" s="981"/>
      <c r="H162" s="982"/>
      <c r="I162" s="987"/>
      <c r="J162" s="988">
        <v>38341</v>
      </c>
      <c r="K162" s="560">
        <f>SUM(I162:J162)</f>
        <v>38341</v>
      </c>
      <c r="L162" s="1002"/>
    </row>
    <row r="163" spans="1:12" ht="18" customHeight="1">
      <c r="A163" s="959">
        <v>155</v>
      </c>
      <c r="B163" s="970"/>
      <c r="C163" s="559"/>
      <c r="D163" s="989" t="s">
        <v>1021</v>
      </c>
      <c r="E163" s="990"/>
      <c r="F163" s="991"/>
      <c r="G163" s="992"/>
      <c r="H163" s="993"/>
      <c r="I163" s="994"/>
      <c r="J163" s="561"/>
      <c r="K163" s="562">
        <f>SUM(E163:J163)</f>
        <v>0</v>
      </c>
      <c r="L163" s="1002"/>
    </row>
    <row r="164" spans="1:12" ht="19.5" customHeight="1">
      <c r="A164" s="959">
        <v>156</v>
      </c>
      <c r="B164" s="970"/>
      <c r="C164" s="559">
        <v>48</v>
      </c>
      <c r="D164" s="1134" t="s">
        <v>948</v>
      </c>
      <c r="E164" s="971">
        <f>F164+G164+L165+K166</f>
        <v>8800</v>
      </c>
      <c r="F164" s="972"/>
      <c r="G164" s="973"/>
      <c r="H164" s="974" t="s">
        <v>80</v>
      </c>
      <c r="I164" s="975"/>
      <c r="J164" s="975"/>
      <c r="K164" s="1004"/>
      <c r="L164" s="1002"/>
    </row>
    <row r="165" spans="1:12" ht="18" customHeight="1">
      <c r="A165" s="959">
        <v>157</v>
      </c>
      <c r="B165" s="970"/>
      <c r="C165" s="559"/>
      <c r="D165" s="1040" t="s">
        <v>198</v>
      </c>
      <c r="E165" s="979"/>
      <c r="F165" s="980"/>
      <c r="G165" s="981"/>
      <c r="H165" s="982"/>
      <c r="I165" s="983"/>
      <c r="J165" s="984">
        <v>5500</v>
      </c>
      <c r="K165" s="985">
        <f>SUM(I165:J165)</f>
        <v>5500</v>
      </c>
      <c r="L165" s="1002"/>
    </row>
    <row r="166" spans="1:12" ht="18" customHeight="1">
      <c r="A166" s="959">
        <v>158</v>
      </c>
      <c r="B166" s="970"/>
      <c r="C166" s="559"/>
      <c r="D166" s="1065" t="s">
        <v>765</v>
      </c>
      <c r="E166" s="979"/>
      <c r="F166" s="980"/>
      <c r="G166" s="981"/>
      <c r="H166" s="982"/>
      <c r="I166" s="987"/>
      <c r="J166" s="988">
        <v>8800</v>
      </c>
      <c r="K166" s="560">
        <f>SUM(I166:J166)</f>
        <v>8800</v>
      </c>
      <c r="L166" s="1002"/>
    </row>
    <row r="167" spans="1:12" ht="18" customHeight="1">
      <c r="A167" s="959">
        <v>159</v>
      </c>
      <c r="B167" s="970"/>
      <c r="C167" s="559"/>
      <c r="D167" s="989" t="s">
        <v>1021</v>
      </c>
      <c r="E167" s="990"/>
      <c r="F167" s="991"/>
      <c r="G167" s="992"/>
      <c r="H167" s="993"/>
      <c r="I167" s="994"/>
      <c r="J167" s="561"/>
      <c r="K167" s="562">
        <f>SUM(E167:J167)</f>
        <v>0</v>
      </c>
      <c r="L167" s="1002"/>
    </row>
    <row r="168" spans="1:12" ht="22.5" customHeight="1">
      <c r="A168" s="959">
        <v>160</v>
      </c>
      <c r="B168" s="970"/>
      <c r="C168" s="559"/>
      <c r="D168" s="1136" t="s">
        <v>31</v>
      </c>
      <c r="E168" s="971"/>
      <c r="F168" s="972"/>
      <c r="G168" s="973"/>
      <c r="H168" s="974" t="s">
        <v>80</v>
      </c>
      <c r="I168" s="558"/>
      <c r="J168" s="975"/>
      <c r="K168" s="976"/>
      <c r="L168" s="977"/>
    </row>
    <row r="169" spans="1:12" ht="19.5" customHeight="1">
      <c r="A169" s="959">
        <v>161</v>
      </c>
      <c r="B169" s="970"/>
      <c r="C169" s="559">
        <v>70</v>
      </c>
      <c r="D169" s="1130" t="s">
        <v>949</v>
      </c>
      <c r="E169" s="971"/>
      <c r="F169" s="972"/>
      <c r="G169" s="973"/>
      <c r="H169" s="974"/>
      <c r="I169" s="558"/>
      <c r="J169" s="975"/>
      <c r="K169" s="976"/>
      <c r="L169" s="977"/>
    </row>
    <row r="170" spans="1:12" ht="18" customHeight="1">
      <c r="A170" s="959">
        <v>162</v>
      </c>
      <c r="B170" s="970"/>
      <c r="C170" s="559"/>
      <c r="D170" s="1134" t="s">
        <v>950</v>
      </c>
      <c r="E170" s="971">
        <f>F170+G170+L171+K172</f>
        <v>26000</v>
      </c>
      <c r="F170" s="972"/>
      <c r="G170" s="973"/>
      <c r="H170" s="974"/>
      <c r="I170" s="558"/>
      <c r="J170" s="975"/>
      <c r="K170" s="1004"/>
      <c r="L170" s="977"/>
    </row>
    <row r="171" spans="1:12" ht="18" customHeight="1">
      <c r="A171" s="959">
        <v>163</v>
      </c>
      <c r="B171" s="970"/>
      <c r="C171" s="559"/>
      <c r="D171" s="1040" t="s">
        <v>198</v>
      </c>
      <c r="E171" s="979"/>
      <c r="F171" s="980"/>
      <c r="G171" s="981"/>
      <c r="H171" s="982"/>
      <c r="I171" s="983"/>
      <c r="J171" s="984">
        <v>26000</v>
      </c>
      <c r="K171" s="985">
        <f>SUM(I171:J171)</f>
        <v>26000</v>
      </c>
      <c r="L171" s="977"/>
    </row>
    <row r="172" spans="1:12" ht="18" customHeight="1">
      <c r="A172" s="959">
        <v>164</v>
      </c>
      <c r="B172" s="970"/>
      <c r="C172" s="559"/>
      <c r="D172" s="1065" t="s">
        <v>765</v>
      </c>
      <c r="E172" s="979"/>
      <c r="F172" s="980"/>
      <c r="G172" s="981"/>
      <c r="H172" s="982"/>
      <c r="I172" s="987"/>
      <c r="J172" s="988">
        <v>26000</v>
      </c>
      <c r="K172" s="560">
        <f>SUM(I172:J172)</f>
        <v>26000</v>
      </c>
      <c r="L172" s="977"/>
    </row>
    <row r="173" spans="1:12" ht="18" customHeight="1">
      <c r="A173" s="959">
        <v>165</v>
      </c>
      <c r="B173" s="970"/>
      <c r="C173" s="559"/>
      <c r="D173" s="989" t="s">
        <v>1022</v>
      </c>
      <c r="E173" s="990"/>
      <c r="F173" s="991"/>
      <c r="G173" s="992"/>
      <c r="H173" s="993"/>
      <c r="I173" s="994"/>
      <c r="J173" s="561"/>
      <c r="K173" s="562">
        <f>SUM(E173:J173)</f>
        <v>0</v>
      </c>
      <c r="L173" s="977"/>
    </row>
    <row r="174" spans="1:12" ht="19.5" customHeight="1">
      <c r="A174" s="959">
        <v>166</v>
      </c>
      <c r="B174" s="970"/>
      <c r="C174" s="559">
        <v>47</v>
      </c>
      <c r="D174" s="1134" t="s">
        <v>951</v>
      </c>
      <c r="E174" s="971">
        <f>F174+G174+L175+K176</f>
        <v>0</v>
      </c>
      <c r="F174" s="972"/>
      <c r="G174" s="973"/>
      <c r="H174" s="974"/>
      <c r="I174" s="558"/>
      <c r="J174" s="975"/>
      <c r="K174" s="976"/>
      <c r="L174" s="977"/>
    </row>
    <row r="175" spans="1:12" ht="18" customHeight="1">
      <c r="A175" s="959">
        <v>167</v>
      </c>
      <c r="B175" s="970"/>
      <c r="C175" s="559"/>
      <c r="D175" s="1040" t="s">
        <v>198</v>
      </c>
      <c r="E175" s="979"/>
      <c r="F175" s="980"/>
      <c r="G175" s="981"/>
      <c r="H175" s="982"/>
      <c r="I175" s="983"/>
      <c r="J175" s="984">
        <v>2000</v>
      </c>
      <c r="K175" s="985">
        <f>SUM(I175:J175)</f>
        <v>2000</v>
      </c>
      <c r="L175" s="977"/>
    </row>
    <row r="176" spans="1:12" ht="18" customHeight="1">
      <c r="A176" s="959">
        <v>168</v>
      </c>
      <c r="B176" s="970"/>
      <c r="C176" s="559"/>
      <c r="D176" s="1065" t="s">
        <v>765</v>
      </c>
      <c r="E176" s="995"/>
      <c r="F176" s="996"/>
      <c r="G176" s="997"/>
      <c r="H176" s="998"/>
      <c r="I176" s="987"/>
      <c r="J176" s="988">
        <v>0</v>
      </c>
      <c r="K176" s="560">
        <f>SUM(I176:J176)</f>
        <v>0</v>
      </c>
      <c r="L176" s="977"/>
    </row>
    <row r="177" spans="1:12" ht="18" customHeight="1">
      <c r="A177" s="959">
        <v>169</v>
      </c>
      <c r="B177" s="970"/>
      <c r="C177" s="559"/>
      <c r="D177" s="989" t="s">
        <v>1021</v>
      </c>
      <c r="E177" s="990"/>
      <c r="F177" s="991"/>
      <c r="G177" s="992"/>
      <c r="H177" s="993"/>
      <c r="I177" s="994"/>
      <c r="J177" s="561"/>
      <c r="K177" s="562">
        <f>SUM(E177:J177)</f>
        <v>0</v>
      </c>
      <c r="L177" s="977"/>
    </row>
    <row r="178" spans="1:12" ht="22.5" customHeight="1">
      <c r="A178" s="959">
        <v>170</v>
      </c>
      <c r="B178" s="970"/>
      <c r="C178" s="559"/>
      <c r="D178" s="1131" t="s">
        <v>32</v>
      </c>
      <c r="E178" s="971"/>
      <c r="F178" s="972"/>
      <c r="G178" s="973"/>
      <c r="H178" s="974" t="s">
        <v>80</v>
      </c>
      <c r="I178" s="558"/>
      <c r="J178" s="975"/>
      <c r="K178" s="976"/>
      <c r="L178" s="977"/>
    </row>
    <row r="179" spans="1:12" ht="19.5" customHeight="1">
      <c r="A179" s="959">
        <v>171</v>
      </c>
      <c r="B179" s="970"/>
      <c r="C179" s="559">
        <v>71</v>
      </c>
      <c r="D179" s="1130" t="s">
        <v>952</v>
      </c>
      <c r="E179" s="971">
        <f>F179+G179+L180+K181</f>
        <v>0</v>
      </c>
      <c r="F179" s="972"/>
      <c r="G179" s="973"/>
      <c r="H179" s="974"/>
      <c r="I179" s="558"/>
      <c r="J179" s="975"/>
      <c r="K179" s="976"/>
      <c r="L179" s="977"/>
    </row>
    <row r="180" spans="1:12" ht="18" customHeight="1">
      <c r="A180" s="959">
        <v>172</v>
      </c>
      <c r="B180" s="970"/>
      <c r="C180" s="559"/>
      <c r="D180" s="1040" t="s">
        <v>198</v>
      </c>
      <c r="E180" s="979"/>
      <c r="F180" s="980"/>
      <c r="G180" s="981"/>
      <c r="H180" s="982"/>
      <c r="I180" s="983"/>
      <c r="J180" s="984">
        <v>3500</v>
      </c>
      <c r="K180" s="985">
        <f>SUM(I180:J180)</f>
        <v>3500</v>
      </c>
      <c r="L180" s="977"/>
    </row>
    <row r="181" spans="1:12" ht="18" customHeight="1">
      <c r="A181" s="959">
        <v>173</v>
      </c>
      <c r="B181" s="970"/>
      <c r="C181" s="559"/>
      <c r="D181" s="1065" t="s">
        <v>765</v>
      </c>
      <c r="E181" s="979"/>
      <c r="F181" s="980"/>
      <c r="G181" s="981"/>
      <c r="H181" s="982"/>
      <c r="I181" s="987"/>
      <c r="J181" s="988">
        <v>0</v>
      </c>
      <c r="K181" s="560">
        <f>SUM(I181:J181)</f>
        <v>0</v>
      </c>
      <c r="L181" s="977"/>
    </row>
    <row r="182" spans="1:12" ht="18" customHeight="1">
      <c r="A182" s="959">
        <v>174</v>
      </c>
      <c r="B182" s="970"/>
      <c r="C182" s="559"/>
      <c r="D182" s="989" t="s">
        <v>1021</v>
      </c>
      <c r="E182" s="990"/>
      <c r="F182" s="991"/>
      <c r="G182" s="992"/>
      <c r="H182" s="993"/>
      <c r="I182" s="994"/>
      <c r="J182" s="561"/>
      <c r="K182" s="562">
        <f>SUM(E182:J182)</f>
        <v>0</v>
      </c>
      <c r="L182" s="977"/>
    </row>
    <row r="183" spans="1:12" ht="19.5" customHeight="1">
      <c r="A183" s="959">
        <v>175</v>
      </c>
      <c r="B183" s="970"/>
      <c r="C183" s="559">
        <v>75</v>
      </c>
      <c r="D183" s="1130" t="s">
        <v>953</v>
      </c>
      <c r="E183" s="971">
        <f>F183+G183+L184+K185</f>
        <v>0</v>
      </c>
      <c r="F183" s="996"/>
      <c r="G183" s="997"/>
      <c r="H183" s="998"/>
      <c r="I183" s="987"/>
      <c r="J183" s="988"/>
      <c r="K183" s="563"/>
      <c r="L183" s="977"/>
    </row>
    <row r="184" spans="1:12" ht="19.5" customHeight="1">
      <c r="A184" s="959">
        <v>176</v>
      </c>
      <c r="B184" s="970"/>
      <c r="C184" s="559"/>
      <c r="D184" s="1065" t="s">
        <v>765</v>
      </c>
      <c r="E184" s="971"/>
      <c r="F184" s="996"/>
      <c r="G184" s="997"/>
      <c r="H184" s="998"/>
      <c r="I184" s="987"/>
      <c r="J184" s="988">
        <v>3500</v>
      </c>
      <c r="K184" s="560">
        <f>SUM(I184:J184)</f>
        <v>3500</v>
      </c>
      <c r="L184" s="977"/>
    </row>
    <row r="185" spans="1:12" ht="18" customHeight="1">
      <c r="A185" s="959">
        <v>177</v>
      </c>
      <c r="B185" s="970"/>
      <c r="C185" s="559"/>
      <c r="D185" s="989" t="s">
        <v>1021</v>
      </c>
      <c r="E185" s="995"/>
      <c r="F185" s="996"/>
      <c r="G185" s="997"/>
      <c r="H185" s="998"/>
      <c r="I185" s="987"/>
      <c r="J185" s="561"/>
      <c r="K185" s="562">
        <f>SUM(E185:J185)</f>
        <v>0</v>
      </c>
      <c r="L185" s="977"/>
    </row>
    <row r="186" spans="1:12" ht="22.5" customHeight="1">
      <c r="A186" s="959">
        <v>178</v>
      </c>
      <c r="B186" s="970"/>
      <c r="C186" s="559"/>
      <c r="D186" s="1135" t="s">
        <v>954</v>
      </c>
      <c r="E186" s="971"/>
      <c r="F186" s="972"/>
      <c r="G186" s="973"/>
      <c r="H186" s="974" t="s">
        <v>80</v>
      </c>
      <c r="I186" s="558"/>
      <c r="J186" s="975"/>
      <c r="K186" s="976"/>
      <c r="L186" s="977"/>
    </row>
    <row r="187" spans="1:12" ht="22.5" customHeight="1">
      <c r="A187" s="959">
        <v>179</v>
      </c>
      <c r="B187" s="970"/>
      <c r="C187" s="559"/>
      <c r="D187" s="1133" t="s">
        <v>955</v>
      </c>
      <c r="E187" s="971"/>
      <c r="F187" s="972"/>
      <c r="G187" s="973"/>
      <c r="H187" s="974"/>
      <c r="I187" s="558"/>
      <c r="J187" s="975"/>
      <c r="K187" s="976"/>
      <c r="L187" s="977"/>
    </row>
    <row r="188" spans="1:12" ht="33.75" customHeight="1">
      <c r="A188" s="959">
        <v>180</v>
      </c>
      <c r="B188" s="970"/>
      <c r="C188" s="556">
        <v>44</v>
      </c>
      <c r="D188" s="1130" t="s">
        <v>956</v>
      </c>
      <c r="E188" s="971">
        <f>F188+G188+L189+K190</f>
        <v>3800</v>
      </c>
      <c r="F188" s="972"/>
      <c r="G188" s="973"/>
      <c r="H188" s="974"/>
      <c r="I188" s="558"/>
      <c r="J188" s="975"/>
      <c r="K188" s="976"/>
      <c r="L188" s="977"/>
    </row>
    <row r="189" spans="1:12" ht="18" customHeight="1">
      <c r="A189" s="959">
        <v>181</v>
      </c>
      <c r="B189" s="970"/>
      <c r="C189" s="559"/>
      <c r="D189" s="1040" t="s">
        <v>198</v>
      </c>
      <c r="E189" s="979"/>
      <c r="F189" s="980"/>
      <c r="G189" s="981"/>
      <c r="H189" s="982"/>
      <c r="I189" s="983"/>
      <c r="J189" s="984">
        <v>3800</v>
      </c>
      <c r="K189" s="985">
        <f>SUM(I189:J189)</f>
        <v>3800</v>
      </c>
      <c r="L189" s="977"/>
    </row>
    <row r="190" spans="1:12" ht="18" customHeight="1">
      <c r="A190" s="959">
        <v>182</v>
      </c>
      <c r="B190" s="970"/>
      <c r="C190" s="559"/>
      <c r="D190" s="1065" t="s">
        <v>765</v>
      </c>
      <c r="E190" s="979"/>
      <c r="F190" s="980"/>
      <c r="G190" s="981"/>
      <c r="H190" s="982"/>
      <c r="I190" s="987"/>
      <c r="J190" s="988">
        <v>3800</v>
      </c>
      <c r="K190" s="560">
        <f>SUM(I190:J190)</f>
        <v>3800</v>
      </c>
      <c r="L190" s="977"/>
    </row>
    <row r="191" spans="1:12" ht="18" customHeight="1">
      <c r="A191" s="959">
        <v>183</v>
      </c>
      <c r="B191" s="970"/>
      <c r="C191" s="559"/>
      <c r="D191" s="989" t="s">
        <v>1022</v>
      </c>
      <c r="E191" s="990"/>
      <c r="F191" s="991"/>
      <c r="G191" s="992"/>
      <c r="H191" s="993"/>
      <c r="I191" s="994"/>
      <c r="J191" s="561">
        <v>3700</v>
      </c>
      <c r="K191" s="562">
        <f>SUM(E191:J191)</f>
        <v>3700</v>
      </c>
      <c r="L191" s="977"/>
    </row>
    <row r="192" spans="1:12" ht="35.25" customHeight="1">
      <c r="A192" s="959">
        <v>184</v>
      </c>
      <c r="B192" s="970"/>
      <c r="C192" s="556">
        <v>72</v>
      </c>
      <c r="D192" s="1130" t="s">
        <v>957</v>
      </c>
      <c r="E192" s="971">
        <f>F192+G192+L193+K194</f>
        <v>6000</v>
      </c>
      <c r="F192" s="972"/>
      <c r="G192" s="973"/>
      <c r="H192" s="974"/>
      <c r="I192" s="558"/>
      <c r="J192" s="975"/>
      <c r="K192" s="976"/>
      <c r="L192" s="977"/>
    </row>
    <row r="193" spans="1:12" ht="18" customHeight="1">
      <c r="A193" s="959">
        <v>185</v>
      </c>
      <c r="B193" s="970"/>
      <c r="C193" s="559"/>
      <c r="D193" s="1040" t="s">
        <v>198</v>
      </c>
      <c r="E193" s="979"/>
      <c r="F193" s="980"/>
      <c r="G193" s="981"/>
      <c r="H193" s="982"/>
      <c r="I193" s="983"/>
      <c r="J193" s="984">
        <v>6000</v>
      </c>
      <c r="K193" s="985">
        <f>SUM(I193:J193)</f>
        <v>6000</v>
      </c>
      <c r="L193" s="977"/>
    </row>
    <row r="194" spans="1:12" ht="18" customHeight="1">
      <c r="A194" s="959">
        <v>186</v>
      </c>
      <c r="B194" s="970"/>
      <c r="C194" s="559"/>
      <c r="D194" s="1065" t="s">
        <v>765</v>
      </c>
      <c r="E194" s="979"/>
      <c r="F194" s="980"/>
      <c r="G194" s="981"/>
      <c r="H194" s="982"/>
      <c r="I194" s="987"/>
      <c r="J194" s="988">
        <v>6000</v>
      </c>
      <c r="K194" s="560">
        <f>SUM(I194:J194)</f>
        <v>6000</v>
      </c>
      <c r="L194" s="977"/>
    </row>
    <row r="195" spans="1:12" ht="18" customHeight="1">
      <c r="A195" s="959">
        <v>187</v>
      </c>
      <c r="B195" s="970"/>
      <c r="C195" s="559"/>
      <c r="D195" s="989" t="s">
        <v>1022</v>
      </c>
      <c r="E195" s="990"/>
      <c r="F195" s="991"/>
      <c r="G195" s="992"/>
      <c r="H195" s="993"/>
      <c r="I195" s="994"/>
      <c r="J195" s="561">
        <v>5940</v>
      </c>
      <c r="K195" s="562">
        <f>SUM(E195:J195)</f>
        <v>5940</v>
      </c>
      <c r="L195" s="977"/>
    </row>
    <row r="196" spans="1:12" ht="32.25" customHeight="1">
      <c r="A196" s="959">
        <v>188</v>
      </c>
      <c r="B196" s="970"/>
      <c r="C196" s="556">
        <v>73</v>
      </c>
      <c r="D196" s="1130" t="s">
        <v>958</v>
      </c>
      <c r="E196" s="971">
        <f>F196+G196+L197+K198</f>
        <v>1500</v>
      </c>
      <c r="F196" s="972"/>
      <c r="G196" s="973"/>
      <c r="H196" s="974"/>
      <c r="I196" s="558"/>
      <c r="J196" s="975"/>
      <c r="K196" s="976"/>
      <c r="L196" s="977"/>
    </row>
    <row r="197" spans="1:12" ht="18" customHeight="1">
      <c r="A197" s="959">
        <v>189</v>
      </c>
      <c r="B197" s="1057"/>
      <c r="C197" s="566"/>
      <c r="D197" s="1040" t="s">
        <v>198</v>
      </c>
      <c r="E197" s="979"/>
      <c r="F197" s="980"/>
      <c r="G197" s="981"/>
      <c r="H197" s="982"/>
      <c r="I197" s="983"/>
      <c r="J197" s="984">
        <v>1500</v>
      </c>
      <c r="K197" s="985">
        <f>SUM(I197:J197)</f>
        <v>1500</v>
      </c>
      <c r="L197" s="1137"/>
    </row>
    <row r="198" spans="1:12" ht="18" customHeight="1">
      <c r="A198" s="959">
        <v>190</v>
      </c>
      <c r="B198" s="1138"/>
      <c r="C198" s="566"/>
      <c r="D198" s="1065" t="s">
        <v>765</v>
      </c>
      <c r="E198" s="979"/>
      <c r="F198" s="980"/>
      <c r="G198" s="981"/>
      <c r="H198" s="982"/>
      <c r="I198" s="987"/>
      <c r="J198" s="988">
        <v>1500</v>
      </c>
      <c r="K198" s="560">
        <f>SUM(I198:J198)</f>
        <v>1500</v>
      </c>
      <c r="L198" s="1137"/>
    </row>
    <row r="199" spans="1:12" ht="18" customHeight="1">
      <c r="A199" s="959">
        <v>191</v>
      </c>
      <c r="B199" s="1037"/>
      <c r="C199" s="559"/>
      <c r="D199" s="989" t="s">
        <v>1022</v>
      </c>
      <c r="E199" s="990"/>
      <c r="F199" s="991"/>
      <c r="G199" s="992"/>
      <c r="H199" s="993"/>
      <c r="I199" s="994"/>
      <c r="J199" s="561">
        <v>1488</v>
      </c>
      <c r="K199" s="562">
        <f>SUM(E199:J199)</f>
        <v>1488</v>
      </c>
      <c r="L199" s="977"/>
    </row>
    <row r="200" spans="1:12" ht="19.5" customHeight="1">
      <c r="A200" s="959">
        <v>192</v>
      </c>
      <c r="B200" s="1057"/>
      <c r="C200" s="566">
        <v>74</v>
      </c>
      <c r="D200" s="1139" t="s">
        <v>959</v>
      </c>
      <c r="E200" s="1072">
        <f>F200+G200+K201</f>
        <v>0</v>
      </c>
      <c r="F200" s="1073"/>
      <c r="G200" s="1140"/>
      <c r="H200" s="1141" t="s">
        <v>80</v>
      </c>
      <c r="I200" s="1142"/>
      <c r="J200" s="1143"/>
      <c r="K200" s="569"/>
      <c r="L200" s="1058"/>
    </row>
    <row r="201" spans="1:12" ht="19.5" customHeight="1">
      <c r="A201" s="959">
        <v>193</v>
      </c>
      <c r="B201" s="1057"/>
      <c r="C201" s="566"/>
      <c r="D201" s="1065" t="s">
        <v>765</v>
      </c>
      <c r="E201" s="1072"/>
      <c r="F201" s="1073"/>
      <c r="G201" s="1140"/>
      <c r="H201" s="1141"/>
      <c r="I201" s="1142"/>
      <c r="J201" s="1143">
        <v>0</v>
      </c>
      <c r="K201" s="560">
        <f>SUM(I201:J201)</f>
        <v>0</v>
      </c>
      <c r="L201" s="1058"/>
    </row>
    <row r="202" spans="1:12" ht="18" customHeight="1">
      <c r="A202" s="959">
        <v>194</v>
      </c>
      <c r="B202" s="970"/>
      <c r="C202" s="559"/>
      <c r="D202" s="576" t="s">
        <v>1021</v>
      </c>
      <c r="E202" s="971"/>
      <c r="F202" s="972"/>
      <c r="G202" s="973"/>
      <c r="H202" s="974"/>
      <c r="I202" s="975"/>
      <c r="J202" s="561"/>
      <c r="K202" s="562">
        <f>SUM(E202:J202)</f>
        <v>0</v>
      </c>
      <c r="L202" s="1002"/>
    </row>
    <row r="203" spans="1:12" ht="22.5" customHeight="1">
      <c r="A203" s="959">
        <v>195</v>
      </c>
      <c r="B203" s="1037"/>
      <c r="C203" s="559">
        <v>76</v>
      </c>
      <c r="D203" s="1139" t="s">
        <v>960</v>
      </c>
      <c r="E203" s="1072">
        <f>F203+G203+K204</f>
        <v>0</v>
      </c>
      <c r="F203" s="972"/>
      <c r="G203" s="1038"/>
      <c r="H203" s="974" t="s">
        <v>80</v>
      </c>
      <c r="I203" s="558"/>
      <c r="J203" s="988"/>
      <c r="K203" s="563"/>
      <c r="L203" s="977"/>
    </row>
    <row r="204" spans="1:12" ht="18" customHeight="1">
      <c r="A204" s="959">
        <v>196</v>
      </c>
      <c r="B204" s="1037"/>
      <c r="C204" s="559"/>
      <c r="D204" s="1065" t="s">
        <v>765</v>
      </c>
      <c r="E204" s="1072"/>
      <c r="F204" s="972"/>
      <c r="G204" s="1038"/>
      <c r="H204" s="974"/>
      <c r="I204" s="558"/>
      <c r="J204" s="988">
        <v>0</v>
      </c>
      <c r="K204" s="560">
        <f>SUM(I204:J204)</f>
        <v>0</v>
      </c>
      <c r="L204" s="977"/>
    </row>
    <row r="205" spans="1:12" ht="18" customHeight="1">
      <c r="A205" s="959">
        <v>197</v>
      </c>
      <c r="B205" s="1037"/>
      <c r="C205" s="559"/>
      <c r="D205" s="576" t="s">
        <v>1021</v>
      </c>
      <c r="E205" s="971"/>
      <c r="F205" s="972"/>
      <c r="G205" s="1038"/>
      <c r="H205" s="974"/>
      <c r="I205" s="558"/>
      <c r="J205" s="561"/>
      <c r="K205" s="562">
        <f>SUM(E205:J205)</f>
        <v>0</v>
      </c>
      <c r="L205" s="977"/>
    </row>
    <row r="206" spans="1:12" ht="22.5" customHeight="1">
      <c r="A206" s="959">
        <v>198</v>
      </c>
      <c r="B206" s="1037"/>
      <c r="C206" s="559">
        <v>77</v>
      </c>
      <c r="D206" s="1139" t="s">
        <v>961</v>
      </c>
      <c r="E206" s="1072">
        <f>F206+G206+K207</f>
        <v>800</v>
      </c>
      <c r="F206" s="972"/>
      <c r="G206" s="1038"/>
      <c r="H206" s="974" t="s">
        <v>80</v>
      </c>
      <c r="I206" s="558"/>
      <c r="J206" s="988"/>
      <c r="K206" s="563"/>
      <c r="L206" s="977"/>
    </row>
    <row r="207" spans="1:12" ht="18" customHeight="1">
      <c r="A207" s="959">
        <v>199</v>
      </c>
      <c r="B207" s="1037"/>
      <c r="C207" s="559"/>
      <c r="D207" s="1065" t="s">
        <v>765</v>
      </c>
      <c r="E207" s="1072"/>
      <c r="F207" s="972"/>
      <c r="G207" s="1038"/>
      <c r="H207" s="974"/>
      <c r="I207" s="558"/>
      <c r="J207" s="988">
        <v>800</v>
      </c>
      <c r="K207" s="560">
        <f>SUM(I207:J207)</f>
        <v>800</v>
      </c>
      <c r="L207" s="977"/>
    </row>
    <row r="208" spans="1:12" ht="18" customHeight="1">
      <c r="A208" s="959">
        <v>200</v>
      </c>
      <c r="B208" s="1037"/>
      <c r="C208" s="559"/>
      <c r="D208" s="576" t="s">
        <v>1022</v>
      </c>
      <c r="E208" s="971"/>
      <c r="F208" s="972"/>
      <c r="G208" s="1038"/>
      <c r="H208" s="974"/>
      <c r="I208" s="558"/>
      <c r="J208" s="561">
        <v>794</v>
      </c>
      <c r="K208" s="562">
        <f>SUM(E208:J208)</f>
        <v>794</v>
      </c>
      <c r="L208" s="977"/>
    </row>
    <row r="209" spans="1:12" ht="22.5" customHeight="1">
      <c r="A209" s="959">
        <v>201</v>
      </c>
      <c r="B209" s="1046"/>
      <c r="C209" s="567">
        <v>78</v>
      </c>
      <c r="D209" s="1041" t="s">
        <v>962</v>
      </c>
      <c r="E209" s="1072">
        <f>F209+G209+K210</f>
        <v>270000</v>
      </c>
      <c r="F209" s="1055"/>
      <c r="G209" s="1050"/>
      <c r="H209" s="1051" t="s">
        <v>80</v>
      </c>
      <c r="I209" s="1052"/>
      <c r="J209" s="1063"/>
      <c r="K209" s="571"/>
      <c r="L209" s="977"/>
    </row>
    <row r="210" spans="1:12" ht="18" customHeight="1">
      <c r="A210" s="959">
        <v>202</v>
      </c>
      <c r="B210" s="1046"/>
      <c r="C210" s="567"/>
      <c r="D210" s="1065" t="s">
        <v>765</v>
      </c>
      <c r="E210" s="971"/>
      <c r="F210" s="1055"/>
      <c r="G210" s="1050"/>
      <c r="H210" s="1051"/>
      <c r="I210" s="1052"/>
      <c r="J210" s="1063">
        <v>270000</v>
      </c>
      <c r="K210" s="560">
        <f>SUM(I210:J210)</f>
        <v>270000</v>
      </c>
      <c r="L210" s="977"/>
    </row>
    <row r="211" spans="1:12" ht="18" customHeight="1">
      <c r="A211" s="959">
        <v>203</v>
      </c>
      <c r="B211" s="1046"/>
      <c r="C211" s="567"/>
      <c r="D211" s="989" t="s">
        <v>1021</v>
      </c>
      <c r="E211" s="1066"/>
      <c r="F211" s="1055"/>
      <c r="G211" s="1050"/>
      <c r="H211" s="1051"/>
      <c r="I211" s="1052"/>
      <c r="J211" s="1064">
        <v>7430</v>
      </c>
      <c r="K211" s="562">
        <f>SUM(E211:J211)</f>
        <v>7430</v>
      </c>
      <c r="L211" s="977"/>
    </row>
    <row r="212" spans="1:12" ht="22.5" customHeight="1">
      <c r="A212" s="959">
        <v>204</v>
      </c>
      <c r="B212" s="1046"/>
      <c r="C212" s="567">
        <v>79</v>
      </c>
      <c r="D212" s="1144" t="s">
        <v>963</v>
      </c>
      <c r="E212" s="1072">
        <f>F212+G212+K213</f>
        <v>3500</v>
      </c>
      <c r="F212" s="1055"/>
      <c r="G212" s="1050"/>
      <c r="H212" s="1051" t="s">
        <v>80</v>
      </c>
      <c r="I212" s="1052"/>
      <c r="J212" s="1063"/>
      <c r="K212" s="563"/>
      <c r="L212" s="977"/>
    </row>
    <row r="213" spans="1:12" ht="18" customHeight="1">
      <c r="A213" s="959">
        <v>205</v>
      </c>
      <c r="B213" s="1046"/>
      <c r="C213" s="567"/>
      <c r="D213" s="1065" t="s">
        <v>765</v>
      </c>
      <c r="E213" s="1062"/>
      <c r="F213" s="1055"/>
      <c r="G213" s="1050"/>
      <c r="H213" s="1051"/>
      <c r="I213" s="1052"/>
      <c r="J213" s="1063">
        <v>3500</v>
      </c>
      <c r="K213" s="560">
        <f>SUM(I213:J213)</f>
        <v>3500</v>
      </c>
      <c r="L213" s="977"/>
    </row>
    <row r="214" spans="1:12" ht="18" customHeight="1">
      <c r="A214" s="959">
        <v>206</v>
      </c>
      <c r="B214" s="1046"/>
      <c r="C214" s="567"/>
      <c r="D214" s="989" t="s">
        <v>1021</v>
      </c>
      <c r="E214" s="1062"/>
      <c r="F214" s="1055"/>
      <c r="G214" s="1050"/>
      <c r="H214" s="1051"/>
      <c r="I214" s="1052"/>
      <c r="J214" s="1064"/>
      <c r="K214" s="562">
        <f>SUM(E214:J214)</f>
        <v>0</v>
      </c>
      <c r="L214" s="977"/>
    </row>
    <row r="215" spans="1:12" ht="22.5" customHeight="1">
      <c r="A215" s="959">
        <v>207</v>
      </c>
      <c r="B215" s="1046"/>
      <c r="C215" s="567">
        <v>80</v>
      </c>
      <c r="D215" s="1061" t="s">
        <v>964</v>
      </c>
      <c r="E215" s="1072">
        <f>F215+G215+K216</f>
        <v>0</v>
      </c>
      <c r="F215" s="972"/>
      <c r="G215" s="1050"/>
      <c r="H215" s="1051" t="s">
        <v>80</v>
      </c>
      <c r="I215" s="1145"/>
      <c r="J215" s="1063"/>
      <c r="K215" s="572"/>
      <c r="L215" s="1146"/>
    </row>
    <row r="216" spans="1:12" ht="18" customHeight="1">
      <c r="A216" s="959">
        <v>208</v>
      </c>
      <c r="B216" s="1046"/>
      <c r="C216" s="567"/>
      <c r="D216" s="1065" t="s">
        <v>765</v>
      </c>
      <c r="E216" s="1052"/>
      <c r="F216" s="1055"/>
      <c r="G216" s="1050"/>
      <c r="H216" s="1051"/>
      <c r="I216" s="1145"/>
      <c r="J216" s="1063">
        <v>0</v>
      </c>
      <c r="K216" s="560">
        <f>SUM(I216:J216)</f>
        <v>0</v>
      </c>
      <c r="L216" s="1146"/>
    </row>
    <row r="217" spans="1:12" ht="18" customHeight="1" thickBot="1">
      <c r="A217" s="959">
        <v>209</v>
      </c>
      <c r="B217" s="1046"/>
      <c r="C217" s="567"/>
      <c r="D217" s="989" t="s">
        <v>1021</v>
      </c>
      <c r="E217" s="1052"/>
      <c r="F217" s="1055"/>
      <c r="G217" s="1050"/>
      <c r="H217" s="1051"/>
      <c r="I217" s="1145"/>
      <c r="J217" s="1064"/>
      <c r="K217" s="562">
        <f>SUM(E217:J217)</f>
        <v>0</v>
      </c>
      <c r="L217" s="1146"/>
    </row>
    <row r="218" spans="1:12" ht="24.75" customHeight="1" thickTop="1">
      <c r="A218" s="959">
        <v>210</v>
      </c>
      <c r="B218" s="1075"/>
      <c r="C218" s="1076"/>
      <c r="D218" s="1965" t="s">
        <v>221</v>
      </c>
      <c r="E218" s="1965"/>
      <c r="F218" s="1965"/>
      <c r="G218" s="1965"/>
      <c r="H218" s="1077"/>
      <c r="I218" s="1147"/>
      <c r="J218" s="1148"/>
      <c r="K218" s="1079"/>
      <c r="L218" s="1149"/>
    </row>
    <row r="219" spans="1:12" ht="19.5" customHeight="1">
      <c r="A219" s="959">
        <v>211</v>
      </c>
      <c r="B219" s="1093"/>
      <c r="C219" s="1082"/>
      <c r="D219" s="1040" t="s">
        <v>198</v>
      </c>
      <c r="E219" s="979"/>
      <c r="F219" s="980"/>
      <c r="G219" s="981"/>
      <c r="H219" s="982"/>
      <c r="I219" s="983">
        <f>I197+I193+I189+I180+I175+I171+I165+I161+I156+I152+I147+I142+I137+I133+I129+I125+I120+I115+I111+I107+I102+I98+I94+I87+I82+I77+I71+I67+I63+I59+I55+I51+I47+I43+I39+I35+I31+I27+I23+I19+I15+I11</f>
        <v>0</v>
      </c>
      <c r="J219" s="984">
        <f>J197+J193+J189+J180+J175+J171+J165+J161+J156+J152+J147+J142+J137+J133+J129+J125+J120+J115+J111+J107+J102+J98+J94+J87+J82+J77+J71+J67+J63+J59+J55+J51+J47+J43+J39+J35+J31+J27+J23+J19+J15+J11</f>
        <v>884831</v>
      </c>
      <c r="K219" s="985">
        <f>SUM(I219:J219)</f>
        <v>884831</v>
      </c>
      <c r="L219" s="1083"/>
    </row>
    <row r="220" spans="1:12" ht="19.5" customHeight="1">
      <c r="A220" s="959">
        <v>212</v>
      </c>
      <c r="B220" s="1093"/>
      <c r="C220" s="1082"/>
      <c r="D220" s="1065" t="s">
        <v>765</v>
      </c>
      <c r="E220" s="979"/>
      <c r="F220" s="980"/>
      <c r="G220" s="981"/>
      <c r="H220" s="982"/>
      <c r="I220" s="987">
        <f>I198+I194+I190+I181+I176+I172+I166+I162+I157+I153+I148+I143+I138+I134+I130+I126+I121+I116+I112+I108+I103+I99+I95+I88+I83+I78+I72+I68+I64+I60+I56+I52+I48+I44+I40+I36+I32+I28+I24+I20+I16+I12+I201+I213+I210+I207+I204+I184+I216</f>
        <v>0</v>
      </c>
      <c r="J220" s="987">
        <f>J198+J194+J190+J181+J176+J172+J166+J162+J157+J153+J148+J143+J138+J134+J130+J126+J121+J116+J112+J108+J103+J99+J95+J88+J83+J78+J72+J68+J64+J60+J56+J52+J48+J44+J40+J36+J32+J28+J24+J20+J16+J12+J201+J213+J210+J207+J204+J184+J216</f>
        <v>1165545</v>
      </c>
      <c r="K220" s="560">
        <f>SUM(I220:J220)</f>
        <v>1165545</v>
      </c>
      <c r="L220" s="574"/>
    </row>
    <row r="221" spans="1:12" ht="19.5" customHeight="1" thickBot="1">
      <c r="A221" s="959">
        <v>213</v>
      </c>
      <c r="B221" s="1150"/>
      <c r="C221" s="1084"/>
      <c r="D221" s="1323" t="s">
        <v>1022</v>
      </c>
      <c r="E221" s="1324"/>
      <c r="F221" s="1325"/>
      <c r="G221" s="1326"/>
      <c r="H221" s="1327"/>
      <c r="I221" s="1328">
        <f>I199+I195+I191+I182+I177+I173+I167+I163+I158+I154+I149+I144+I139+I135+I131+I127+I122+I117+I113+I109+I104+I100+I96+I89+I84+I79+I73+I69+I65+I61+I57+I53+I49+I45+I41+I37+I33+I29+I25+I21+I17+I13+I202+I185+I208+I205+I214+I211+I217</f>
        <v>0</v>
      </c>
      <c r="J221" s="1328">
        <f>J199+J195+J191+J182+J177+J173+J167+J163+J158+J154+J149+J144+J139+J135+J131+J127+J122+J117+J113+J109+J104+J100+J96+J89+J84+J79+J73+J69+J65+J61+J57+J53+J49+J45+J41+J37+J33+J29+J25+J21+J17+J13+J202+J185+J208+J205+J214+J211+J217</f>
        <v>510639</v>
      </c>
      <c r="K221" s="1329">
        <f>SUM(E221:J221)</f>
        <v>510639</v>
      </c>
      <c r="L221" s="1085"/>
    </row>
    <row r="222" spans="1:12" ht="19.5" customHeight="1" thickTop="1">
      <c r="A222" s="959">
        <v>214</v>
      </c>
      <c r="B222" s="1151"/>
      <c r="C222" s="1152"/>
      <c r="D222" s="1153" t="s">
        <v>644</v>
      </c>
      <c r="E222" s="1154"/>
      <c r="F222" s="1154"/>
      <c r="G222" s="1155"/>
      <c r="H222" s="1156"/>
      <c r="I222" s="1157"/>
      <c r="J222" s="1157"/>
      <c r="K222" s="1158"/>
      <c r="L222" s="1159"/>
    </row>
    <row r="223" spans="1:12" ht="18" customHeight="1">
      <c r="A223" s="959">
        <v>215</v>
      </c>
      <c r="B223" s="1093"/>
      <c r="C223" s="1082"/>
      <c r="D223" s="473" t="s">
        <v>198</v>
      </c>
      <c r="E223" s="1160"/>
      <c r="F223" s="1160"/>
      <c r="G223" s="1161"/>
      <c r="H223" s="1162"/>
      <c r="I223" s="1112">
        <f>I197+I193+I189+I180+I171+I165+I161+I156+I152+I147+I142+I137+I133+I129+I125+I120+I115+I111+I107+I102+I98+I94+I87+I82+I77+I71+I55+I35+I27+I23+I19+I15</f>
        <v>0</v>
      </c>
      <c r="J223" s="1112">
        <f>J197+J193+J189+J180+J171+J165+J161+J156+J152+J147+J142+J137+J133+J129+J125+J120+J115+J111+J107+J102+J98+J94+J87+J82+J77+J71+J55+J35+J27+J23+J19+J15+J175</f>
        <v>416078</v>
      </c>
      <c r="K223" s="1101">
        <f>SUM(I223:J223)</f>
        <v>416078</v>
      </c>
      <c r="L223" s="574"/>
    </row>
    <row r="224" spans="1:12" ht="18" customHeight="1">
      <c r="A224" s="959">
        <v>216</v>
      </c>
      <c r="B224" s="1093"/>
      <c r="C224" s="1082"/>
      <c r="D224" s="163" t="s">
        <v>765</v>
      </c>
      <c r="E224" s="1160"/>
      <c r="F224" s="1160"/>
      <c r="G224" s="1161"/>
      <c r="H224" s="1162"/>
      <c r="I224" s="1111">
        <f>I198+I194+I190+I181+I172+I166+I162+I157+I153+I148+I143+I138+I134+I130+I126+I121+I116+I112+I108+I103+I99+I95+I88+I83+I78+I72+I56+I36+I28+I24+I20+I16+I201+I176+I213+I210+I207+I204+I184+I216</f>
        <v>0</v>
      </c>
      <c r="J224" s="1111">
        <f>J198+J194+J190+J181+J172+J166+J162+J157+J153+J148+J143+J138+J134+J130+J126+J121+J116+J112+J108+J103+J99+J95+J88+J83+J78+J72+J56+J36+J28+J24+J20+J16+J201+J176+J213+J210+J207+J204+J184+J216</f>
        <v>696678</v>
      </c>
      <c r="K224" s="1035">
        <f>SUM(I224:J224)</f>
        <v>696678</v>
      </c>
      <c r="L224" s="574"/>
    </row>
    <row r="225" spans="1:252" ht="18" customHeight="1">
      <c r="A225" s="959">
        <v>217</v>
      </c>
      <c r="B225" s="1093"/>
      <c r="C225" s="1082"/>
      <c r="D225" s="165" t="s">
        <v>1022</v>
      </c>
      <c r="E225" s="1163"/>
      <c r="F225" s="1163"/>
      <c r="G225" s="1164"/>
      <c r="H225" s="1165"/>
      <c r="I225" s="1113">
        <f>I199+I195+I191+I182+I177+I173+I167+I163+I158+I154+I149+I144+I139+I135+I127+I131+I122+I117+I113+I109+I104+I100+I96+I89+I84+I79+I73+I57+I37+I29+I25+I21+I17+I202+I185+I208+I205+I214+I211+I217</f>
        <v>0</v>
      </c>
      <c r="J225" s="1113">
        <f>J199+J195+J191+J182+J177+J173+J167+J163+J158+J154+J149+J144+J139+J135+J127+J131+J122+J117+J113+J109+J104+J100+J96+J89+J84+J79+J73+J57+J37+J29+J25+J21+J17+J202+J185+J208+J205+J214+J211+J217</f>
        <v>286770</v>
      </c>
      <c r="K225" s="1022">
        <f>SUM(E225:J225)</f>
        <v>286770</v>
      </c>
      <c r="L225" s="574"/>
    </row>
    <row r="226" spans="1:252" ht="19.5" customHeight="1">
      <c r="A226" s="959">
        <v>218</v>
      </c>
      <c r="B226" s="1093"/>
      <c r="C226" s="1082"/>
      <c r="D226" s="528" t="s">
        <v>645</v>
      </c>
      <c r="E226" s="529"/>
      <c r="F226" s="529"/>
      <c r="G226" s="530"/>
      <c r="H226" s="1165"/>
      <c r="I226" s="1113"/>
      <c r="J226" s="1113"/>
      <c r="K226" s="1035"/>
      <c r="L226" s="574"/>
    </row>
    <row r="227" spans="1:252" ht="18" customHeight="1">
      <c r="A227" s="959">
        <v>219</v>
      </c>
      <c r="B227" s="1093"/>
      <c r="C227" s="1082"/>
      <c r="D227" s="515" t="s">
        <v>198</v>
      </c>
      <c r="E227" s="1166"/>
      <c r="F227" s="1166"/>
      <c r="G227" s="1167"/>
      <c r="H227" s="1162"/>
      <c r="I227" s="1112">
        <f t="shared" ref="I227:J229" si="0">I67+I63+I59+I51+I47+I43+I39+I31+I11</f>
        <v>0</v>
      </c>
      <c r="J227" s="1112">
        <f t="shared" si="0"/>
        <v>468753</v>
      </c>
      <c r="K227" s="1101">
        <f>SUM(I227:J227)</f>
        <v>468753</v>
      </c>
      <c r="L227" s="574"/>
    </row>
    <row r="228" spans="1:252" ht="18" customHeight="1">
      <c r="A228" s="959">
        <v>220</v>
      </c>
      <c r="B228" s="1093"/>
      <c r="C228" s="1082"/>
      <c r="D228" s="163" t="s">
        <v>765</v>
      </c>
      <c r="E228" s="1166"/>
      <c r="F228" s="1166"/>
      <c r="G228" s="1167"/>
      <c r="H228" s="1162"/>
      <c r="I228" s="1111">
        <f t="shared" si="0"/>
        <v>0</v>
      </c>
      <c r="J228" s="1111">
        <f t="shared" si="0"/>
        <v>468867</v>
      </c>
      <c r="K228" s="1035">
        <f>SUM(I228:J228)</f>
        <v>468867</v>
      </c>
      <c r="L228" s="574"/>
    </row>
    <row r="229" spans="1:252" ht="18" customHeight="1" thickBot="1">
      <c r="A229" s="959">
        <v>221</v>
      </c>
      <c r="B229" s="1093"/>
      <c r="C229" s="1082"/>
      <c r="D229" s="451" t="s">
        <v>1022</v>
      </c>
      <c r="E229" s="1168"/>
      <c r="F229" s="1168"/>
      <c r="G229" s="1169"/>
      <c r="H229" s="1165"/>
      <c r="I229" s="1113">
        <f t="shared" si="0"/>
        <v>0</v>
      </c>
      <c r="J229" s="1113">
        <f t="shared" si="0"/>
        <v>223869</v>
      </c>
      <c r="K229" s="1022">
        <f>SUM(E229:J229)</f>
        <v>223869</v>
      </c>
      <c r="L229" s="574"/>
    </row>
    <row r="230" spans="1:252" ht="18" customHeight="1">
      <c r="A230" s="959"/>
      <c r="B230" s="1170" t="s">
        <v>288</v>
      </c>
      <c r="C230" s="1171"/>
      <c r="D230" s="1170"/>
      <c r="E230" s="1172"/>
      <c r="F230" s="1173"/>
      <c r="G230" s="1172"/>
      <c r="H230" s="1174"/>
      <c r="I230" s="1175"/>
      <c r="J230" s="1175"/>
      <c r="K230" s="1175"/>
      <c r="L230" s="1176"/>
    </row>
    <row r="231" spans="1:252" ht="18" customHeight="1">
      <c r="A231" s="959"/>
      <c r="B231" s="1120" t="s">
        <v>289</v>
      </c>
      <c r="C231" s="1121"/>
      <c r="D231" s="1120"/>
      <c r="E231" s="1126"/>
      <c r="F231" s="1123"/>
      <c r="G231" s="1122"/>
      <c r="H231" s="1124"/>
      <c r="I231" s="1122"/>
      <c r="J231" s="1122"/>
      <c r="K231" s="1122"/>
    </row>
    <row r="232" spans="1:252" ht="18" customHeight="1">
      <c r="A232" s="959"/>
      <c r="B232" s="1120" t="s">
        <v>290</v>
      </c>
      <c r="C232" s="1121"/>
      <c r="D232" s="1120"/>
      <c r="E232" s="1126"/>
      <c r="F232" s="1123"/>
      <c r="G232" s="1122"/>
      <c r="H232" s="1124"/>
      <c r="I232" s="1122"/>
      <c r="J232" s="1122"/>
      <c r="K232" s="1122"/>
    </row>
    <row r="233" spans="1:252" s="547" customFormat="1">
      <c r="A233" s="950"/>
      <c r="B233" s="951"/>
      <c r="C233" s="546"/>
      <c r="D233" s="952"/>
      <c r="H233" s="953"/>
      <c r="L233" s="1125"/>
      <c r="M233" s="548"/>
      <c r="N233" s="548"/>
      <c r="O233" s="548"/>
      <c r="P233" s="548"/>
      <c r="Q233" s="548"/>
      <c r="R233" s="548"/>
      <c r="S233" s="548"/>
      <c r="T233" s="548"/>
      <c r="U233" s="548"/>
      <c r="V233" s="548"/>
      <c r="W233" s="548"/>
      <c r="X233" s="548"/>
      <c r="Y233" s="548"/>
      <c r="Z233" s="548"/>
      <c r="AA233" s="548"/>
      <c r="AB233" s="548"/>
      <c r="AC233" s="548"/>
      <c r="AD233" s="548"/>
      <c r="AE233" s="548"/>
      <c r="AF233" s="548"/>
      <c r="AG233" s="548"/>
      <c r="AH233" s="548"/>
      <c r="AI233" s="548"/>
      <c r="AJ233" s="548"/>
      <c r="AK233" s="548"/>
      <c r="AL233" s="548"/>
      <c r="AM233" s="548"/>
      <c r="AN233" s="548"/>
      <c r="AO233" s="548"/>
      <c r="AP233" s="548"/>
      <c r="AQ233" s="548"/>
      <c r="AR233" s="548"/>
      <c r="AS233" s="548"/>
      <c r="AT233" s="548"/>
      <c r="AU233" s="548"/>
      <c r="AV233" s="548"/>
      <c r="AW233" s="548"/>
      <c r="AX233" s="548"/>
      <c r="AY233" s="548"/>
      <c r="AZ233" s="548"/>
      <c r="BA233" s="548"/>
      <c r="BB233" s="548"/>
      <c r="BC233" s="548"/>
      <c r="BD233" s="548"/>
      <c r="BE233" s="548"/>
      <c r="BF233" s="548"/>
      <c r="BG233" s="548"/>
      <c r="BH233" s="548"/>
      <c r="BI233" s="548"/>
      <c r="BJ233" s="548"/>
      <c r="BK233" s="548"/>
      <c r="BL233" s="548"/>
      <c r="BM233" s="548"/>
      <c r="BN233" s="548"/>
      <c r="BO233" s="548"/>
      <c r="BP233" s="548"/>
      <c r="BQ233" s="548"/>
      <c r="BR233" s="548"/>
      <c r="BS233" s="548"/>
      <c r="BT233" s="548"/>
      <c r="BU233" s="548"/>
      <c r="BV233" s="548"/>
      <c r="BW233" s="548"/>
      <c r="BX233" s="548"/>
      <c r="BY233" s="548"/>
      <c r="BZ233" s="548"/>
      <c r="CA233" s="548"/>
      <c r="CB233" s="548"/>
      <c r="CC233" s="548"/>
      <c r="CD233" s="548"/>
      <c r="CE233" s="548"/>
      <c r="CF233" s="548"/>
      <c r="CG233" s="548"/>
      <c r="CH233" s="548"/>
      <c r="CI233" s="548"/>
      <c r="CJ233" s="548"/>
      <c r="CK233" s="548"/>
      <c r="CL233" s="548"/>
      <c r="CM233" s="548"/>
      <c r="CN233" s="548"/>
      <c r="CO233" s="548"/>
      <c r="CP233" s="548"/>
      <c r="CQ233" s="548"/>
      <c r="CR233" s="548"/>
      <c r="CS233" s="548"/>
      <c r="CT233" s="548"/>
      <c r="CU233" s="548"/>
      <c r="CV233" s="548"/>
      <c r="CW233" s="548"/>
      <c r="CX233" s="548"/>
      <c r="CY233" s="548"/>
      <c r="CZ233" s="548"/>
      <c r="DA233" s="548"/>
      <c r="DB233" s="548"/>
      <c r="DC233" s="548"/>
      <c r="DD233" s="548"/>
      <c r="DE233" s="548"/>
      <c r="DF233" s="548"/>
      <c r="DG233" s="548"/>
      <c r="DH233" s="548"/>
      <c r="DI233" s="548"/>
      <c r="DJ233" s="548"/>
      <c r="DK233" s="548"/>
      <c r="DL233" s="548"/>
      <c r="DM233" s="548"/>
      <c r="DN233" s="548"/>
      <c r="DO233" s="548"/>
      <c r="DP233" s="548"/>
      <c r="DQ233" s="548"/>
      <c r="DR233" s="548"/>
      <c r="DS233" s="548"/>
      <c r="DT233" s="548"/>
      <c r="DU233" s="548"/>
      <c r="DV233" s="548"/>
      <c r="DW233" s="548"/>
      <c r="DX233" s="548"/>
      <c r="DY233" s="548"/>
      <c r="DZ233" s="548"/>
      <c r="EA233" s="548"/>
      <c r="EB233" s="548"/>
      <c r="EC233" s="548"/>
      <c r="ED233" s="548"/>
      <c r="EE233" s="548"/>
      <c r="EF233" s="548"/>
      <c r="EG233" s="548"/>
      <c r="EH233" s="548"/>
      <c r="EI233" s="548"/>
      <c r="EJ233" s="548"/>
      <c r="EK233" s="548"/>
      <c r="EL233" s="548"/>
      <c r="EM233" s="548"/>
      <c r="EN233" s="548"/>
      <c r="EO233" s="548"/>
      <c r="EP233" s="548"/>
      <c r="EQ233" s="548"/>
      <c r="ER233" s="548"/>
      <c r="ES233" s="548"/>
      <c r="ET233" s="548"/>
      <c r="EU233" s="548"/>
      <c r="EV233" s="548"/>
      <c r="EW233" s="548"/>
      <c r="EX233" s="548"/>
      <c r="EY233" s="548"/>
      <c r="EZ233" s="548"/>
      <c r="FA233" s="548"/>
      <c r="FB233" s="548"/>
      <c r="FC233" s="548"/>
      <c r="FD233" s="548"/>
      <c r="FE233" s="548"/>
      <c r="FF233" s="548"/>
      <c r="FG233" s="548"/>
      <c r="FH233" s="548"/>
      <c r="FI233" s="548"/>
      <c r="FJ233" s="548"/>
      <c r="FK233" s="548"/>
      <c r="FL233" s="548"/>
      <c r="FM233" s="548"/>
      <c r="FN233" s="548"/>
      <c r="FO233" s="548"/>
      <c r="FP233" s="548"/>
      <c r="FQ233" s="548"/>
      <c r="FR233" s="548"/>
      <c r="FS233" s="548"/>
      <c r="FT233" s="548"/>
      <c r="FU233" s="548"/>
      <c r="FV233" s="548"/>
      <c r="FW233" s="548"/>
      <c r="FX233" s="548"/>
      <c r="FY233" s="548"/>
      <c r="FZ233" s="548"/>
      <c r="GA233" s="548"/>
      <c r="GB233" s="548"/>
      <c r="GC233" s="548"/>
      <c r="GD233" s="548"/>
      <c r="GE233" s="548"/>
      <c r="GF233" s="548"/>
      <c r="GG233" s="548"/>
      <c r="GH233" s="548"/>
      <c r="GI233" s="548"/>
      <c r="GJ233" s="548"/>
      <c r="GK233" s="548"/>
      <c r="GL233" s="548"/>
      <c r="GM233" s="548"/>
      <c r="GN233" s="548"/>
      <c r="GO233" s="548"/>
      <c r="GP233" s="548"/>
      <c r="GQ233" s="548"/>
      <c r="GR233" s="548"/>
      <c r="GS233" s="548"/>
      <c r="GT233" s="548"/>
      <c r="GU233" s="548"/>
      <c r="GV233" s="548"/>
      <c r="GW233" s="548"/>
      <c r="GX233" s="548"/>
      <c r="GY233" s="548"/>
      <c r="GZ233" s="548"/>
      <c r="HA233" s="548"/>
      <c r="HB233" s="548"/>
      <c r="HC233" s="548"/>
      <c r="HD233" s="548"/>
      <c r="HE233" s="548"/>
      <c r="HF233" s="548"/>
      <c r="HG233" s="548"/>
      <c r="HH233" s="548"/>
      <c r="HI233" s="548"/>
      <c r="HJ233" s="548"/>
      <c r="HK233" s="548"/>
      <c r="HL233" s="548"/>
      <c r="HM233" s="548"/>
      <c r="HN233" s="548"/>
      <c r="HO233" s="548"/>
      <c r="HP233" s="548"/>
      <c r="HQ233" s="548"/>
      <c r="HR233" s="548"/>
      <c r="HS233" s="548"/>
      <c r="HT233" s="548"/>
      <c r="HU233" s="548"/>
      <c r="HV233" s="548"/>
      <c r="HW233" s="548"/>
      <c r="HX233" s="548"/>
      <c r="HY233" s="548"/>
      <c r="HZ233" s="548"/>
      <c r="IA233" s="548"/>
      <c r="IB233" s="548"/>
      <c r="IC233" s="548"/>
      <c r="ID233" s="548"/>
      <c r="IE233" s="548"/>
      <c r="IF233" s="548"/>
      <c r="IG233" s="548"/>
      <c r="IH233" s="548"/>
      <c r="II233" s="548"/>
      <c r="IJ233" s="548"/>
      <c r="IK233" s="548"/>
      <c r="IL233" s="548"/>
      <c r="IM233" s="548"/>
      <c r="IN233" s="548"/>
      <c r="IO233" s="548"/>
      <c r="IP233" s="548"/>
      <c r="IQ233" s="548"/>
      <c r="IR233" s="548"/>
    </row>
  </sheetData>
  <mergeCells count="15">
    <mergeCell ref="B2:L2"/>
    <mergeCell ref="I1:L1"/>
    <mergeCell ref="B1:F1"/>
    <mergeCell ref="K7:K8"/>
    <mergeCell ref="D218:G218"/>
    <mergeCell ref="B3:L3"/>
    <mergeCell ref="B6:B8"/>
    <mergeCell ref="C6:C8"/>
    <mergeCell ref="D6:D8"/>
    <mergeCell ref="E6:E8"/>
    <mergeCell ref="F6:F8"/>
    <mergeCell ref="G6:G8"/>
    <mergeCell ref="H6:H8"/>
    <mergeCell ref="I6:K6"/>
    <mergeCell ref="L6:L8"/>
  </mergeCells>
  <printOptions horizontalCentered="1"/>
  <pageMargins left="0.196527777777778" right="0.196527777777778" top="0.59027777777777801" bottom="0.59027777777777801" header="0.511811023622047" footer="0.51180555555555596"/>
  <pageSetup paperSize="9" scale="58" fitToHeight="0" orientation="portrait" horizontalDpi="300" verticalDpi="300" r:id="rId1"/>
  <headerFooter>
    <oddFooter>&amp;C- &amp;P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87"/>
  <sheetViews>
    <sheetView view="pageBreakPreview" topLeftCell="E73" zoomScaleNormal="100" workbookViewId="0">
      <selection activeCell="A4" sqref="A4:P87"/>
    </sheetView>
  </sheetViews>
  <sheetFormatPr defaultColWidth="9.26953125" defaultRowHeight="15.5"/>
  <cols>
    <col min="1" max="1" width="3.7265625" style="546" customWidth="1"/>
    <col min="2" max="3" width="5.7265625" style="577" customWidth="1"/>
    <col min="4" max="4" width="62.7265625" style="552" customWidth="1"/>
    <col min="5" max="5" width="12.7265625" style="550" customWidth="1"/>
    <col min="6" max="7" width="10.7265625" style="550" customWidth="1"/>
    <col min="8" max="8" width="6.7265625" style="578" customWidth="1"/>
    <col min="9" max="14" width="14.7265625" style="550" customWidth="1"/>
    <col min="15" max="15" width="15.7265625" style="579" customWidth="1"/>
    <col min="16" max="16" width="13.7265625" style="550" customWidth="1"/>
    <col min="17" max="16384" width="9.26953125" style="552"/>
  </cols>
  <sheetData>
    <row r="1" spans="1:256" ht="18" customHeight="1">
      <c r="B1" s="1893" t="s">
        <v>1194</v>
      </c>
      <c r="C1" s="1893"/>
      <c r="D1" s="1893"/>
      <c r="E1" s="1893"/>
      <c r="F1" s="1893"/>
      <c r="G1" s="549"/>
      <c r="H1" s="580"/>
      <c r="I1" s="1962"/>
      <c r="J1" s="1962"/>
      <c r="K1" s="1962"/>
      <c r="L1" s="1962"/>
      <c r="M1" s="1962"/>
      <c r="N1" s="1962"/>
      <c r="O1" s="1962"/>
      <c r="P1" s="1962"/>
      <c r="Q1" s="551"/>
      <c r="R1" s="551"/>
      <c r="S1" s="551"/>
      <c r="T1" s="551"/>
      <c r="U1" s="551"/>
      <c r="V1" s="551"/>
      <c r="W1" s="551"/>
      <c r="X1" s="551"/>
      <c r="Y1" s="551"/>
      <c r="Z1" s="551"/>
      <c r="AA1" s="551"/>
      <c r="AB1" s="551"/>
      <c r="AC1" s="551"/>
      <c r="AD1" s="551"/>
      <c r="AE1" s="551"/>
      <c r="AF1" s="551"/>
      <c r="AG1" s="551"/>
      <c r="AH1" s="551"/>
      <c r="AI1" s="551"/>
      <c r="AJ1" s="551"/>
      <c r="AK1" s="551"/>
      <c r="AL1" s="551"/>
      <c r="AM1" s="551"/>
      <c r="AN1" s="551"/>
      <c r="AO1" s="551"/>
      <c r="AP1" s="551"/>
      <c r="AQ1" s="551"/>
      <c r="AR1" s="551"/>
      <c r="AS1" s="551"/>
      <c r="AT1" s="551"/>
      <c r="AU1" s="551"/>
      <c r="AV1" s="551"/>
      <c r="AW1" s="551"/>
      <c r="AX1" s="551"/>
      <c r="AY1" s="551"/>
      <c r="AZ1" s="551"/>
      <c r="BA1" s="551"/>
      <c r="BB1" s="551"/>
      <c r="BC1" s="551"/>
      <c r="BD1" s="551"/>
      <c r="BE1" s="551"/>
      <c r="BF1" s="551"/>
      <c r="BG1" s="551"/>
      <c r="BH1" s="551"/>
      <c r="BI1" s="551"/>
      <c r="BJ1" s="551"/>
      <c r="BK1" s="551"/>
      <c r="BL1" s="551"/>
      <c r="BM1" s="551"/>
      <c r="BN1" s="551"/>
      <c r="BO1" s="551"/>
      <c r="BP1" s="551"/>
      <c r="BQ1" s="551"/>
      <c r="BR1" s="551"/>
      <c r="BS1" s="551"/>
      <c r="BT1" s="551"/>
      <c r="BU1" s="551"/>
      <c r="BV1" s="551"/>
      <c r="BW1" s="551"/>
      <c r="BX1" s="551"/>
      <c r="BY1" s="551"/>
      <c r="BZ1" s="551"/>
      <c r="CA1" s="551"/>
      <c r="CB1" s="551"/>
      <c r="CC1" s="551"/>
      <c r="CD1" s="551"/>
      <c r="CE1" s="551"/>
      <c r="CF1" s="551"/>
      <c r="CG1" s="551"/>
      <c r="CH1" s="551"/>
      <c r="CI1" s="551"/>
      <c r="CJ1" s="551"/>
      <c r="CK1" s="551"/>
      <c r="CL1" s="551"/>
      <c r="CM1" s="551"/>
      <c r="CN1" s="551"/>
      <c r="CO1" s="551"/>
      <c r="CP1" s="551"/>
      <c r="CQ1" s="551"/>
      <c r="CR1" s="551"/>
      <c r="CS1" s="551"/>
      <c r="CT1" s="551"/>
      <c r="CU1" s="551"/>
      <c r="CV1" s="551"/>
      <c r="CW1" s="551"/>
      <c r="CX1" s="551"/>
      <c r="CY1" s="551"/>
      <c r="CZ1" s="551"/>
      <c r="DA1" s="551"/>
      <c r="DB1" s="551"/>
      <c r="DC1" s="551"/>
      <c r="DD1" s="551"/>
      <c r="DE1" s="551"/>
      <c r="DF1" s="551"/>
      <c r="DG1" s="551"/>
      <c r="DH1" s="551"/>
      <c r="DI1" s="551"/>
      <c r="DJ1" s="551"/>
      <c r="DK1" s="551"/>
      <c r="DL1" s="551"/>
      <c r="DM1" s="551"/>
      <c r="DN1" s="551"/>
      <c r="DO1" s="551"/>
      <c r="DP1" s="551"/>
      <c r="DQ1" s="551"/>
      <c r="DR1" s="551"/>
      <c r="DS1" s="551"/>
      <c r="DT1" s="551"/>
      <c r="DU1" s="551"/>
      <c r="DV1" s="551"/>
      <c r="DW1" s="551"/>
      <c r="DX1" s="551"/>
      <c r="DY1" s="551"/>
      <c r="DZ1" s="551"/>
      <c r="EA1" s="551"/>
      <c r="EB1" s="551"/>
      <c r="EC1" s="551"/>
      <c r="ED1" s="551"/>
      <c r="EE1" s="551"/>
      <c r="EF1" s="551"/>
      <c r="EG1" s="551"/>
      <c r="EH1" s="551"/>
      <c r="EI1" s="551"/>
      <c r="EJ1" s="551"/>
      <c r="EK1" s="551"/>
      <c r="EL1" s="551"/>
      <c r="EM1" s="551"/>
      <c r="EN1" s="551"/>
      <c r="EO1" s="551"/>
      <c r="EP1" s="551"/>
      <c r="EQ1" s="551"/>
      <c r="ER1" s="551"/>
      <c r="ES1" s="551"/>
      <c r="ET1" s="551"/>
      <c r="EU1" s="551"/>
      <c r="EV1" s="551"/>
      <c r="EW1" s="551"/>
      <c r="EX1" s="551"/>
      <c r="EY1" s="551"/>
      <c r="EZ1" s="551"/>
      <c r="FA1" s="551"/>
      <c r="FB1" s="551"/>
      <c r="FC1" s="551"/>
      <c r="FD1" s="551"/>
      <c r="FE1" s="551"/>
      <c r="FF1" s="551"/>
      <c r="FG1" s="551"/>
      <c r="FH1" s="551"/>
      <c r="FI1" s="551"/>
      <c r="FJ1" s="551"/>
      <c r="FK1" s="551"/>
      <c r="FL1" s="551"/>
      <c r="FM1" s="551"/>
      <c r="FN1" s="551"/>
      <c r="FO1" s="551"/>
      <c r="FP1" s="551"/>
      <c r="FQ1" s="551"/>
      <c r="FR1" s="551"/>
      <c r="FS1" s="551"/>
      <c r="FT1" s="551"/>
      <c r="FU1" s="551"/>
      <c r="FV1" s="551"/>
      <c r="FW1" s="551"/>
      <c r="FX1" s="551"/>
      <c r="FY1" s="551"/>
      <c r="FZ1" s="551"/>
      <c r="GA1" s="551"/>
      <c r="GB1" s="551"/>
      <c r="GC1" s="551"/>
      <c r="GD1" s="551"/>
      <c r="GE1" s="551"/>
      <c r="GF1" s="551"/>
      <c r="GG1" s="551"/>
      <c r="GH1" s="551"/>
      <c r="GI1" s="551"/>
      <c r="GJ1" s="551"/>
      <c r="GK1" s="551"/>
      <c r="GL1" s="551"/>
      <c r="GM1" s="551"/>
      <c r="GN1" s="551"/>
      <c r="GO1" s="551"/>
      <c r="GP1" s="551"/>
      <c r="GQ1" s="551"/>
      <c r="GR1" s="551"/>
      <c r="GS1" s="551"/>
      <c r="GT1" s="551"/>
      <c r="GU1" s="551"/>
      <c r="GV1" s="551"/>
      <c r="GW1" s="551"/>
      <c r="GX1" s="551"/>
      <c r="GY1" s="551"/>
      <c r="GZ1" s="551"/>
      <c r="HA1" s="551"/>
      <c r="HB1" s="551"/>
      <c r="HC1" s="551"/>
      <c r="HD1" s="551"/>
      <c r="HE1" s="551"/>
      <c r="HF1" s="551"/>
      <c r="HG1" s="551"/>
      <c r="HH1" s="551"/>
      <c r="HI1" s="551"/>
      <c r="HJ1" s="551"/>
      <c r="HK1" s="551"/>
      <c r="HL1" s="551"/>
      <c r="HM1" s="551"/>
      <c r="HN1" s="551"/>
      <c r="HO1" s="551"/>
      <c r="HP1" s="551"/>
      <c r="HQ1" s="551"/>
      <c r="HR1" s="551"/>
      <c r="HS1" s="551"/>
      <c r="HT1" s="551"/>
      <c r="HU1" s="551"/>
      <c r="HV1" s="551"/>
      <c r="HW1" s="551"/>
      <c r="HX1" s="551"/>
      <c r="HY1" s="551"/>
      <c r="HZ1" s="551"/>
      <c r="IA1" s="551"/>
      <c r="IB1" s="551"/>
      <c r="IC1" s="551"/>
      <c r="ID1" s="551"/>
      <c r="IE1" s="551"/>
      <c r="IF1" s="551"/>
      <c r="IG1" s="551"/>
      <c r="IH1" s="551"/>
      <c r="II1" s="551"/>
      <c r="IJ1" s="551"/>
      <c r="IK1" s="551"/>
      <c r="IL1" s="551"/>
      <c r="IM1" s="551"/>
      <c r="IN1" s="551"/>
      <c r="IO1" s="551"/>
      <c r="IP1" s="551"/>
    </row>
    <row r="2" spans="1:256" ht="24.75" customHeight="1">
      <c r="A2" s="1961" t="s">
        <v>411</v>
      </c>
      <c r="B2" s="1961"/>
      <c r="C2" s="1961"/>
      <c r="D2" s="1961"/>
      <c r="E2" s="1961"/>
      <c r="F2" s="1961"/>
      <c r="G2" s="1961"/>
      <c r="H2" s="1961"/>
      <c r="I2" s="1961"/>
      <c r="J2" s="1961"/>
      <c r="K2" s="1961"/>
      <c r="L2" s="1961"/>
      <c r="M2" s="1961"/>
      <c r="N2" s="1961"/>
      <c r="O2" s="1961"/>
      <c r="P2" s="1961"/>
    </row>
    <row r="3" spans="1:256" ht="24.75" customHeight="1">
      <c r="A3" s="1973" t="s">
        <v>647</v>
      </c>
      <c r="B3" s="1973"/>
      <c r="C3" s="1973"/>
      <c r="D3" s="1973"/>
      <c r="E3" s="1973"/>
      <c r="F3" s="1973"/>
      <c r="G3" s="1973"/>
      <c r="H3" s="1973"/>
      <c r="I3" s="1973"/>
      <c r="J3" s="1973"/>
      <c r="K3" s="1973"/>
      <c r="L3" s="1973"/>
      <c r="M3" s="1973"/>
      <c r="N3" s="1973"/>
      <c r="O3" s="1973"/>
      <c r="P3" s="1973"/>
    </row>
    <row r="4" spans="1:256" s="548" customFormat="1" ht="18" customHeight="1">
      <c r="A4" s="546"/>
      <c r="B4" s="546"/>
      <c r="C4" s="546"/>
      <c r="E4" s="547"/>
      <c r="F4" s="547"/>
      <c r="G4" s="547"/>
      <c r="H4" s="581"/>
      <c r="I4" s="547"/>
      <c r="J4" s="547"/>
      <c r="K4" s="547"/>
      <c r="L4" s="547"/>
      <c r="M4" s="547"/>
      <c r="N4" s="547"/>
      <c r="O4" s="582"/>
      <c r="P4" s="553" t="s">
        <v>0</v>
      </c>
    </row>
    <row r="5" spans="1:256" s="31" customFormat="1" ht="18" customHeight="1" thickBot="1">
      <c r="A5" s="583"/>
      <c r="B5" s="584" t="s">
        <v>1</v>
      </c>
      <c r="C5" s="554" t="s">
        <v>2</v>
      </c>
      <c r="D5" s="554" t="s">
        <v>72</v>
      </c>
      <c r="E5" s="554" t="s">
        <v>73</v>
      </c>
      <c r="F5" s="554" t="s">
        <v>74</v>
      </c>
      <c r="G5" s="554" t="s">
        <v>75</v>
      </c>
      <c r="H5" s="554" t="s">
        <v>76</v>
      </c>
      <c r="I5" s="554" t="s">
        <v>77</v>
      </c>
      <c r="J5" s="554" t="s">
        <v>78</v>
      </c>
      <c r="K5" s="554" t="s">
        <v>79</v>
      </c>
      <c r="L5" s="554" t="s">
        <v>80</v>
      </c>
      <c r="M5" s="554" t="s">
        <v>81</v>
      </c>
      <c r="N5" s="554" t="s">
        <v>184</v>
      </c>
      <c r="O5" s="554" t="s">
        <v>185</v>
      </c>
      <c r="P5" s="554" t="s">
        <v>186</v>
      </c>
      <c r="Q5" s="583"/>
      <c r="R5" s="583"/>
      <c r="S5" s="583"/>
      <c r="T5" s="583"/>
      <c r="U5" s="583"/>
      <c r="V5" s="583"/>
      <c r="W5" s="583"/>
      <c r="X5" s="583"/>
      <c r="Y5" s="583"/>
      <c r="Z5" s="583"/>
      <c r="AA5" s="583"/>
      <c r="AB5" s="583"/>
      <c r="AC5" s="583"/>
      <c r="AD5" s="583"/>
      <c r="AE5" s="583"/>
      <c r="AF5" s="583"/>
      <c r="AG5" s="583"/>
      <c r="AH5" s="583"/>
      <c r="AI5" s="583"/>
      <c r="AJ5" s="583"/>
      <c r="AK5" s="583"/>
      <c r="AL5" s="583"/>
      <c r="AM5" s="583"/>
      <c r="AN5" s="583"/>
      <c r="AO5" s="583"/>
      <c r="AP5" s="583"/>
      <c r="AQ5" s="583"/>
      <c r="AR5" s="583"/>
      <c r="AS5" s="583"/>
      <c r="AT5" s="583"/>
      <c r="AU5" s="583"/>
      <c r="AV5" s="583"/>
      <c r="AW5" s="583"/>
      <c r="AX5" s="583"/>
      <c r="AY5" s="583"/>
      <c r="AZ5" s="583"/>
      <c r="BA5" s="583"/>
      <c r="BB5" s="583"/>
      <c r="BC5" s="583"/>
      <c r="BD5" s="583"/>
      <c r="BE5" s="583"/>
      <c r="BF5" s="583"/>
      <c r="BG5" s="583"/>
      <c r="BH5" s="583"/>
      <c r="BI5" s="583"/>
      <c r="BJ5" s="583"/>
      <c r="BK5" s="583"/>
      <c r="BL5" s="583"/>
      <c r="BM5" s="583"/>
      <c r="BN5" s="583"/>
      <c r="BO5" s="583"/>
      <c r="BP5" s="583"/>
      <c r="BQ5" s="583"/>
      <c r="BR5" s="583"/>
      <c r="BS5" s="583"/>
      <c r="BT5" s="583"/>
      <c r="BU5" s="583"/>
      <c r="BV5" s="583"/>
      <c r="BW5" s="583"/>
      <c r="BX5" s="583"/>
      <c r="BY5" s="583"/>
      <c r="BZ5" s="583"/>
      <c r="CA5" s="583"/>
      <c r="CB5" s="583"/>
      <c r="CC5" s="583"/>
      <c r="CD5" s="583"/>
      <c r="CE5" s="583"/>
      <c r="CF5" s="583"/>
      <c r="CG5" s="583"/>
      <c r="CH5" s="583"/>
      <c r="CI5" s="583"/>
      <c r="CJ5" s="583"/>
      <c r="CK5" s="583"/>
      <c r="CL5" s="583"/>
      <c r="CM5" s="583"/>
      <c r="CN5" s="583"/>
      <c r="CO5" s="583"/>
      <c r="CP5" s="583"/>
      <c r="CQ5" s="583"/>
      <c r="CR5" s="583"/>
      <c r="CS5" s="583"/>
      <c r="CT5" s="583"/>
      <c r="CU5" s="583"/>
      <c r="CV5" s="583"/>
      <c r="CW5" s="583"/>
      <c r="CX5" s="583"/>
      <c r="CY5" s="583"/>
      <c r="CZ5" s="583"/>
      <c r="DA5" s="583"/>
      <c r="DB5" s="583"/>
      <c r="DC5" s="583"/>
      <c r="DD5" s="583"/>
      <c r="DE5" s="583"/>
      <c r="DF5" s="583"/>
      <c r="DG5" s="583"/>
      <c r="DH5" s="583"/>
      <c r="DI5" s="583"/>
      <c r="DJ5" s="583"/>
      <c r="DK5" s="583"/>
      <c r="DL5" s="583"/>
      <c r="DM5" s="583"/>
      <c r="DN5" s="583"/>
      <c r="DO5" s="583"/>
      <c r="DP5" s="583"/>
      <c r="DQ5" s="583"/>
      <c r="DR5" s="583"/>
      <c r="DS5" s="583"/>
      <c r="DT5" s="583"/>
      <c r="DU5" s="583"/>
      <c r="DV5" s="583"/>
      <c r="DW5" s="583"/>
      <c r="DX5" s="583"/>
      <c r="DY5" s="583"/>
      <c r="DZ5" s="583"/>
      <c r="EA5" s="583"/>
      <c r="EB5" s="583"/>
      <c r="EC5" s="583"/>
      <c r="ED5" s="583"/>
      <c r="EE5" s="583"/>
      <c r="EF5" s="583"/>
      <c r="EG5" s="583"/>
      <c r="EH5" s="583"/>
      <c r="EI5" s="583"/>
      <c r="EJ5" s="583"/>
      <c r="EK5" s="583"/>
      <c r="EL5" s="583"/>
      <c r="EM5" s="583"/>
      <c r="EN5" s="583"/>
      <c r="EO5" s="583"/>
      <c r="EP5" s="583"/>
      <c r="EQ5" s="583"/>
      <c r="ER5" s="583"/>
      <c r="ES5" s="583"/>
      <c r="ET5" s="583"/>
      <c r="EU5" s="583"/>
      <c r="EV5" s="583"/>
      <c r="EW5" s="583"/>
      <c r="EX5" s="583"/>
      <c r="EY5" s="583"/>
      <c r="EZ5" s="583"/>
      <c r="FA5" s="583"/>
      <c r="FB5" s="583"/>
      <c r="FC5" s="583"/>
      <c r="FD5" s="583"/>
      <c r="FE5" s="583"/>
      <c r="FF5" s="583"/>
      <c r="FG5" s="583"/>
      <c r="FH5" s="583"/>
      <c r="FI5" s="583"/>
      <c r="FJ5" s="583"/>
      <c r="FK5" s="583"/>
      <c r="FL5" s="583"/>
      <c r="FM5" s="583"/>
      <c r="FN5" s="583"/>
      <c r="FO5" s="583"/>
      <c r="FP5" s="583"/>
      <c r="FQ5" s="583"/>
      <c r="FR5" s="583"/>
      <c r="FS5" s="583"/>
      <c r="FT5" s="583"/>
      <c r="FU5" s="583"/>
      <c r="FV5" s="583"/>
      <c r="FW5" s="583"/>
      <c r="FX5" s="583"/>
      <c r="FY5" s="583"/>
      <c r="FZ5" s="583"/>
      <c r="GA5" s="583"/>
      <c r="GB5" s="583"/>
      <c r="GC5" s="583"/>
      <c r="GD5" s="583"/>
      <c r="GE5" s="583"/>
      <c r="GF5" s="583"/>
      <c r="GG5" s="583"/>
      <c r="GH5" s="583"/>
      <c r="GI5" s="583"/>
      <c r="GJ5" s="583"/>
      <c r="GK5" s="583"/>
      <c r="GL5" s="583"/>
      <c r="GM5" s="583"/>
      <c r="GN5" s="583"/>
      <c r="GO5" s="583"/>
      <c r="GP5" s="583"/>
      <c r="GQ5" s="583"/>
      <c r="GR5" s="583"/>
      <c r="GS5" s="583"/>
      <c r="GT5" s="583"/>
      <c r="GU5" s="583"/>
      <c r="GV5" s="583"/>
      <c r="GW5" s="583"/>
      <c r="GX5" s="583"/>
      <c r="GY5" s="583"/>
      <c r="GZ5" s="583"/>
      <c r="HA5" s="583"/>
      <c r="HB5" s="583"/>
      <c r="HC5" s="583"/>
      <c r="HD5" s="583"/>
      <c r="HE5" s="583"/>
      <c r="HF5" s="583"/>
      <c r="HG5" s="583"/>
      <c r="HH5" s="583"/>
      <c r="HI5" s="583"/>
      <c r="HJ5" s="583"/>
      <c r="HK5" s="583"/>
      <c r="HL5" s="583"/>
      <c r="HM5" s="583"/>
      <c r="HN5" s="583"/>
      <c r="HO5" s="583"/>
      <c r="HP5" s="583"/>
      <c r="HQ5" s="583"/>
      <c r="HR5" s="583"/>
      <c r="HS5" s="583"/>
      <c r="HT5" s="583"/>
      <c r="HU5" s="583"/>
      <c r="HV5" s="583"/>
      <c r="HW5" s="583"/>
      <c r="HX5" s="583"/>
      <c r="HY5" s="583"/>
      <c r="HZ5" s="583"/>
      <c r="IA5" s="583"/>
      <c r="IB5" s="583"/>
      <c r="IC5" s="583"/>
      <c r="ID5" s="583"/>
      <c r="IE5" s="583"/>
      <c r="IF5" s="583"/>
      <c r="IG5" s="583"/>
      <c r="IH5" s="583"/>
      <c r="II5" s="583"/>
      <c r="IJ5" s="583"/>
      <c r="IK5" s="583"/>
      <c r="IL5" s="583"/>
      <c r="IM5" s="583"/>
      <c r="IN5" s="583"/>
      <c r="IO5" s="583"/>
      <c r="IP5" s="583"/>
    </row>
    <row r="6" spans="1:256" ht="22.5" customHeight="1" thickBot="1">
      <c r="B6" s="1974" t="s">
        <v>82</v>
      </c>
      <c r="C6" s="1975" t="s">
        <v>83</v>
      </c>
      <c r="D6" s="1976" t="s">
        <v>3</v>
      </c>
      <c r="E6" s="1977" t="s">
        <v>648</v>
      </c>
      <c r="F6" s="1977" t="s">
        <v>649</v>
      </c>
      <c r="G6" s="1978" t="s">
        <v>650</v>
      </c>
      <c r="H6" s="1970" t="s">
        <v>222</v>
      </c>
      <c r="I6" s="1979" t="s">
        <v>413</v>
      </c>
      <c r="J6" s="1979"/>
      <c r="K6" s="1979"/>
      <c r="L6" s="1979"/>
      <c r="M6" s="1979"/>
      <c r="N6" s="1979"/>
      <c r="O6" s="1979"/>
      <c r="P6" s="1980" t="s">
        <v>646</v>
      </c>
      <c r="Q6" s="1981"/>
      <c r="R6" s="1981"/>
    </row>
    <row r="7" spans="1:256" ht="33" customHeight="1" thickBot="1">
      <c r="B7" s="1974"/>
      <c r="C7" s="1975"/>
      <c r="D7" s="1976"/>
      <c r="E7" s="1977"/>
      <c r="F7" s="1977"/>
      <c r="G7" s="1978"/>
      <c r="H7" s="1970"/>
      <c r="I7" s="1982" t="s">
        <v>651</v>
      </c>
      <c r="J7" s="1982"/>
      <c r="K7" s="1982"/>
      <c r="L7" s="1982"/>
      <c r="M7" s="1983" t="s">
        <v>157</v>
      </c>
      <c r="N7" s="1983"/>
      <c r="O7" s="1984" t="s">
        <v>4</v>
      </c>
      <c r="P7" s="1980"/>
    </row>
    <row r="8" spans="1:256" ht="53.25" customHeight="1" thickBot="1">
      <c r="B8" s="1974"/>
      <c r="C8" s="1975"/>
      <c r="D8" s="1976"/>
      <c r="E8" s="1977"/>
      <c r="F8" s="1977"/>
      <c r="G8" s="1978"/>
      <c r="H8" s="1970"/>
      <c r="I8" s="585" t="s">
        <v>224</v>
      </c>
      <c r="J8" s="586" t="s">
        <v>652</v>
      </c>
      <c r="K8" s="587" t="s">
        <v>226</v>
      </c>
      <c r="L8" s="587" t="s">
        <v>653</v>
      </c>
      <c r="M8" s="586" t="s">
        <v>36</v>
      </c>
      <c r="N8" s="586" t="s">
        <v>158</v>
      </c>
      <c r="O8" s="1984"/>
      <c r="P8" s="1980"/>
    </row>
    <row r="9" spans="1:256" s="600" customFormat="1" ht="22.5" customHeight="1">
      <c r="A9" s="588">
        <v>1</v>
      </c>
      <c r="B9" s="589">
        <v>18</v>
      </c>
      <c r="C9" s="590" t="s">
        <v>411</v>
      </c>
      <c r="D9" s="591"/>
      <c r="E9" s="592"/>
      <c r="F9" s="593"/>
      <c r="G9" s="594"/>
      <c r="H9" s="595"/>
      <c r="I9" s="596"/>
      <c r="J9" s="597"/>
      <c r="K9" s="597"/>
      <c r="L9" s="597"/>
      <c r="M9" s="597"/>
      <c r="N9" s="597"/>
      <c r="O9" s="598"/>
      <c r="P9" s="599"/>
      <c r="Q9" s="552"/>
      <c r="R9" s="552"/>
      <c r="S9" s="552"/>
      <c r="T9" s="552"/>
      <c r="U9" s="552"/>
      <c r="V9" s="552"/>
      <c r="W9" s="552"/>
      <c r="X9" s="552"/>
      <c r="Y9" s="552"/>
      <c r="Z9" s="552"/>
      <c r="AA9" s="552"/>
      <c r="AB9" s="552"/>
      <c r="AC9" s="552"/>
      <c r="AD9" s="552"/>
      <c r="AE9" s="552"/>
      <c r="AF9" s="552"/>
      <c r="AG9" s="552"/>
      <c r="AH9" s="552"/>
      <c r="AI9" s="552"/>
      <c r="AJ9" s="552"/>
      <c r="AK9" s="552"/>
      <c r="AL9" s="552"/>
      <c r="AM9" s="552"/>
      <c r="AN9" s="552"/>
      <c r="AO9" s="552"/>
      <c r="AP9" s="552"/>
      <c r="AQ9" s="552"/>
      <c r="AR9" s="552"/>
      <c r="AS9" s="552"/>
      <c r="AT9" s="552"/>
      <c r="AU9" s="552"/>
      <c r="AV9" s="552"/>
      <c r="AW9" s="552"/>
      <c r="AX9" s="552"/>
      <c r="AY9" s="552"/>
      <c r="AZ9" s="552"/>
      <c r="BA9" s="552"/>
      <c r="BB9" s="552"/>
      <c r="BC9" s="552"/>
      <c r="BD9" s="552"/>
      <c r="BE9" s="552"/>
      <c r="BF9" s="552"/>
      <c r="BG9" s="552"/>
      <c r="BH9" s="552"/>
      <c r="BI9" s="552"/>
      <c r="BJ9" s="552"/>
      <c r="BK9" s="552"/>
      <c r="BL9" s="552"/>
      <c r="BM9" s="552"/>
      <c r="BN9" s="552"/>
      <c r="BO9" s="552"/>
      <c r="BP9" s="552"/>
      <c r="BQ9" s="552"/>
      <c r="BR9" s="552"/>
      <c r="BS9" s="552"/>
      <c r="BT9" s="552"/>
      <c r="BU9" s="552"/>
      <c r="BV9" s="552"/>
      <c r="BW9" s="552"/>
      <c r="BX9" s="552"/>
      <c r="BY9" s="552"/>
      <c r="BZ9" s="552"/>
      <c r="CA9" s="552"/>
      <c r="CB9" s="552"/>
      <c r="CC9" s="552"/>
      <c r="CD9" s="552"/>
      <c r="CE9" s="552"/>
      <c r="CF9" s="552"/>
      <c r="CG9" s="552"/>
      <c r="CH9" s="552"/>
      <c r="CI9" s="552"/>
      <c r="CJ9" s="552"/>
      <c r="CK9" s="552"/>
      <c r="CL9" s="552"/>
      <c r="CM9" s="552"/>
      <c r="CN9" s="552"/>
      <c r="CO9" s="552"/>
      <c r="CP9" s="552"/>
      <c r="CQ9" s="552"/>
      <c r="CR9" s="552"/>
      <c r="CS9" s="552"/>
      <c r="CT9" s="552"/>
      <c r="CU9" s="552"/>
      <c r="CV9" s="552"/>
      <c r="CW9" s="552"/>
      <c r="CX9" s="552"/>
      <c r="CY9" s="552"/>
      <c r="CZ9" s="552"/>
      <c r="DA9" s="552"/>
      <c r="DB9" s="552"/>
      <c r="DC9" s="552"/>
      <c r="DD9" s="552"/>
      <c r="DE9" s="552"/>
      <c r="DF9" s="552"/>
      <c r="DG9" s="552"/>
      <c r="DH9" s="552"/>
      <c r="DI9" s="552"/>
      <c r="DJ9" s="552"/>
      <c r="DK9" s="552"/>
      <c r="DL9" s="552"/>
      <c r="DM9" s="552"/>
      <c r="DN9" s="552"/>
      <c r="DO9" s="552"/>
      <c r="DP9" s="552"/>
      <c r="DQ9" s="552"/>
      <c r="DR9" s="552"/>
      <c r="DS9" s="552"/>
      <c r="DT9" s="552"/>
      <c r="DU9" s="552"/>
      <c r="DV9" s="552"/>
      <c r="DW9" s="552"/>
      <c r="DX9" s="552"/>
      <c r="DY9" s="552"/>
      <c r="DZ9" s="552"/>
      <c r="EA9" s="552"/>
      <c r="EB9" s="552"/>
      <c r="EC9" s="552"/>
      <c r="ED9" s="552"/>
      <c r="EE9" s="552"/>
      <c r="EF9" s="552"/>
      <c r="EG9" s="552"/>
      <c r="EH9" s="552"/>
      <c r="EI9" s="552"/>
      <c r="EJ9" s="552"/>
      <c r="EK9" s="552"/>
      <c r="EL9" s="552"/>
      <c r="EM9" s="552"/>
      <c r="EN9" s="552"/>
      <c r="EO9" s="552"/>
      <c r="EP9" s="552"/>
      <c r="EQ9" s="552"/>
      <c r="ER9" s="552"/>
      <c r="ES9" s="552"/>
      <c r="ET9" s="552"/>
      <c r="EU9" s="552"/>
      <c r="EV9" s="552"/>
      <c r="EW9" s="552"/>
      <c r="EX9" s="552"/>
      <c r="EY9" s="552"/>
      <c r="EZ9" s="552"/>
      <c r="FA9" s="552"/>
      <c r="FB9" s="552"/>
      <c r="FC9" s="552"/>
      <c r="FD9" s="552"/>
      <c r="FE9" s="552"/>
      <c r="FF9" s="552"/>
      <c r="FG9" s="552"/>
      <c r="FH9" s="552"/>
      <c r="FI9" s="552"/>
      <c r="FJ9" s="552"/>
      <c r="FK9" s="552"/>
      <c r="FL9" s="552"/>
      <c r="FM9" s="552"/>
      <c r="FN9" s="552"/>
      <c r="FO9" s="552"/>
      <c r="FP9" s="552"/>
      <c r="FQ9" s="552"/>
      <c r="FR9" s="552"/>
      <c r="FS9" s="552"/>
      <c r="FT9" s="552"/>
      <c r="FU9" s="552"/>
      <c r="FV9" s="552"/>
      <c r="FW9" s="552"/>
      <c r="FX9" s="552"/>
      <c r="FY9" s="552"/>
      <c r="FZ9" s="552"/>
      <c r="GA9" s="552"/>
      <c r="GB9" s="552"/>
      <c r="GC9" s="552"/>
      <c r="GD9" s="552"/>
      <c r="GE9" s="552"/>
      <c r="GF9" s="552"/>
      <c r="GG9" s="552"/>
      <c r="GH9" s="552"/>
      <c r="GI9" s="552"/>
      <c r="GJ9" s="552"/>
      <c r="GK9" s="552"/>
      <c r="GL9" s="552"/>
      <c r="GM9" s="552"/>
      <c r="GN9" s="552"/>
      <c r="GO9" s="552"/>
      <c r="GP9" s="552"/>
      <c r="GQ9" s="552"/>
      <c r="GR9" s="552"/>
      <c r="GS9" s="552"/>
      <c r="GT9" s="552"/>
      <c r="GU9" s="552"/>
      <c r="GV9" s="552"/>
      <c r="GW9" s="552"/>
      <c r="GX9" s="552"/>
      <c r="GY9" s="552"/>
      <c r="GZ9" s="552"/>
      <c r="HA9" s="552"/>
      <c r="HB9" s="552"/>
      <c r="HC9" s="552"/>
      <c r="HD9" s="552"/>
      <c r="HE9" s="552"/>
      <c r="HF9" s="552"/>
      <c r="HG9" s="552"/>
      <c r="HH9" s="552"/>
      <c r="HI9" s="552"/>
      <c r="HJ9" s="552"/>
      <c r="HK9" s="552"/>
      <c r="HL9" s="552"/>
      <c r="HM9" s="552"/>
      <c r="HN9" s="552"/>
      <c r="HO9" s="552"/>
      <c r="HP9" s="552"/>
      <c r="HQ9" s="552"/>
      <c r="HR9" s="552"/>
      <c r="HS9" s="552"/>
      <c r="HT9" s="552"/>
      <c r="HU9" s="552"/>
      <c r="HV9" s="552"/>
      <c r="HW9" s="552"/>
      <c r="HX9" s="552"/>
      <c r="HY9" s="552"/>
      <c r="HZ9" s="552"/>
      <c r="IA9" s="552"/>
      <c r="IB9" s="552"/>
      <c r="IC9" s="552"/>
      <c r="ID9" s="552"/>
      <c r="IE9" s="552"/>
      <c r="IF9" s="552"/>
      <c r="IG9" s="552"/>
      <c r="IH9" s="552"/>
      <c r="II9" s="552"/>
      <c r="IJ9" s="552"/>
      <c r="IK9" s="552"/>
      <c r="IL9" s="552"/>
      <c r="IM9" s="552"/>
      <c r="IN9" s="552"/>
      <c r="IO9" s="552"/>
      <c r="IP9" s="552"/>
      <c r="IQ9" s="552"/>
      <c r="IR9" s="552"/>
      <c r="IS9" s="552"/>
      <c r="IT9" s="552"/>
      <c r="IU9" s="552"/>
      <c r="IV9" s="552"/>
    </row>
    <row r="10" spans="1:256" s="600" customFormat="1" ht="33.75" customHeight="1">
      <c r="A10" s="588">
        <v>2</v>
      </c>
      <c r="B10" s="601"/>
      <c r="C10" s="556">
        <v>1</v>
      </c>
      <c r="D10" s="602" t="s">
        <v>238</v>
      </c>
      <c r="E10" s="603">
        <f>F10+G10+P11+2207+O12</f>
        <v>81250</v>
      </c>
      <c r="F10" s="604"/>
      <c r="G10" s="605">
        <v>21668</v>
      </c>
      <c r="H10" s="606" t="s">
        <v>231</v>
      </c>
      <c r="I10" s="607"/>
      <c r="J10" s="608"/>
      <c r="K10" s="608"/>
      <c r="L10" s="608"/>
      <c r="M10" s="608"/>
      <c r="N10" s="609"/>
      <c r="O10" s="610"/>
      <c r="P10" s="611"/>
      <c r="Q10" s="552"/>
      <c r="R10" s="552"/>
      <c r="S10" s="552"/>
      <c r="T10" s="552"/>
      <c r="U10" s="552"/>
      <c r="V10" s="552"/>
      <c r="W10" s="552"/>
      <c r="X10" s="552"/>
      <c r="Y10" s="552"/>
      <c r="Z10" s="552"/>
      <c r="AA10" s="552"/>
      <c r="AB10" s="552"/>
      <c r="AC10" s="552"/>
      <c r="AD10" s="552"/>
      <c r="AE10" s="552"/>
      <c r="AF10" s="552"/>
      <c r="AG10" s="552"/>
      <c r="AH10" s="552"/>
      <c r="AI10" s="552"/>
      <c r="AJ10" s="552"/>
      <c r="AK10" s="552"/>
      <c r="AL10" s="552"/>
      <c r="AM10" s="552"/>
      <c r="AN10" s="552"/>
      <c r="AO10" s="552"/>
      <c r="AP10" s="552"/>
      <c r="AQ10" s="552"/>
      <c r="AR10" s="552"/>
      <c r="AS10" s="552"/>
      <c r="AT10" s="552"/>
      <c r="AU10" s="552"/>
      <c r="AV10" s="552"/>
      <c r="AW10" s="552"/>
      <c r="AX10" s="552"/>
      <c r="AY10" s="552"/>
      <c r="AZ10" s="552"/>
      <c r="BA10" s="552"/>
      <c r="BB10" s="552"/>
      <c r="BC10" s="552"/>
      <c r="BD10" s="552"/>
      <c r="BE10" s="552"/>
      <c r="BF10" s="552"/>
      <c r="BG10" s="552"/>
      <c r="BH10" s="552"/>
      <c r="BI10" s="552"/>
      <c r="BJ10" s="552"/>
      <c r="BK10" s="552"/>
      <c r="BL10" s="552"/>
      <c r="BM10" s="552"/>
      <c r="BN10" s="552"/>
      <c r="BO10" s="552"/>
      <c r="BP10" s="552"/>
      <c r="BQ10" s="552"/>
      <c r="BR10" s="552"/>
      <c r="BS10" s="552"/>
      <c r="BT10" s="552"/>
      <c r="BU10" s="552"/>
      <c r="BV10" s="552"/>
      <c r="BW10" s="552"/>
      <c r="BX10" s="552"/>
      <c r="BY10" s="552"/>
      <c r="BZ10" s="552"/>
      <c r="CA10" s="552"/>
      <c r="CB10" s="552"/>
      <c r="CC10" s="552"/>
      <c r="CD10" s="552"/>
      <c r="CE10" s="552"/>
      <c r="CF10" s="552"/>
      <c r="CG10" s="552"/>
      <c r="CH10" s="552"/>
      <c r="CI10" s="552"/>
      <c r="CJ10" s="552"/>
      <c r="CK10" s="552"/>
      <c r="CL10" s="552"/>
      <c r="CM10" s="552"/>
      <c r="CN10" s="552"/>
      <c r="CO10" s="552"/>
      <c r="CP10" s="552"/>
      <c r="CQ10" s="552"/>
      <c r="CR10" s="552"/>
      <c r="CS10" s="552"/>
      <c r="CT10" s="552"/>
      <c r="CU10" s="552"/>
      <c r="CV10" s="552"/>
      <c r="CW10" s="552"/>
      <c r="CX10" s="552"/>
      <c r="CY10" s="552"/>
      <c r="CZ10" s="552"/>
      <c r="DA10" s="552"/>
      <c r="DB10" s="552"/>
      <c r="DC10" s="552"/>
      <c r="DD10" s="552"/>
      <c r="DE10" s="552"/>
      <c r="DF10" s="552"/>
      <c r="DG10" s="552"/>
      <c r="DH10" s="552"/>
      <c r="DI10" s="552"/>
      <c r="DJ10" s="552"/>
      <c r="DK10" s="552"/>
      <c r="DL10" s="552"/>
      <c r="DM10" s="552"/>
      <c r="DN10" s="552"/>
      <c r="DO10" s="552"/>
      <c r="DP10" s="552"/>
      <c r="DQ10" s="552"/>
      <c r="DR10" s="552"/>
      <c r="DS10" s="552"/>
      <c r="DT10" s="552"/>
      <c r="DU10" s="552"/>
      <c r="DV10" s="552"/>
      <c r="DW10" s="552"/>
      <c r="DX10" s="552"/>
      <c r="DY10" s="552"/>
      <c r="DZ10" s="552"/>
      <c r="EA10" s="552"/>
      <c r="EB10" s="552"/>
      <c r="EC10" s="552"/>
      <c r="ED10" s="552"/>
      <c r="EE10" s="552"/>
      <c r="EF10" s="552"/>
      <c r="EG10" s="552"/>
      <c r="EH10" s="552"/>
      <c r="EI10" s="552"/>
      <c r="EJ10" s="552"/>
      <c r="EK10" s="552"/>
      <c r="EL10" s="552"/>
      <c r="EM10" s="552"/>
      <c r="EN10" s="552"/>
      <c r="EO10" s="552"/>
      <c r="EP10" s="552"/>
      <c r="EQ10" s="552"/>
      <c r="ER10" s="552"/>
      <c r="ES10" s="552"/>
      <c r="ET10" s="552"/>
      <c r="EU10" s="552"/>
      <c r="EV10" s="552"/>
      <c r="EW10" s="552"/>
      <c r="EX10" s="552"/>
      <c r="EY10" s="552"/>
      <c r="EZ10" s="552"/>
      <c r="FA10" s="552"/>
      <c r="FB10" s="552"/>
      <c r="FC10" s="552"/>
      <c r="FD10" s="552"/>
      <c r="FE10" s="552"/>
      <c r="FF10" s="552"/>
      <c r="FG10" s="552"/>
      <c r="FH10" s="552"/>
      <c r="FI10" s="552"/>
      <c r="FJ10" s="552"/>
      <c r="FK10" s="552"/>
      <c r="FL10" s="552"/>
      <c r="FM10" s="552"/>
      <c r="FN10" s="552"/>
      <c r="FO10" s="552"/>
      <c r="FP10" s="552"/>
      <c r="FQ10" s="552"/>
      <c r="FR10" s="552"/>
      <c r="FS10" s="552"/>
      <c r="FT10" s="552"/>
      <c r="FU10" s="552"/>
      <c r="FV10" s="552"/>
      <c r="FW10" s="552"/>
      <c r="FX10" s="552"/>
      <c r="FY10" s="552"/>
      <c r="FZ10" s="552"/>
      <c r="GA10" s="552"/>
      <c r="GB10" s="552"/>
      <c r="GC10" s="552"/>
      <c r="GD10" s="552"/>
      <c r="GE10" s="552"/>
      <c r="GF10" s="552"/>
      <c r="GG10" s="552"/>
      <c r="GH10" s="552"/>
      <c r="GI10" s="552"/>
      <c r="GJ10" s="552"/>
      <c r="GK10" s="552"/>
      <c r="GL10" s="552"/>
      <c r="GM10" s="552"/>
      <c r="GN10" s="552"/>
      <c r="GO10" s="552"/>
      <c r="GP10" s="552"/>
      <c r="GQ10" s="552"/>
      <c r="GR10" s="552"/>
      <c r="GS10" s="552"/>
      <c r="GT10" s="552"/>
      <c r="GU10" s="552"/>
      <c r="GV10" s="552"/>
      <c r="GW10" s="552"/>
      <c r="GX10" s="552"/>
      <c r="GY10" s="552"/>
      <c r="GZ10" s="552"/>
      <c r="HA10" s="552"/>
      <c r="HB10" s="552"/>
      <c r="HC10" s="552"/>
      <c r="HD10" s="552"/>
      <c r="HE10" s="552"/>
      <c r="HF10" s="552"/>
      <c r="HG10" s="552"/>
      <c r="HH10" s="552"/>
      <c r="HI10" s="552"/>
      <c r="HJ10" s="552"/>
      <c r="HK10" s="552"/>
      <c r="HL10" s="552"/>
      <c r="HM10" s="552"/>
      <c r="HN10" s="552"/>
      <c r="HO10" s="552"/>
      <c r="HP10" s="552"/>
      <c r="HQ10" s="552"/>
      <c r="HR10" s="552"/>
      <c r="HS10" s="552"/>
      <c r="HT10" s="552"/>
      <c r="HU10" s="552"/>
      <c r="HV10" s="552"/>
      <c r="HW10" s="552"/>
      <c r="HX10" s="552"/>
      <c r="HY10" s="552"/>
      <c r="HZ10" s="552"/>
      <c r="IA10" s="552"/>
      <c r="IB10" s="552"/>
      <c r="IC10" s="552"/>
      <c r="ID10" s="552"/>
      <c r="IE10" s="552"/>
      <c r="IF10" s="552"/>
      <c r="IG10" s="552"/>
      <c r="IH10" s="552"/>
      <c r="II10" s="552"/>
      <c r="IJ10" s="552"/>
      <c r="IK10" s="552"/>
      <c r="IL10" s="552"/>
      <c r="IM10" s="552"/>
      <c r="IN10" s="552"/>
      <c r="IO10" s="552"/>
      <c r="IP10" s="552"/>
      <c r="IQ10" s="552"/>
      <c r="IR10" s="552"/>
      <c r="IS10" s="552"/>
      <c r="IT10" s="552"/>
      <c r="IU10" s="552"/>
      <c r="IV10" s="552"/>
    </row>
    <row r="11" spans="1:256" ht="18" customHeight="1">
      <c r="A11" s="588">
        <v>3</v>
      </c>
      <c r="B11" s="612"/>
      <c r="C11" s="559"/>
      <c r="D11" s="613" t="s">
        <v>198</v>
      </c>
      <c r="E11" s="604"/>
      <c r="F11" s="604"/>
      <c r="G11" s="614"/>
      <c r="H11" s="615"/>
      <c r="I11" s="607"/>
      <c r="J11" s="608"/>
      <c r="K11" s="608">
        <v>57375</v>
      </c>
      <c r="L11" s="608"/>
      <c r="M11" s="608"/>
      <c r="N11" s="609"/>
      <c r="O11" s="616">
        <f>SUM(I11:N11)</f>
        <v>57375</v>
      </c>
      <c r="P11" s="611"/>
    </row>
    <row r="12" spans="1:256" ht="18" customHeight="1">
      <c r="A12" s="588">
        <v>4</v>
      </c>
      <c r="B12" s="612"/>
      <c r="C12" s="559"/>
      <c r="D12" s="617" t="s">
        <v>765</v>
      </c>
      <c r="E12" s="604"/>
      <c r="F12" s="604"/>
      <c r="G12" s="614"/>
      <c r="H12" s="615"/>
      <c r="I12" s="618"/>
      <c r="J12" s="619"/>
      <c r="K12" s="619">
        <v>57375</v>
      </c>
      <c r="L12" s="619"/>
      <c r="M12" s="619"/>
      <c r="N12" s="604"/>
      <c r="O12" s="563">
        <f>SUM(I12:N12)</f>
        <v>57375</v>
      </c>
      <c r="P12" s="611"/>
    </row>
    <row r="13" spans="1:256" ht="18" customHeight="1">
      <c r="A13" s="588">
        <v>5</v>
      </c>
      <c r="B13" s="612"/>
      <c r="C13" s="559"/>
      <c r="D13" s="620" t="s">
        <v>1022</v>
      </c>
      <c r="E13" s="604"/>
      <c r="F13" s="604"/>
      <c r="G13" s="614"/>
      <c r="H13" s="615"/>
      <c r="I13" s="607"/>
      <c r="J13" s="608"/>
      <c r="K13" s="632">
        <v>33185</v>
      </c>
      <c r="L13" s="608"/>
      <c r="M13" s="608"/>
      <c r="N13" s="609"/>
      <c r="O13" s="562">
        <f>SUM(I13:N13)</f>
        <v>33185</v>
      </c>
      <c r="P13" s="611"/>
    </row>
    <row r="14" spans="1:256" ht="31">
      <c r="A14" s="588">
        <v>6</v>
      </c>
      <c r="B14" s="612"/>
      <c r="C14" s="556">
        <v>3</v>
      </c>
      <c r="D14" s="621" t="s">
        <v>1282</v>
      </c>
      <c r="E14" s="603">
        <f>F14+G14+P15+O16</f>
        <v>233789</v>
      </c>
      <c r="F14" s="622">
        <f>9749+3835+7697+140243+15</f>
        <v>161539</v>
      </c>
      <c r="G14" s="605">
        <v>71235</v>
      </c>
      <c r="H14" s="615" t="s">
        <v>231</v>
      </c>
      <c r="I14" s="623"/>
      <c r="J14" s="624"/>
      <c r="K14" s="624"/>
      <c r="L14" s="624"/>
      <c r="M14" s="624"/>
      <c r="N14" s="625"/>
      <c r="O14" s="616"/>
      <c r="P14" s="611"/>
    </row>
    <row r="15" spans="1:256" s="600" customFormat="1" ht="18" customHeight="1">
      <c r="A15" s="588">
        <v>7</v>
      </c>
      <c r="B15" s="601"/>
      <c r="C15" s="559"/>
      <c r="D15" s="613" t="s">
        <v>198</v>
      </c>
      <c r="E15" s="604"/>
      <c r="F15" s="626"/>
      <c r="G15" s="614"/>
      <c r="H15" s="615"/>
      <c r="I15" s="623"/>
      <c r="J15" s="624"/>
      <c r="K15" s="624">
        <v>1015</v>
      </c>
      <c r="L15" s="624"/>
      <c r="M15" s="624"/>
      <c r="N15" s="625"/>
      <c r="O15" s="616">
        <f>SUM(I15:N15)</f>
        <v>1015</v>
      </c>
      <c r="P15" s="611"/>
      <c r="Q15" s="552"/>
      <c r="R15" s="552"/>
      <c r="S15" s="552"/>
      <c r="T15" s="552"/>
      <c r="U15" s="552"/>
      <c r="V15" s="552"/>
      <c r="W15" s="552"/>
      <c r="X15" s="552"/>
      <c r="Y15" s="552"/>
      <c r="Z15" s="552"/>
      <c r="AA15" s="552"/>
      <c r="AB15" s="552"/>
      <c r="AC15" s="552"/>
      <c r="AD15" s="552"/>
      <c r="AE15" s="552"/>
      <c r="AF15" s="552"/>
      <c r="AG15" s="552"/>
      <c r="AH15" s="552"/>
      <c r="AI15" s="552"/>
      <c r="AJ15" s="552"/>
      <c r="AK15" s="552"/>
      <c r="AL15" s="552"/>
      <c r="AM15" s="552"/>
      <c r="AN15" s="552"/>
      <c r="AO15" s="552"/>
      <c r="AP15" s="552"/>
      <c r="AQ15" s="552"/>
      <c r="AR15" s="552"/>
      <c r="AS15" s="552"/>
      <c r="AT15" s="552"/>
      <c r="AU15" s="552"/>
      <c r="AV15" s="552"/>
      <c r="AW15" s="552"/>
      <c r="AX15" s="552"/>
      <c r="AY15" s="552"/>
      <c r="AZ15" s="552"/>
      <c r="BA15" s="552"/>
      <c r="BB15" s="552"/>
      <c r="BC15" s="552"/>
      <c r="BD15" s="552"/>
      <c r="BE15" s="552"/>
      <c r="BF15" s="552"/>
      <c r="BG15" s="552"/>
      <c r="BH15" s="552"/>
      <c r="BI15" s="552"/>
      <c r="BJ15" s="552"/>
      <c r="BK15" s="552"/>
      <c r="BL15" s="552"/>
      <c r="BM15" s="552"/>
      <c r="BN15" s="552"/>
      <c r="BO15" s="552"/>
      <c r="BP15" s="552"/>
      <c r="BQ15" s="552"/>
      <c r="BR15" s="552"/>
      <c r="BS15" s="552"/>
      <c r="BT15" s="552"/>
      <c r="BU15" s="552"/>
      <c r="BV15" s="552"/>
      <c r="BW15" s="552"/>
      <c r="BX15" s="552"/>
      <c r="BY15" s="552"/>
      <c r="BZ15" s="552"/>
      <c r="CA15" s="552"/>
      <c r="CB15" s="552"/>
      <c r="CC15" s="552"/>
      <c r="CD15" s="552"/>
      <c r="CE15" s="552"/>
      <c r="CF15" s="552"/>
      <c r="CG15" s="552"/>
      <c r="CH15" s="552"/>
      <c r="CI15" s="552"/>
      <c r="CJ15" s="552"/>
      <c r="CK15" s="552"/>
      <c r="CL15" s="552"/>
      <c r="CM15" s="552"/>
      <c r="CN15" s="552"/>
      <c r="CO15" s="552"/>
      <c r="CP15" s="552"/>
      <c r="CQ15" s="552"/>
      <c r="CR15" s="552"/>
      <c r="CS15" s="552"/>
      <c r="CT15" s="552"/>
      <c r="CU15" s="552"/>
      <c r="CV15" s="552"/>
      <c r="CW15" s="552"/>
      <c r="CX15" s="552"/>
      <c r="CY15" s="552"/>
      <c r="CZ15" s="552"/>
      <c r="DA15" s="552"/>
      <c r="DB15" s="552"/>
      <c r="DC15" s="552"/>
      <c r="DD15" s="552"/>
      <c r="DE15" s="552"/>
      <c r="DF15" s="552"/>
      <c r="DG15" s="552"/>
      <c r="DH15" s="552"/>
      <c r="DI15" s="552"/>
      <c r="DJ15" s="552"/>
      <c r="DK15" s="552"/>
      <c r="DL15" s="552"/>
      <c r="DM15" s="552"/>
      <c r="DN15" s="552"/>
      <c r="DO15" s="552"/>
      <c r="DP15" s="552"/>
      <c r="DQ15" s="552"/>
      <c r="DR15" s="552"/>
      <c r="DS15" s="552"/>
      <c r="DT15" s="552"/>
      <c r="DU15" s="552"/>
      <c r="DV15" s="552"/>
      <c r="DW15" s="552"/>
      <c r="DX15" s="552"/>
      <c r="DY15" s="552"/>
      <c r="DZ15" s="552"/>
      <c r="EA15" s="552"/>
      <c r="EB15" s="552"/>
      <c r="EC15" s="552"/>
      <c r="ED15" s="552"/>
      <c r="EE15" s="552"/>
      <c r="EF15" s="552"/>
      <c r="EG15" s="552"/>
      <c r="EH15" s="552"/>
      <c r="EI15" s="552"/>
      <c r="EJ15" s="552"/>
      <c r="EK15" s="552"/>
      <c r="EL15" s="552"/>
      <c r="EM15" s="552"/>
      <c r="EN15" s="552"/>
      <c r="EO15" s="552"/>
      <c r="EP15" s="552"/>
      <c r="EQ15" s="552"/>
      <c r="ER15" s="552"/>
      <c r="ES15" s="552"/>
      <c r="ET15" s="552"/>
      <c r="EU15" s="552"/>
      <c r="EV15" s="552"/>
      <c r="EW15" s="552"/>
      <c r="EX15" s="552"/>
      <c r="EY15" s="552"/>
      <c r="EZ15" s="552"/>
      <c r="FA15" s="552"/>
      <c r="FB15" s="552"/>
      <c r="FC15" s="552"/>
      <c r="FD15" s="552"/>
      <c r="FE15" s="552"/>
      <c r="FF15" s="552"/>
      <c r="FG15" s="552"/>
      <c r="FH15" s="552"/>
      <c r="FI15" s="552"/>
      <c r="FJ15" s="552"/>
      <c r="FK15" s="552"/>
      <c r="FL15" s="552"/>
      <c r="FM15" s="552"/>
      <c r="FN15" s="552"/>
      <c r="FO15" s="552"/>
      <c r="FP15" s="552"/>
      <c r="FQ15" s="552"/>
      <c r="FR15" s="552"/>
      <c r="FS15" s="552"/>
      <c r="FT15" s="552"/>
      <c r="FU15" s="552"/>
      <c r="FV15" s="552"/>
      <c r="FW15" s="552"/>
      <c r="FX15" s="552"/>
      <c r="FY15" s="552"/>
      <c r="FZ15" s="552"/>
      <c r="GA15" s="552"/>
      <c r="GB15" s="552"/>
      <c r="GC15" s="552"/>
      <c r="GD15" s="552"/>
      <c r="GE15" s="552"/>
      <c r="GF15" s="552"/>
      <c r="GG15" s="552"/>
      <c r="GH15" s="552"/>
      <c r="GI15" s="552"/>
      <c r="GJ15" s="552"/>
      <c r="GK15" s="552"/>
      <c r="GL15" s="552"/>
      <c r="GM15" s="552"/>
      <c r="GN15" s="552"/>
      <c r="GO15" s="552"/>
      <c r="GP15" s="552"/>
      <c r="GQ15" s="552"/>
      <c r="GR15" s="552"/>
      <c r="GS15" s="552"/>
      <c r="GT15" s="552"/>
      <c r="GU15" s="552"/>
      <c r="GV15" s="552"/>
      <c r="GW15" s="552"/>
      <c r="GX15" s="552"/>
      <c r="GY15" s="552"/>
      <c r="GZ15" s="552"/>
      <c r="HA15" s="552"/>
      <c r="HB15" s="552"/>
      <c r="HC15" s="552"/>
      <c r="HD15" s="552"/>
      <c r="HE15" s="552"/>
      <c r="HF15" s="552"/>
      <c r="HG15" s="552"/>
      <c r="HH15" s="552"/>
      <c r="HI15" s="552"/>
      <c r="HJ15" s="552"/>
      <c r="HK15" s="552"/>
      <c r="HL15" s="552"/>
      <c r="HM15" s="552"/>
      <c r="HN15" s="552"/>
      <c r="HO15" s="552"/>
      <c r="HP15" s="552"/>
      <c r="HQ15" s="552"/>
      <c r="HR15" s="552"/>
      <c r="HS15" s="552"/>
      <c r="HT15" s="552"/>
      <c r="HU15" s="552"/>
      <c r="HV15" s="552"/>
      <c r="HW15" s="552"/>
      <c r="HX15" s="552"/>
      <c r="HY15" s="552"/>
      <c r="HZ15" s="552"/>
      <c r="IA15" s="552"/>
      <c r="IB15" s="552"/>
      <c r="IC15" s="552"/>
      <c r="ID15" s="552"/>
      <c r="IE15" s="552"/>
      <c r="IF15" s="552"/>
      <c r="IG15" s="552"/>
      <c r="IH15" s="552"/>
      <c r="II15" s="552"/>
      <c r="IJ15" s="552"/>
      <c r="IK15" s="552"/>
      <c r="IL15" s="552"/>
      <c r="IM15" s="552"/>
      <c r="IN15" s="552"/>
      <c r="IO15" s="552"/>
      <c r="IP15" s="552"/>
      <c r="IQ15" s="552"/>
      <c r="IR15" s="552"/>
      <c r="IS15" s="552"/>
      <c r="IT15" s="552"/>
      <c r="IU15" s="552"/>
      <c r="IV15" s="552"/>
    </row>
    <row r="16" spans="1:256" s="600" customFormat="1" ht="18" customHeight="1">
      <c r="A16" s="588">
        <v>8</v>
      </c>
      <c r="B16" s="601"/>
      <c r="C16" s="559"/>
      <c r="D16" s="617" t="s">
        <v>765</v>
      </c>
      <c r="E16" s="604"/>
      <c r="F16" s="626"/>
      <c r="G16" s="614"/>
      <c r="H16" s="615"/>
      <c r="I16" s="623"/>
      <c r="J16" s="624"/>
      <c r="K16" s="627">
        <v>1015</v>
      </c>
      <c r="L16" s="624"/>
      <c r="M16" s="624"/>
      <c r="N16" s="625"/>
      <c r="O16" s="563">
        <f>SUM(I16:N16)</f>
        <v>1015</v>
      </c>
      <c r="P16" s="611"/>
      <c r="Q16" s="552"/>
      <c r="R16" s="552"/>
      <c r="S16" s="552"/>
      <c r="T16" s="552"/>
      <c r="U16" s="552"/>
      <c r="V16" s="552"/>
      <c r="W16" s="552"/>
      <c r="X16" s="552"/>
      <c r="Y16" s="552"/>
      <c r="Z16" s="552"/>
      <c r="AA16" s="552"/>
      <c r="AB16" s="552"/>
      <c r="AC16" s="552"/>
      <c r="AD16" s="552"/>
      <c r="AE16" s="552"/>
      <c r="AF16" s="552"/>
      <c r="AG16" s="552"/>
      <c r="AH16" s="552"/>
      <c r="AI16" s="552"/>
      <c r="AJ16" s="552"/>
      <c r="AK16" s="552"/>
      <c r="AL16" s="552"/>
      <c r="AM16" s="552"/>
      <c r="AN16" s="552"/>
      <c r="AO16" s="552"/>
      <c r="AP16" s="552"/>
      <c r="AQ16" s="552"/>
      <c r="AR16" s="552"/>
      <c r="AS16" s="552"/>
      <c r="AT16" s="552"/>
      <c r="AU16" s="552"/>
      <c r="AV16" s="552"/>
      <c r="AW16" s="552"/>
      <c r="AX16" s="552"/>
      <c r="AY16" s="552"/>
      <c r="AZ16" s="552"/>
      <c r="BA16" s="552"/>
      <c r="BB16" s="552"/>
      <c r="BC16" s="552"/>
      <c r="BD16" s="552"/>
      <c r="BE16" s="552"/>
      <c r="BF16" s="552"/>
      <c r="BG16" s="552"/>
      <c r="BH16" s="552"/>
      <c r="BI16" s="552"/>
      <c r="BJ16" s="552"/>
      <c r="BK16" s="552"/>
      <c r="BL16" s="552"/>
      <c r="BM16" s="552"/>
      <c r="BN16" s="552"/>
      <c r="BO16" s="552"/>
      <c r="BP16" s="552"/>
      <c r="BQ16" s="552"/>
      <c r="BR16" s="552"/>
      <c r="BS16" s="552"/>
      <c r="BT16" s="552"/>
      <c r="BU16" s="552"/>
      <c r="BV16" s="552"/>
      <c r="BW16" s="552"/>
      <c r="BX16" s="552"/>
      <c r="BY16" s="552"/>
      <c r="BZ16" s="552"/>
      <c r="CA16" s="552"/>
      <c r="CB16" s="552"/>
      <c r="CC16" s="552"/>
      <c r="CD16" s="552"/>
      <c r="CE16" s="552"/>
      <c r="CF16" s="552"/>
      <c r="CG16" s="552"/>
      <c r="CH16" s="552"/>
      <c r="CI16" s="552"/>
      <c r="CJ16" s="552"/>
      <c r="CK16" s="552"/>
      <c r="CL16" s="552"/>
      <c r="CM16" s="552"/>
      <c r="CN16" s="552"/>
      <c r="CO16" s="552"/>
      <c r="CP16" s="552"/>
      <c r="CQ16" s="552"/>
      <c r="CR16" s="552"/>
      <c r="CS16" s="552"/>
      <c r="CT16" s="552"/>
      <c r="CU16" s="552"/>
      <c r="CV16" s="552"/>
      <c r="CW16" s="552"/>
      <c r="CX16" s="552"/>
      <c r="CY16" s="552"/>
      <c r="CZ16" s="552"/>
      <c r="DA16" s="552"/>
      <c r="DB16" s="552"/>
      <c r="DC16" s="552"/>
      <c r="DD16" s="552"/>
      <c r="DE16" s="552"/>
      <c r="DF16" s="552"/>
      <c r="DG16" s="552"/>
      <c r="DH16" s="552"/>
      <c r="DI16" s="552"/>
      <c r="DJ16" s="552"/>
      <c r="DK16" s="552"/>
      <c r="DL16" s="552"/>
      <c r="DM16" s="552"/>
      <c r="DN16" s="552"/>
      <c r="DO16" s="552"/>
      <c r="DP16" s="552"/>
      <c r="DQ16" s="552"/>
      <c r="DR16" s="552"/>
      <c r="DS16" s="552"/>
      <c r="DT16" s="552"/>
      <c r="DU16" s="552"/>
      <c r="DV16" s="552"/>
      <c r="DW16" s="552"/>
      <c r="DX16" s="552"/>
      <c r="DY16" s="552"/>
      <c r="DZ16" s="552"/>
      <c r="EA16" s="552"/>
      <c r="EB16" s="552"/>
      <c r="EC16" s="552"/>
      <c r="ED16" s="552"/>
      <c r="EE16" s="552"/>
      <c r="EF16" s="552"/>
      <c r="EG16" s="552"/>
      <c r="EH16" s="552"/>
      <c r="EI16" s="552"/>
      <c r="EJ16" s="552"/>
      <c r="EK16" s="552"/>
      <c r="EL16" s="552"/>
      <c r="EM16" s="552"/>
      <c r="EN16" s="552"/>
      <c r="EO16" s="552"/>
      <c r="EP16" s="552"/>
      <c r="EQ16" s="552"/>
      <c r="ER16" s="552"/>
      <c r="ES16" s="552"/>
      <c r="ET16" s="552"/>
      <c r="EU16" s="552"/>
      <c r="EV16" s="552"/>
      <c r="EW16" s="552"/>
      <c r="EX16" s="552"/>
      <c r="EY16" s="552"/>
      <c r="EZ16" s="552"/>
      <c r="FA16" s="552"/>
      <c r="FB16" s="552"/>
      <c r="FC16" s="552"/>
      <c r="FD16" s="552"/>
      <c r="FE16" s="552"/>
      <c r="FF16" s="552"/>
      <c r="FG16" s="552"/>
      <c r="FH16" s="552"/>
      <c r="FI16" s="552"/>
      <c r="FJ16" s="552"/>
      <c r="FK16" s="552"/>
      <c r="FL16" s="552"/>
      <c r="FM16" s="552"/>
      <c r="FN16" s="552"/>
      <c r="FO16" s="552"/>
      <c r="FP16" s="552"/>
      <c r="FQ16" s="552"/>
      <c r="FR16" s="552"/>
      <c r="FS16" s="552"/>
      <c r="FT16" s="552"/>
      <c r="FU16" s="552"/>
      <c r="FV16" s="552"/>
      <c r="FW16" s="552"/>
      <c r="FX16" s="552"/>
      <c r="FY16" s="552"/>
      <c r="FZ16" s="552"/>
      <c r="GA16" s="552"/>
      <c r="GB16" s="552"/>
      <c r="GC16" s="552"/>
      <c r="GD16" s="552"/>
      <c r="GE16" s="552"/>
      <c r="GF16" s="552"/>
      <c r="GG16" s="552"/>
      <c r="GH16" s="552"/>
      <c r="GI16" s="552"/>
      <c r="GJ16" s="552"/>
      <c r="GK16" s="552"/>
      <c r="GL16" s="552"/>
      <c r="GM16" s="552"/>
      <c r="GN16" s="552"/>
      <c r="GO16" s="552"/>
      <c r="GP16" s="552"/>
      <c r="GQ16" s="552"/>
      <c r="GR16" s="552"/>
      <c r="GS16" s="552"/>
      <c r="GT16" s="552"/>
      <c r="GU16" s="552"/>
      <c r="GV16" s="552"/>
      <c r="GW16" s="552"/>
      <c r="GX16" s="552"/>
      <c r="GY16" s="552"/>
      <c r="GZ16" s="552"/>
      <c r="HA16" s="552"/>
      <c r="HB16" s="552"/>
      <c r="HC16" s="552"/>
      <c r="HD16" s="552"/>
      <c r="HE16" s="552"/>
      <c r="HF16" s="552"/>
      <c r="HG16" s="552"/>
      <c r="HH16" s="552"/>
      <c r="HI16" s="552"/>
      <c r="HJ16" s="552"/>
      <c r="HK16" s="552"/>
      <c r="HL16" s="552"/>
      <c r="HM16" s="552"/>
      <c r="HN16" s="552"/>
      <c r="HO16" s="552"/>
      <c r="HP16" s="552"/>
      <c r="HQ16" s="552"/>
      <c r="HR16" s="552"/>
      <c r="HS16" s="552"/>
      <c r="HT16" s="552"/>
      <c r="HU16" s="552"/>
      <c r="HV16" s="552"/>
      <c r="HW16" s="552"/>
      <c r="HX16" s="552"/>
      <c r="HY16" s="552"/>
      <c r="HZ16" s="552"/>
      <c r="IA16" s="552"/>
      <c r="IB16" s="552"/>
      <c r="IC16" s="552"/>
      <c r="ID16" s="552"/>
      <c r="IE16" s="552"/>
      <c r="IF16" s="552"/>
      <c r="IG16" s="552"/>
      <c r="IH16" s="552"/>
      <c r="II16" s="552"/>
      <c r="IJ16" s="552"/>
      <c r="IK16" s="552"/>
      <c r="IL16" s="552"/>
      <c r="IM16" s="552"/>
      <c r="IN16" s="552"/>
      <c r="IO16" s="552"/>
      <c r="IP16" s="552"/>
      <c r="IQ16" s="552"/>
      <c r="IR16" s="552"/>
      <c r="IS16" s="552"/>
      <c r="IT16" s="552"/>
      <c r="IU16" s="552"/>
      <c r="IV16" s="552"/>
    </row>
    <row r="17" spans="1:256" s="600" customFormat="1" ht="18" customHeight="1">
      <c r="A17" s="588">
        <v>9</v>
      </c>
      <c r="B17" s="601"/>
      <c r="C17" s="559"/>
      <c r="D17" s="620" t="s">
        <v>1022</v>
      </c>
      <c r="E17" s="604"/>
      <c r="F17" s="626"/>
      <c r="G17" s="614"/>
      <c r="H17" s="615"/>
      <c r="I17" s="623"/>
      <c r="J17" s="624"/>
      <c r="K17" s="624"/>
      <c r="L17" s="624"/>
      <c r="M17" s="624"/>
      <c r="N17" s="625"/>
      <c r="O17" s="562">
        <f>SUM(I17:N17)</f>
        <v>0</v>
      </c>
      <c r="P17" s="611"/>
      <c r="Q17" s="552"/>
      <c r="R17" s="552"/>
      <c r="S17" s="552"/>
      <c r="T17" s="552"/>
      <c r="U17" s="552"/>
      <c r="V17" s="552"/>
      <c r="W17" s="552"/>
      <c r="X17" s="552"/>
      <c r="Y17" s="552"/>
      <c r="Z17" s="552"/>
      <c r="AA17" s="552"/>
      <c r="AB17" s="552"/>
      <c r="AC17" s="552"/>
      <c r="AD17" s="552"/>
      <c r="AE17" s="552"/>
      <c r="AF17" s="552"/>
      <c r="AG17" s="552"/>
      <c r="AH17" s="552"/>
      <c r="AI17" s="552"/>
      <c r="AJ17" s="552"/>
      <c r="AK17" s="552"/>
      <c r="AL17" s="552"/>
      <c r="AM17" s="552"/>
      <c r="AN17" s="552"/>
      <c r="AO17" s="552"/>
      <c r="AP17" s="552"/>
      <c r="AQ17" s="552"/>
      <c r="AR17" s="552"/>
      <c r="AS17" s="552"/>
      <c r="AT17" s="552"/>
      <c r="AU17" s="552"/>
      <c r="AV17" s="552"/>
      <c r="AW17" s="552"/>
      <c r="AX17" s="552"/>
      <c r="AY17" s="552"/>
      <c r="AZ17" s="552"/>
      <c r="BA17" s="552"/>
      <c r="BB17" s="552"/>
      <c r="BC17" s="552"/>
      <c r="BD17" s="552"/>
      <c r="BE17" s="552"/>
      <c r="BF17" s="552"/>
      <c r="BG17" s="552"/>
      <c r="BH17" s="552"/>
      <c r="BI17" s="552"/>
      <c r="BJ17" s="552"/>
      <c r="BK17" s="552"/>
      <c r="BL17" s="552"/>
      <c r="BM17" s="552"/>
      <c r="BN17" s="552"/>
      <c r="BO17" s="552"/>
      <c r="BP17" s="552"/>
      <c r="BQ17" s="552"/>
      <c r="BR17" s="552"/>
      <c r="BS17" s="552"/>
      <c r="BT17" s="552"/>
      <c r="BU17" s="552"/>
      <c r="BV17" s="552"/>
      <c r="BW17" s="552"/>
      <c r="BX17" s="552"/>
      <c r="BY17" s="552"/>
      <c r="BZ17" s="552"/>
      <c r="CA17" s="552"/>
      <c r="CB17" s="552"/>
      <c r="CC17" s="552"/>
      <c r="CD17" s="552"/>
      <c r="CE17" s="552"/>
      <c r="CF17" s="552"/>
      <c r="CG17" s="552"/>
      <c r="CH17" s="552"/>
      <c r="CI17" s="552"/>
      <c r="CJ17" s="552"/>
      <c r="CK17" s="552"/>
      <c r="CL17" s="552"/>
      <c r="CM17" s="552"/>
      <c r="CN17" s="552"/>
      <c r="CO17" s="552"/>
      <c r="CP17" s="552"/>
      <c r="CQ17" s="552"/>
      <c r="CR17" s="552"/>
      <c r="CS17" s="552"/>
      <c r="CT17" s="552"/>
      <c r="CU17" s="552"/>
      <c r="CV17" s="552"/>
      <c r="CW17" s="552"/>
      <c r="CX17" s="552"/>
      <c r="CY17" s="552"/>
      <c r="CZ17" s="552"/>
      <c r="DA17" s="552"/>
      <c r="DB17" s="552"/>
      <c r="DC17" s="552"/>
      <c r="DD17" s="552"/>
      <c r="DE17" s="552"/>
      <c r="DF17" s="552"/>
      <c r="DG17" s="552"/>
      <c r="DH17" s="552"/>
      <c r="DI17" s="552"/>
      <c r="DJ17" s="552"/>
      <c r="DK17" s="552"/>
      <c r="DL17" s="552"/>
      <c r="DM17" s="552"/>
      <c r="DN17" s="552"/>
      <c r="DO17" s="552"/>
      <c r="DP17" s="552"/>
      <c r="DQ17" s="552"/>
      <c r="DR17" s="552"/>
      <c r="DS17" s="552"/>
      <c r="DT17" s="552"/>
      <c r="DU17" s="552"/>
      <c r="DV17" s="552"/>
      <c r="DW17" s="552"/>
      <c r="DX17" s="552"/>
      <c r="DY17" s="552"/>
      <c r="DZ17" s="552"/>
      <c r="EA17" s="552"/>
      <c r="EB17" s="552"/>
      <c r="EC17" s="552"/>
      <c r="ED17" s="552"/>
      <c r="EE17" s="552"/>
      <c r="EF17" s="552"/>
      <c r="EG17" s="552"/>
      <c r="EH17" s="552"/>
      <c r="EI17" s="552"/>
      <c r="EJ17" s="552"/>
      <c r="EK17" s="552"/>
      <c r="EL17" s="552"/>
      <c r="EM17" s="552"/>
      <c r="EN17" s="552"/>
      <c r="EO17" s="552"/>
      <c r="EP17" s="552"/>
      <c r="EQ17" s="552"/>
      <c r="ER17" s="552"/>
      <c r="ES17" s="552"/>
      <c r="ET17" s="552"/>
      <c r="EU17" s="552"/>
      <c r="EV17" s="552"/>
      <c r="EW17" s="552"/>
      <c r="EX17" s="552"/>
      <c r="EY17" s="552"/>
      <c r="EZ17" s="552"/>
      <c r="FA17" s="552"/>
      <c r="FB17" s="552"/>
      <c r="FC17" s="552"/>
      <c r="FD17" s="552"/>
      <c r="FE17" s="552"/>
      <c r="FF17" s="552"/>
      <c r="FG17" s="552"/>
      <c r="FH17" s="552"/>
      <c r="FI17" s="552"/>
      <c r="FJ17" s="552"/>
      <c r="FK17" s="552"/>
      <c r="FL17" s="552"/>
      <c r="FM17" s="552"/>
      <c r="FN17" s="552"/>
      <c r="FO17" s="552"/>
      <c r="FP17" s="552"/>
      <c r="FQ17" s="552"/>
      <c r="FR17" s="552"/>
      <c r="FS17" s="552"/>
      <c r="FT17" s="552"/>
      <c r="FU17" s="552"/>
      <c r="FV17" s="552"/>
      <c r="FW17" s="552"/>
      <c r="FX17" s="552"/>
      <c r="FY17" s="552"/>
      <c r="FZ17" s="552"/>
      <c r="GA17" s="552"/>
      <c r="GB17" s="552"/>
      <c r="GC17" s="552"/>
      <c r="GD17" s="552"/>
      <c r="GE17" s="552"/>
      <c r="GF17" s="552"/>
      <c r="GG17" s="552"/>
      <c r="GH17" s="552"/>
      <c r="GI17" s="552"/>
      <c r="GJ17" s="552"/>
      <c r="GK17" s="552"/>
      <c r="GL17" s="552"/>
      <c r="GM17" s="552"/>
      <c r="GN17" s="552"/>
      <c r="GO17" s="552"/>
      <c r="GP17" s="552"/>
      <c r="GQ17" s="552"/>
      <c r="GR17" s="552"/>
      <c r="GS17" s="552"/>
      <c r="GT17" s="552"/>
      <c r="GU17" s="552"/>
      <c r="GV17" s="552"/>
      <c r="GW17" s="552"/>
      <c r="GX17" s="552"/>
      <c r="GY17" s="552"/>
      <c r="GZ17" s="552"/>
      <c r="HA17" s="552"/>
      <c r="HB17" s="552"/>
      <c r="HC17" s="552"/>
      <c r="HD17" s="552"/>
      <c r="HE17" s="552"/>
      <c r="HF17" s="552"/>
      <c r="HG17" s="552"/>
      <c r="HH17" s="552"/>
      <c r="HI17" s="552"/>
      <c r="HJ17" s="552"/>
      <c r="HK17" s="552"/>
      <c r="HL17" s="552"/>
      <c r="HM17" s="552"/>
      <c r="HN17" s="552"/>
      <c r="HO17" s="552"/>
      <c r="HP17" s="552"/>
      <c r="HQ17" s="552"/>
      <c r="HR17" s="552"/>
      <c r="HS17" s="552"/>
      <c r="HT17" s="552"/>
      <c r="HU17" s="552"/>
      <c r="HV17" s="552"/>
      <c r="HW17" s="552"/>
      <c r="HX17" s="552"/>
      <c r="HY17" s="552"/>
      <c r="HZ17" s="552"/>
      <c r="IA17" s="552"/>
      <c r="IB17" s="552"/>
      <c r="IC17" s="552"/>
      <c r="ID17" s="552"/>
      <c r="IE17" s="552"/>
      <c r="IF17" s="552"/>
      <c r="IG17" s="552"/>
      <c r="IH17" s="552"/>
      <c r="II17" s="552"/>
      <c r="IJ17" s="552"/>
      <c r="IK17" s="552"/>
      <c r="IL17" s="552"/>
      <c r="IM17" s="552"/>
      <c r="IN17" s="552"/>
      <c r="IO17" s="552"/>
      <c r="IP17" s="552"/>
      <c r="IQ17" s="552"/>
      <c r="IR17" s="552"/>
      <c r="IS17" s="552"/>
      <c r="IT17" s="552"/>
      <c r="IU17" s="552"/>
      <c r="IV17" s="552"/>
    </row>
    <row r="18" spans="1:256" ht="31">
      <c r="A18" s="588">
        <v>10</v>
      </c>
      <c r="B18" s="612"/>
      <c r="C18" s="556">
        <v>4</v>
      </c>
      <c r="D18" s="621" t="s">
        <v>655</v>
      </c>
      <c r="E18" s="603">
        <f>F18+G18+P19+O20</f>
        <v>488600</v>
      </c>
      <c r="F18" s="622">
        <f>326+17127+3982+72298+198271</f>
        <v>292004</v>
      </c>
      <c r="G18" s="605">
        <v>191677</v>
      </c>
      <c r="H18" s="615" t="s">
        <v>231</v>
      </c>
      <c r="I18" s="623"/>
      <c r="J18" s="624"/>
      <c r="K18" s="624"/>
      <c r="L18" s="624"/>
      <c r="M18" s="624"/>
      <c r="N18" s="625"/>
      <c r="O18" s="616"/>
      <c r="P18" s="611"/>
    </row>
    <row r="19" spans="1:256" s="600" customFormat="1" ht="18" customHeight="1">
      <c r="A19" s="588">
        <v>11</v>
      </c>
      <c r="B19" s="601"/>
      <c r="C19" s="556"/>
      <c r="D19" s="613" t="s">
        <v>198</v>
      </c>
      <c r="E19" s="604"/>
      <c r="F19" s="626"/>
      <c r="G19" s="614"/>
      <c r="H19" s="615"/>
      <c r="I19" s="623"/>
      <c r="J19" s="624"/>
      <c r="K19" s="624"/>
      <c r="L19" s="624"/>
      <c r="M19" s="624">
        <v>4919</v>
      </c>
      <c r="N19" s="625"/>
      <c r="O19" s="616">
        <f>SUM(I19:N19)</f>
        <v>4919</v>
      </c>
      <c r="P19" s="611"/>
      <c r="Q19" s="552"/>
      <c r="R19" s="552"/>
      <c r="S19" s="552"/>
      <c r="T19" s="552"/>
      <c r="U19" s="552"/>
      <c r="V19" s="552"/>
      <c r="W19" s="552"/>
      <c r="X19" s="552"/>
      <c r="Y19" s="552"/>
      <c r="Z19" s="552"/>
      <c r="AA19" s="552"/>
      <c r="AB19" s="552"/>
      <c r="AC19" s="552"/>
      <c r="AD19" s="552"/>
      <c r="AE19" s="552"/>
      <c r="AF19" s="552"/>
      <c r="AG19" s="552"/>
      <c r="AH19" s="552"/>
      <c r="AI19" s="552"/>
      <c r="AJ19" s="552"/>
      <c r="AK19" s="552"/>
      <c r="AL19" s="552"/>
      <c r="AM19" s="552"/>
      <c r="AN19" s="552"/>
      <c r="AO19" s="552"/>
      <c r="AP19" s="552"/>
      <c r="AQ19" s="552"/>
      <c r="AR19" s="552"/>
      <c r="AS19" s="552"/>
      <c r="AT19" s="552"/>
      <c r="AU19" s="552"/>
      <c r="AV19" s="552"/>
      <c r="AW19" s="552"/>
      <c r="AX19" s="552"/>
      <c r="AY19" s="552"/>
      <c r="AZ19" s="552"/>
      <c r="BA19" s="552"/>
      <c r="BB19" s="552"/>
      <c r="BC19" s="552"/>
      <c r="BD19" s="552"/>
      <c r="BE19" s="552"/>
      <c r="BF19" s="552"/>
      <c r="BG19" s="552"/>
      <c r="BH19" s="552"/>
      <c r="BI19" s="552"/>
      <c r="BJ19" s="552"/>
      <c r="BK19" s="552"/>
      <c r="BL19" s="552"/>
      <c r="BM19" s="552"/>
      <c r="BN19" s="552"/>
      <c r="BO19" s="552"/>
      <c r="BP19" s="552"/>
      <c r="BQ19" s="552"/>
      <c r="BR19" s="552"/>
      <c r="BS19" s="552"/>
      <c r="BT19" s="552"/>
      <c r="BU19" s="552"/>
      <c r="BV19" s="552"/>
      <c r="BW19" s="552"/>
      <c r="BX19" s="552"/>
      <c r="BY19" s="552"/>
      <c r="BZ19" s="552"/>
      <c r="CA19" s="552"/>
      <c r="CB19" s="552"/>
      <c r="CC19" s="552"/>
      <c r="CD19" s="552"/>
      <c r="CE19" s="552"/>
      <c r="CF19" s="552"/>
      <c r="CG19" s="552"/>
      <c r="CH19" s="552"/>
      <c r="CI19" s="552"/>
      <c r="CJ19" s="552"/>
      <c r="CK19" s="552"/>
      <c r="CL19" s="552"/>
      <c r="CM19" s="552"/>
      <c r="CN19" s="552"/>
      <c r="CO19" s="552"/>
      <c r="CP19" s="552"/>
      <c r="CQ19" s="552"/>
      <c r="CR19" s="552"/>
      <c r="CS19" s="552"/>
      <c r="CT19" s="552"/>
      <c r="CU19" s="552"/>
      <c r="CV19" s="552"/>
      <c r="CW19" s="552"/>
      <c r="CX19" s="552"/>
      <c r="CY19" s="552"/>
      <c r="CZ19" s="552"/>
      <c r="DA19" s="552"/>
      <c r="DB19" s="552"/>
      <c r="DC19" s="552"/>
      <c r="DD19" s="552"/>
      <c r="DE19" s="552"/>
      <c r="DF19" s="552"/>
      <c r="DG19" s="552"/>
      <c r="DH19" s="552"/>
      <c r="DI19" s="552"/>
      <c r="DJ19" s="552"/>
      <c r="DK19" s="552"/>
      <c r="DL19" s="552"/>
      <c r="DM19" s="552"/>
      <c r="DN19" s="552"/>
      <c r="DO19" s="552"/>
      <c r="DP19" s="552"/>
      <c r="DQ19" s="552"/>
      <c r="DR19" s="552"/>
      <c r="DS19" s="552"/>
      <c r="DT19" s="552"/>
      <c r="DU19" s="552"/>
      <c r="DV19" s="552"/>
      <c r="DW19" s="552"/>
      <c r="DX19" s="552"/>
      <c r="DY19" s="552"/>
      <c r="DZ19" s="552"/>
      <c r="EA19" s="552"/>
      <c r="EB19" s="552"/>
      <c r="EC19" s="552"/>
      <c r="ED19" s="552"/>
      <c r="EE19" s="552"/>
      <c r="EF19" s="552"/>
      <c r="EG19" s="552"/>
      <c r="EH19" s="552"/>
      <c r="EI19" s="552"/>
      <c r="EJ19" s="552"/>
      <c r="EK19" s="552"/>
      <c r="EL19" s="552"/>
      <c r="EM19" s="552"/>
      <c r="EN19" s="552"/>
      <c r="EO19" s="552"/>
      <c r="EP19" s="552"/>
      <c r="EQ19" s="552"/>
      <c r="ER19" s="552"/>
      <c r="ES19" s="552"/>
      <c r="ET19" s="552"/>
      <c r="EU19" s="552"/>
      <c r="EV19" s="552"/>
      <c r="EW19" s="552"/>
      <c r="EX19" s="552"/>
      <c r="EY19" s="552"/>
      <c r="EZ19" s="552"/>
      <c r="FA19" s="552"/>
      <c r="FB19" s="552"/>
      <c r="FC19" s="552"/>
      <c r="FD19" s="552"/>
      <c r="FE19" s="552"/>
      <c r="FF19" s="552"/>
      <c r="FG19" s="552"/>
      <c r="FH19" s="552"/>
      <c r="FI19" s="552"/>
      <c r="FJ19" s="552"/>
      <c r="FK19" s="552"/>
      <c r="FL19" s="552"/>
      <c r="FM19" s="552"/>
      <c r="FN19" s="552"/>
      <c r="FO19" s="552"/>
      <c r="FP19" s="552"/>
      <c r="FQ19" s="552"/>
      <c r="FR19" s="552"/>
      <c r="FS19" s="552"/>
      <c r="FT19" s="552"/>
      <c r="FU19" s="552"/>
      <c r="FV19" s="552"/>
      <c r="FW19" s="552"/>
      <c r="FX19" s="552"/>
      <c r="FY19" s="552"/>
      <c r="FZ19" s="552"/>
      <c r="GA19" s="552"/>
      <c r="GB19" s="552"/>
      <c r="GC19" s="552"/>
      <c r="GD19" s="552"/>
      <c r="GE19" s="552"/>
      <c r="GF19" s="552"/>
      <c r="GG19" s="552"/>
      <c r="GH19" s="552"/>
      <c r="GI19" s="552"/>
      <c r="GJ19" s="552"/>
      <c r="GK19" s="552"/>
      <c r="GL19" s="552"/>
      <c r="GM19" s="552"/>
      <c r="GN19" s="552"/>
      <c r="GO19" s="552"/>
      <c r="GP19" s="552"/>
      <c r="GQ19" s="552"/>
      <c r="GR19" s="552"/>
      <c r="GS19" s="552"/>
      <c r="GT19" s="552"/>
      <c r="GU19" s="552"/>
      <c r="GV19" s="552"/>
      <c r="GW19" s="552"/>
      <c r="GX19" s="552"/>
      <c r="GY19" s="552"/>
      <c r="GZ19" s="552"/>
      <c r="HA19" s="552"/>
      <c r="HB19" s="552"/>
      <c r="HC19" s="552"/>
      <c r="HD19" s="552"/>
      <c r="HE19" s="552"/>
      <c r="HF19" s="552"/>
      <c r="HG19" s="552"/>
      <c r="HH19" s="552"/>
      <c r="HI19" s="552"/>
      <c r="HJ19" s="552"/>
      <c r="HK19" s="552"/>
      <c r="HL19" s="552"/>
      <c r="HM19" s="552"/>
      <c r="HN19" s="552"/>
      <c r="HO19" s="552"/>
      <c r="HP19" s="552"/>
      <c r="HQ19" s="552"/>
      <c r="HR19" s="552"/>
      <c r="HS19" s="552"/>
      <c r="HT19" s="552"/>
      <c r="HU19" s="552"/>
      <c r="HV19" s="552"/>
      <c r="HW19" s="552"/>
      <c r="HX19" s="552"/>
      <c r="HY19" s="552"/>
      <c r="HZ19" s="552"/>
      <c r="IA19" s="552"/>
      <c r="IB19" s="552"/>
      <c r="IC19" s="552"/>
      <c r="ID19" s="552"/>
      <c r="IE19" s="552"/>
      <c r="IF19" s="552"/>
      <c r="IG19" s="552"/>
      <c r="IH19" s="552"/>
      <c r="II19" s="552"/>
      <c r="IJ19" s="552"/>
      <c r="IK19" s="552"/>
      <c r="IL19" s="552"/>
      <c r="IM19" s="552"/>
      <c r="IN19" s="552"/>
      <c r="IO19" s="552"/>
      <c r="IP19" s="552"/>
      <c r="IQ19" s="552"/>
      <c r="IR19" s="552"/>
      <c r="IS19" s="552"/>
      <c r="IT19" s="552"/>
      <c r="IU19" s="552"/>
      <c r="IV19" s="552"/>
    </row>
    <row r="20" spans="1:256" s="600" customFormat="1" ht="18" customHeight="1">
      <c r="A20" s="588">
        <v>12</v>
      </c>
      <c r="B20" s="601"/>
      <c r="C20" s="556"/>
      <c r="D20" s="617" t="s">
        <v>765</v>
      </c>
      <c r="E20" s="604"/>
      <c r="F20" s="626"/>
      <c r="G20" s="614"/>
      <c r="H20" s="615"/>
      <c r="I20" s="623"/>
      <c r="J20" s="624"/>
      <c r="K20" s="624"/>
      <c r="L20" s="627">
        <v>3598</v>
      </c>
      <c r="M20" s="627">
        <v>1321</v>
      </c>
      <c r="N20" s="628"/>
      <c r="O20" s="563">
        <f>SUM(I20:N20)</f>
        <v>4919</v>
      </c>
      <c r="P20" s="611"/>
      <c r="Q20" s="552"/>
      <c r="R20" s="552"/>
      <c r="S20" s="552"/>
      <c r="T20" s="552"/>
      <c r="U20" s="552"/>
      <c r="V20" s="552"/>
      <c r="W20" s="552"/>
      <c r="X20" s="552"/>
      <c r="Y20" s="552"/>
      <c r="Z20" s="552"/>
      <c r="AA20" s="552"/>
      <c r="AB20" s="552"/>
      <c r="AC20" s="552"/>
      <c r="AD20" s="552"/>
      <c r="AE20" s="552"/>
      <c r="AF20" s="552"/>
      <c r="AG20" s="552"/>
      <c r="AH20" s="552"/>
      <c r="AI20" s="552"/>
      <c r="AJ20" s="552"/>
      <c r="AK20" s="552"/>
      <c r="AL20" s="552"/>
      <c r="AM20" s="552"/>
      <c r="AN20" s="552"/>
      <c r="AO20" s="552"/>
      <c r="AP20" s="552"/>
      <c r="AQ20" s="552"/>
      <c r="AR20" s="552"/>
      <c r="AS20" s="552"/>
      <c r="AT20" s="552"/>
      <c r="AU20" s="552"/>
      <c r="AV20" s="552"/>
      <c r="AW20" s="552"/>
      <c r="AX20" s="552"/>
      <c r="AY20" s="552"/>
      <c r="AZ20" s="552"/>
      <c r="BA20" s="552"/>
      <c r="BB20" s="552"/>
      <c r="BC20" s="552"/>
      <c r="BD20" s="552"/>
      <c r="BE20" s="552"/>
      <c r="BF20" s="552"/>
      <c r="BG20" s="552"/>
      <c r="BH20" s="552"/>
      <c r="BI20" s="552"/>
      <c r="BJ20" s="552"/>
      <c r="BK20" s="552"/>
      <c r="BL20" s="552"/>
      <c r="BM20" s="552"/>
      <c r="BN20" s="552"/>
      <c r="BO20" s="552"/>
      <c r="BP20" s="552"/>
      <c r="BQ20" s="552"/>
      <c r="BR20" s="552"/>
      <c r="BS20" s="552"/>
      <c r="BT20" s="552"/>
      <c r="BU20" s="552"/>
      <c r="BV20" s="552"/>
      <c r="BW20" s="552"/>
      <c r="BX20" s="552"/>
      <c r="BY20" s="552"/>
      <c r="BZ20" s="552"/>
      <c r="CA20" s="552"/>
      <c r="CB20" s="552"/>
      <c r="CC20" s="552"/>
      <c r="CD20" s="552"/>
      <c r="CE20" s="552"/>
      <c r="CF20" s="552"/>
      <c r="CG20" s="552"/>
      <c r="CH20" s="552"/>
      <c r="CI20" s="552"/>
      <c r="CJ20" s="552"/>
      <c r="CK20" s="552"/>
      <c r="CL20" s="552"/>
      <c r="CM20" s="552"/>
      <c r="CN20" s="552"/>
      <c r="CO20" s="552"/>
      <c r="CP20" s="552"/>
      <c r="CQ20" s="552"/>
      <c r="CR20" s="552"/>
      <c r="CS20" s="552"/>
      <c r="CT20" s="552"/>
      <c r="CU20" s="552"/>
      <c r="CV20" s="552"/>
      <c r="CW20" s="552"/>
      <c r="CX20" s="552"/>
      <c r="CY20" s="552"/>
      <c r="CZ20" s="552"/>
      <c r="DA20" s="552"/>
      <c r="DB20" s="552"/>
      <c r="DC20" s="552"/>
      <c r="DD20" s="552"/>
      <c r="DE20" s="552"/>
      <c r="DF20" s="552"/>
      <c r="DG20" s="552"/>
      <c r="DH20" s="552"/>
      <c r="DI20" s="552"/>
      <c r="DJ20" s="552"/>
      <c r="DK20" s="552"/>
      <c r="DL20" s="552"/>
      <c r="DM20" s="552"/>
      <c r="DN20" s="552"/>
      <c r="DO20" s="552"/>
      <c r="DP20" s="552"/>
      <c r="DQ20" s="552"/>
      <c r="DR20" s="552"/>
      <c r="DS20" s="552"/>
      <c r="DT20" s="552"/>
      <c r="DU20" s="552"/>
      <c r="DV20" s="552"/>
      <c r="DW20" s="552"/>
      <c r="DX20" s="552"/>
      <c r="DY20" s="552"/>
      <c r="DZ20" s="552"/>
      <c r="EA20" s="552"/>
      <c r="EB20" s="552"/>
      <c r="EC20" s="552"/>
      <c r="ED20" s="552"/>
      <c r="EE20" s="552"/>
      <c r="EF20" s="552"/>
      <c r="EG20" s="552"/>
      <c r="EH20" s="552"/>
      <c r="EI20" s="552"/>
      <c r="EJ20" s="552"/>
      <c r="EK20" s="552"/>
      <c r="EL20" s="552"/>
      <c r="EM20" s="552"/>
      <c r="EN20" s="552"/>
      <c r="EO20" s="552"/>
      <c r="EP20" s="552"/>
      <c r="EQ20" s="552"/>
      <c r="ER20" s="552"/>
      <c r="ES20" s="552"/>
      <c r="ET20" s="552"/>
      <c r="EU20" s="552"/>
      <c r="EV20" s="552"/>
      <c r="EW20" s="552"/>
      <c r="EX20" s="552"/>
      <c r="EY20" s="552"/>
      <c r="EZ20" s="552"/>
      <c r="FA20" s="552"/>
      <c r="FB20" s="552"/>
      <c r="FC20" s="552"/>
      <c r="FD20" s="552"/>
      <c r="FE20" s="552"/>
      <c r="FF20" s="552"/>
      <c r="FG20" s="552"/>
      <c r="FH20" s="552"/>
      <c r="FI20" s="552"/>
      <c r="FJ20" s="552"/>
      <c r="FK20" s="552"/>
      <c r="FL20" s="552"/>
      <c r="FM20" s="552"/>
      <c r="FN20" s="552"/>
      <c r="FO20" s="552"/>
      <c r="FP20" s="552"/>
      <c r="FQ20" s="552"/>
      <c r="FR20" s="552"/>
      <c r="FS20" s="552"/>
      <c r="FT20" s="552"/>
      <c r="FU20" s="552"/>
      <c r="FV20" s="552"/>
      <c r="FW20" s="552"/>
      <c r="FX20" s="552"/>
      <c r="FY20" s="552"/>
      <c r="FZ20" s="552"/>
      <c r="GA20" s="552"/>
      <c r="GB20" s="552"/>
      <c r="GC20" s="552"/>
      <c r="GD20" s="552"/>
      <c r="GE20" s="552"/>
      <c r="GF20" s="552"/>
      <c r="GG20" s="552"/>
      <c r="GH20" s="552"/>
      <c r="GI20" s="552"/>
      <c r="GJ20" s="552"/>
      <c r="GK20" s="552"/>
      <c r="GL20" s="552"/>
      <c r="GM20" s="552"/>
      <c r="GN20" s="552"/>
      <c r="GO20" s="552"/>
      <c r="GP20" s="552"/>
      <c r="GQ20" s="552"/>
      <c r="GR20" s="552"/>
      <c r="GS20" s="552"/>
      <c r="GT20" s="552"/>
      <c r="GU20" s="552"/>
      <c r="GV20" s="552"/>
      <c r="GW20" s="552"/>
      <c r="GX20" s="552"/>
      <c r="GY20" s="552"/>
      <c r="GZ20" s="552"/>
      <c r="HA20" s="552"/>
      <c r="HB20" s="552"/>
      <c r="HC20" s="552"/>
      <c r="HD20" s="552"/>
      <c r="HE20" s="552"/>
      <c r="HF20" s="552"/>
      <c r="HG20" s="552"/>
      <c r="HH20" s="552"/>
      <c r="HI20" s="552"/>
      <c r="HJ20" s="552"/>
      <c r="HK20" s="552"/>
      <c r="HL20" s="552"/>
      <c r="HM20" s="552"/>
      <c r="HN20" s="552"/>
      <c r="HO20" s="552"/>
      <c r="HP20" s="552"/>
      <c r="HQ20" s="552"/>
      <c r="HR20" s="552"/>
      <c r="HS20" s="552"/>
      <c r="HT20" s="552"/>
      <c r="HU20" s="552"/>
      <c r="HV20" s="552"/>
      <c r="HW20" s="552"/>
      <c r="HX20" s="552"/>
      <c r="HY20" s="552"/>
      <c r="HZ20" s="552"/>
      <c r="IA20" s="552"/>
      <c r="IB20" s="552"/>
      <c r="IC20" s="552"/>
      <c r="ID20" s="552"/>
      <c r="IE20" s="552"/>
      <c r="IF20" s="552"/>
      <c r="IG20" s="552"/>
      <c r="IH20" s="552"/>
      <c r="II20" s="552"/>
      <c r="IJ20" s="552"/>
      <c r="IK20" s="552"/>
      <c r="IL20" s="552"/>
      <c r="IM20" s="552"/>
      <c r="IN20" s="552"/>
      <c r="IO20" s="552"/>
      <c r="IP20" s="552"/>
      <c r="IQ20" s="552"/>
      <c r="IR20" s="552"/>
      <c r="IS20" s="552"/>
      <c r="IT20" s="552"/>
      <c r="IU20" s="552"/>
      <c r="IV20" s="552"/>
    </row>
    <row r="21" spans="1:256" s="600" customFormat="1" ht="18" customHeight="1">
      <c r="A21" s="588">
        <v>13</v>
      </c>
      <c r="B21" s="601"/>
      <c r="C21" s="556"/>
      <c r="D21" s="620" t="s">
        <v>1021</v>
      </c>
      <c r="E21" s="604"/>
      <c r="F21" s="626"/>
      <c r="G21" s="614"/>
      <c r="H21" s="615"/>
      <c r="I21" s="623"/>
      <c r="J21" s="624"/>
      <c r="K21" s="624"/>
      <c r="L21" s="629">
        <v>3598</v>
      </c>
      <c r="M21" s="629"/>
      <c r="N21" s="625"/>
      <c r="O21" s="562">
        <f>SUM(I21:N21)</f>
        <v>3598</v>
      </c>
      <c r="P21" s="611"/>
      <c r="Q21" s="552"/>
      <c r="R21" s="552"/>
      <c r="S21" s="552"/>
      <c r="T21" s="552"/>
      <c r="U21" s="552"/>
      <c r="V21" s="552"/>
      <c r="W21" s="552"/>
      <c r="X21" s="552"/>
      <c r="Y21" s="552"/>
      <c r="Z21" s="552"/>
      <c r="AA21" s="552"/>
      <c r="AB21" s="552"/>
      <c r="AC21" s="552"/>
      <c r="AD21" s="552"/>
      <c r="AE21" s="552"/>
      <c r="AF21" s="552"/>
      <c r="AG21" s="552"/>
      <c r="AH21" s="552"/>
      <c r="AI21" s="552"/>
      <c r="AJ21" s="552"/>
      <c r="AK21" s="552"/>
      <c r="AL21" s="552"/>
      <c r="AM21" s="552"/>
      <c r="AN21" s="552"/>
      <c r="AO21" s="552"/>
      <c r="AP21" s="552"/>
      <c r="AQ21" s="552"/>
      <c r="AR21" s="552"/>
      <c r="AS21" s="552"/>
      <c r="AT21" s="552"/>
      <c r="AU21" s="552"/>
      <c r="AV21" s="552"/>
      <c r="AW21" s="552"/>
      <c r="AX21" s="552"/>
      <c r="AY21" s="552"/>
      <c r="AZ21" s="552"/>
      <c r="BA21" s="552"/>
      <c r="BB21" s="552"/>
      <c r="BC21" s="552"/>
      <c r="BD21" s="552"/>
      <c r="BE21" s="552"/>
      <c r="BF21" s="552"/>
      <c r="BG21" s="552"/>
      <c r="BH21" s="552"/>
      <c r="BI21" s="552"/>
      <c r="BJ21" s="552"/>
      <c r="BK21" s="552"/>
      <c r="BL21" s="552"/>
      <c r="BM21" s="552"/>
      <c r="BN21" s="552"/>
      <c r="BO21" s="552"/>
      <c r="BP21" s="552"/>
      <c r="BQ21" s="552"/>
      <c r="BR21" s="552"/>
      <c r="BS21" s="552"/>
      <c r="BT21" s="552"/>
      <c r="BU21" s="552"/>
      <c r="BV21" s="552"/>
      <c r="BW21" s="552"/>
      <c r="BX21" s="552"/>
      <c r="BY21" s="552"/>
      <c r="BZ21" s="552"/>
      <c r="CA21" s="552"/>
      <c r="CB21" s="552"/>
      <c r="CC21" s="552"/>
      <c r="CD21" s="552"/>
      <c r="CE21" s="552"/>
      <c r="CF21" s="552"/>
      <c r="CG21" s="552"/>
      <c r="CH21" s="552"/>
      <c r="CI21" s="552"/>
      <c r="CJ21" s="552"/>
      <c r="CK21" s="552"/>
      <c r="CL21" s="552"/>
      <c r="CM21" s="552"/>
      <c r="CN21" s="552"/>
      <c r="CO21" s="552"/>
      <c r="CP21" s="552"/>
      <c r="CQ21" s="552"/>
      <c r="CR21" s="552"/>
      <c r="CS21" s="552"/>
      <c r="CT21" s="552"/>
      <c r="CU21" s="552"/>
      <c r="CV21" s="552"/>
      <c r="CW21" s="552"/>
      <c r="CX21" s="552"/>
      <c r="CY21" s="552"/>
      <c r="CZ21" s="552"/>
      <c r="DA21" s="552"/>
      <c r="DB21" s="552"/>
      <c r="DC21" s="552"/>
      <c r="DD21" s="552"/>
      <c r="DE21" s="552"/>
      <c r="DF21" s="552"/>
      <c r="DG21" s="552"/>
      <c r="DH21" s="552"/>
      <c r="DI21" s="552"/>
      <c r="DJ21" s="552"/>
      <c r="DK21" s="552"/>
      <c r="DL21" s="552"/>
      <c r="DM21" s="552"/>
      <c r="DN21" s="552"/>
      <c r="DO21" s="552"/>
      <c r="DP21" s="552"/>
      <c r="DQ21" s="552"/>
      <c r="DR21" s="552"/>
      <c r="DS21" s="552"/>
      <c r="DT21" s="552"/>
      <c r="DU21" s="552"/>
      <c r="DV21" s="552"/>
      <c r="DW21" s="552"/>
      <c r="DX21" s="552"/>
      <c r="DY21" s="552"/>
      <c r="DZ21" s="552"/>
      <c r="EA21" s="552"/>
      <c r="EB21" s="552"/>
      <c r="EC21" s="552"/>
      <c r="ED21" s="552"/>
      <c r="EE21" s="552"/>
      <c r="EF21" s="552"/>
      <c r="EG21" s="552"/>
      <c r="EH21" s="552"/>
      <c r="EI21" s="552"/>
      <c r="EJ21" s="552"/>
      <c r="EK21" s="552"/>
      <c r="EL21" s="552"/>
      <c r="EM21" s="552"/>
      <c r="EN21" s="552"/>
      <c r="EO21" s="552"/>
      <c r="EP21" s="552"/>
      <c r="EQ21" s="552"/>
      <c r="ER21" s="552"/>
      <c r="ES21" s="552"/>
      <c r="ET21" s="552"/>
      <c r="EU21" s="552"/>
      <c r="EV21" s="552"/>
      <c r="EW21" s="552"/>
      <c r="EX21" s="552"/>
      <c r="EY21" s="552"/>
      <c r="EZ21" s="552"/>
      <c r="FA21" s="552"/>
      <c r="FB21" s="552"/>
      <c r="FC21" s="552"/>
      <c r="FD21" s="552"/>
      <c r="FE21" s="552"/>
      <c r="FF21" s="552"/>
      <c r="FG21" s="552"/>
      <c r="FH21" s="552"/>
      <c r="FI21" s="552"/>
      <c r="FJ21" s="552"/>
      <c r="FK21" s="552"/>
      <c r="FL21" s="552"/>
      <c r="FM21" s="552"/>
      <c r="FN21" s="552"/>
      <c r="FO21" s="552"/>
      <c r="FP21" s="552"/>
      <c r="FQ21" s="552"/>
      <c r="FR21" s="552"/>
      <c r="FS21" s="552"/>
      <c r="FT21" s="552"/>
      <c r="FU21" s="552"/>
      <c r="FV21" s="552"/>
      <c r="FW21" s="552"/>
      <c r="FX21" s="552"/>
      <c r="FY21" s="552"/>
      <c r="FZ21" s="552"/>
      <c r="GA21" s="552"/>
      <c r="GB21" s="552"/>
      <c r="GC21" s="552"/>
      <c r="GD21" s="552"/>
      <c r="GE21" s="552"/>
      <c r="GF21" s="552"/>
      <c r="GG21" s="552"/>
      <c r="GH21" s="552"/>
      <c r="GI21" s="552"/>
      <c r="GJ21" s="552"/>
      <c r="GK21" s="552"/>
      <c r="GL21" s="552"/>
      <c r="GM21" s="552"/>
      <c r="GN21" s="552"/>
      <c r="GO21" s="552"/>
      <c r="GP21" s="552"/>
      <c r="GQ21" s="552"/>
      <c r="GR21" s="552"/>
      <c r="GS21" s="552"/>
      <c r="GT21" s="552"/>
      <c r="GU21" s="552"/>
      <c r="GV21" s="552"/>
      <c r="GW21" s="552"/>
      <c r="GX21" s="552"/>
      <c r="GY21" s="552"/>
      <c r="GZ21" s="552"/>
      <c r="HA21" s="552"/>
      <c r="HB21" s="552"/>
      <c r="HC21" s="552"/>
      <c r="HD21" s="552"/>
      <c r="HE21" s="552"/>
      <c r="HF21" s="552"/>
      <c r="HG21" s="552"/>
      <c r="HH21" s="552"/>
      <c r="HI21" s="552"/>
      <c r="HJ21" s="552"/>
      <c r="HK21" s="552"/>
      <c r="HL21" s="552"/>
      <c r="HM21" s="552"/>
      <c r="HN21" s="552"/>
      <c r="HO21" s="552"/>
      <c r="HP21" s="552"/>
      <c r="HQ21" s="552"/>
      <c r="HR21" s="552"/>
      <c r="HS21" s="552"/>
      <c r="HT21" s="552"/>
      <c r="HU21" s="552"/>
      <c r="HV21" s="552"/>
      <c r="HW21" s="552"/>
      <c r="HX21" s="552"/>
      <c r="HY21" s="552"/>
      <c r="HZ21" s="552"/>
      <c r="IA21" s="552"/>
      <c r="IB21" s="552"/>
      <c r="IC21" s="552"/>
      <c r="ID21" s="552"/>
      <c r="IE21" s="552"/>
      <c r="IF21" s="552"/>
      <c r="IG21" s="552"/>
      <c r="IH21" s="552"/>
      <c r="II21" s="552"/>
      <c r="IJ21" s="552"/>
      <c r="IK21" s="552"/>
      <c r="IL21" s="552"/>
      <c r="IM21" s="552"/>
      <c r="IN21" s="552"/>
      <c r="IO21" s="552"/>
      <c r="IP21" s="552"/>
      <c r="IQ21" s="552"/>
      <c r="IR21" s="552"/>
      <c r="IS21" s="552"/>
      <c r="IT21" s="552"/>
      <c r="IU21" s="552"/>
      <c r="IV21" s="552"/>
    </row>
    <row r="22" spans="1:256" s="600" customFormat="1" ht="34.5" customHeight="1">
      <c r="A22" s="588">
        <v>14</v>
      </c>
      <c r="B22" s="601"/>
      <c r="C22" s="556">
        <v>5</v>
      </c>
      <c r="D22" s="621" t="s">
        <v>656</v>
      </c>
      <c r="E22" s="603">
        <f>F22+G22+P23+O24</f>
        <v>1067743</v>
      </c>
      <c r="F22" s="622">
        <f>5906+14982+252998</f>
        <v>273886</v>
      </c>
      <c r="G22" s="605">
        <v>780059</v>
      </c>
      <c r="H22" s="615" t="s">
        <v>231</v>
      </c>
      <c r="I22" s="623"/>
      <c r="J22" s="624"/>
      <c r="K22" s="624"/>
      <c r="L22" s="624"/>
      <c r="M22" s="624"/>
      <c r="N22" s="625"/>
      <c r="O22" s="616"/>
      <c r="P22" s="611"/>
      <c r="Q22" s="552"/>
      <c r="R22" s="552"/>
      <c r="S22" s="552"/>
      <c r="T22" s="552"/>
      <c r="U22" s="552"/>
      <c r="V22" s="552"/>
      <c r="W22" s="552"/>
      <c r="X22" s="552"/>
      <c r="Y22" s="552"/>
      <c r="Z22" s="552"/>
      <c r="AA22" s="552"/>
      <c r="AB22" s="552"/>
      <c r="AC22" s="552"/>
      <c r="AD22" s="552"/>
      <c r="AE22" s="552"/>
      <c r="AF22" s="552"/>
      <c r="AG22" s="552"/>
      <c r="AH22" s="552"/>
      <c r="AI22" s="552"/>
      <c r="AJ22" s="552"/>
      <c r="AK22" s="552"/>
      <c r="AL22" s="552"/>
      <c r="AM22" s="552"/>
      <c r="AN22" s="552"/>
      <c r="AO22" s="552"/>
      <c r="AP22" s="552"/>
      <c r="AQ22" s="552"/>
      <c r="AR22" s="552"/>
      <c r="AS22" s="552"/>
      <c r="AT22" s="552"/>
      <c r="AU22" s="552"/>
      <c r="AV22" s="552"/>
      <c r="AW22" s="552"/>
      <c r="AX22" s="552"/>
      <c r="AY22" s="552"/>
      <c r="AZ22" s="552"/>
      <c r="BA22" s="552"/>
      <c r="BB22" s="552"/>
      <c r="BC22" s="552"/>
      <c r="BD22" s="552"/>
      <c r="BE22" s="552"/>
      <c r="BF22" s="552"/>
      <c r="BG22" s="552"/>
      <c r="BH22" s="552"/>
      <c r="BI22" s="552"/>
      <c r="BJ22" s="552"/>
      <c r="BK22" s="552"/>
      <c r="BL22" s="552"/>
      <c r="BM22" s="552"/>
      <c r="BN22" s="552"/>
      <c r="BO22" s="552"/>
      <c r="BP22" s="552"/>
      <c r="BQ22" s="552"/>
      <c r="BR22" s="552"/>
      <c r="BS22" s="552"/>
      <c r="BT22" s="552"/>
      <c r="BU22" s="552"/>
      <c r="BV22" s="552"/>
      <c r="BW22" s="552"/>
      <c r="BX22" s="552"/>
      <c r="BY22" s="552"/>
      <c r="BZ22" s="552"/>
      <c r="CA22" s="552"/>
      <c r="CB22" s="552"/>
      <c r="CC22" s="552"/>
      <c r="CD22" s="552"/>
      <c r="CE22" s="552"/>
      <c r="CF22" s="552"/>
      <c r="CG22" s="552"/>
      <c r="CH22" s="552"/>
      <c r="CI22" s="552"/>
      <c r="CJ22" s="552"/>
      <c r="CK22" s="552"/>
      <c r="CL22" s="552"/>
      <c r="CM22" s="552"/>
      <c r="CN22" s="552"/>
      <c r="CO22" s="552"/>
      <c r="CP22" s="552"/>
      <c r="CQ22" s="552"/>
      <c r="CR22" s="552"/>
      <c r="CS22" s="552"/>
      <c r="CT22" s="552"/>
      <c r="CU22" s="552"/>
      <c r="CV22" s="552"/>
      <c r="CW22" s="552"/>
      <c r="CX22" s="552"/>
      <c r="CY22" s="552"/>
      <c r="CZ22" s="552"/>
      <c r="DA22" s="552"/>
      <c r="DB22" s="552"/>
      <c r="DC22" s="552"/>
      <c r="DD22" s="552"/>
      <c r="DE22" s="552"/>
      <c r="DF22" s="552"/>
      <c r="DG22" s="552"/>
      <c r="DH22" s="552"/>
      <c r="DI22" s="552"/>
      <c r="DJ22" s="552"/>
      <c r="DK22" s="552"/>
      <c r="DL22" s="552"/>
      <c r="DM22" s="552"/>
      <c r="DN22" s="552"/>
      <c r="DO22" s="552"/>
      <c r="DP22" s="552"/>
      <c r="DQ22" s="552"/>
      <c r="DR22" s="552"/>
      <c r="DS22" s="552"/>
      <c r="DT22" s="552"/>
      <c r="DU22" s="552"/>
      <c r="DV22" s="552"/>
      <c r="DW22" s="552"/>
      <c r="DX22" s="552"/>
      <c r="DY22" s="552"/>
      <c r="DZ22" s="552"/>
      <c r="EA22" s="552"/>
      <c r="EB22" s="552"/>
      <c r="EC22" s="552"/>
      <c r="ED22" s="552"/>
      <c r="EE22" s="552"/>
      <c r="EF22" s="552"/>
      <c r="EG22" s="552"/>
      <c r="EH22" s="552"/>
      <c r="EI22" s="552"/>
      <c r="EJ22" s="552"/>
      <c r="EK22" s="552"/>
      <c r="EL22" s="552"/>
      <c r="EM22" s="552"/>
      <c r="EN22" s="552"/>
      <c r="EO22" s="552"/>
      <c r="EP22" s="552"/>
      <c r="EQ22" s="552"/>
      <c r="ER22" s="552"/>
      <c r="ES22" s="552"/>
      <c r="ET22" s="552"/>
      <c r="EU22" s="552"/>
      <c r="EV22" s="552"/>
      <c r="EW22" s="552"/>
      <c r="EX22" s="552"/>
      <c r="EY22" s="552"/>
      <c r="EZ22" s="552"/>
      <c r="FA22" s="552"/>
      <c r="FB22" s="552"/>
      <c r="FC22" s="552"/>
      <c r="FD22" s="552"/>
      <c r="FE22" s="552"/>
      <c r="FF22" s="552"/>
      <c r="FG22" s="552"/>
      <c r="FH22" s="552"/>
      <c r="FI22" s="552"/>
      <c r="FJ22" s="552"/>
      <c r="FK22" s="552"/>
      <c r="FL22" s="552"/>
      <c r="FM22" s="552"/>
      <c r="FN22" s="552"/>
      <c r="FO22" s="552"/>
      <c r="FP22" s="552"/>
      <c r="FQ22" s="552"/>
      <c r="FR22" s="552"/>
      <c r="FS22" s="552"/>
      <c r="FT22" s="552"/>
      <c r="FU22" s="552"/>
      <c r="FV22" s="552"/>
      <c r="FW22" s="552"/>
      <c r="FX22" s="552"/>
      <c r="FY22" s="552"/>
      <c r="FZ22" s="552"/>
      <c r="GA22" s="552"/>
      <c r="GB22" s="552"/>
      <c r="GC22" s="552"/>
      <c r="GD22" s="552"/>
      <c r="GE22" s="552"/>
      <c r="GF22" s="552"/>
      <c r="GG22" s="552"/>
      <c r="GH22" s="552"/>
      <c r="GI22" s="552"/>
      <c r="GJ22" s="552"/>
      <c r="GK22" s="552"/>
      <c r="GL22" s="552"/>
      <c r="GM22" s="552"/>
      <c r="GN22" s="552"/>
      <c r="GO22" s="552"/>
      <c r="GP22" s="552"/>
      <c r="GQ22" s="552"/>
      <c r="GR22" s="552"/>
      <c r="GS22" s="552"/>
      <c r="GT22" s="552"/>
      <c r="GU22" s="552"/>
      <c r="GV22" s="552"/>
      <c r="GW22" s="552"/>
      <c r="GX22" s="552"/>
      <c r="GY22" s="552"/>
      <c r="GZ22" s="552"/>
      <c r="HA22" s="552"/>
      <c r="HB22" s="552"/>
      <c r="HC22" s="552"/>
      <c r="HD22" s="552"/>
      <c r="HE22" s="552"/>
      <c r="HF22" s="552"/>
      <c r="HG22" s="552"/>
      <c r="HH22" s="552"/>
      <c r="HI22" s="552"/>
      <c r="HJ22" s="552"/>
      <c r="HK22" s="552"/>
      <c r="HL22" s="552"/>
      <c r="HM22" s="552"/>
      <c r="HN22" s="552"/>
      <c r="HO22" s="552"/>
      <c r="HP22" s="552"/>
      <c r="HQ22" s="552"/>
      <c r="HR22" s="552"/>
      <c r="HS22" s="552"/>
      <c r="HT22" s="552"/>
      <c r="HU22" s="552"/>
      <c r="HV22" s="552"/>
      <c r="HW22" s="552"/>
      <c r="HX22" s="552"/>
      <c r="HY22" s="552"/>
      <c r="HZ22" s="552"/>
      <c r="IA22" s="552"/>
      <c r="IB22" s="552"/>
      <c r="IC22" s="552"/>
      <c r="ID22" s="552"/>
      <c r="IE22" s="552"/>
      <c r="IF22" s="552"/>
      <c r="IG22" s="552"/>
      <c r="IH22" s="552"/>
      <c r="II22" s="552"/>
      <c r="IJ22" s="552"/>
      <c r="IK22" s="552"/>
      <c r="IL22" s="552"/>
      <c r="IM22" s="552"/>
      <c r="IN22" s="552"/>
      <c r="IO22" s="552"/>
      <c r="IP22" s="552"/>
      <c r="IQ22" s="552"/>
      <c r="IR22" s="552"/>
      <c r="IS22" s="552"/>
      <c r="IT22" s="552"/>
      <c r="IU22" s="552"/>
      <c r="IV22" s="552"/>
    </row>
    <row r="23" spans="1:256" s="600" customFormat="1" ht="18" customHeight="1">
      <c r="A23" s="588">
        <v>15</v>
      </c>
      <c r="B23" s="601"/>
      <c r="C23" s="556"/>
      <c r="D23" s="613" t="s">
        <v>198</v>
      </c>
      <c r="E23" s="604"/>
      <c r="F23" s="626"/>
      <c r="G23" s="614"/>
      <c r="H23" s="615"/>
      <c r="I23" s="623"/>
      <c r="J23" s="624"/>
      <c r="K23" s="624"/>
      <c r="L23" s="624"/>
      <c r="M23" s="624">
        <v>13798</v>
      </c>
      <c r="N23" s="625"/>
      <c r="O23" s="616">
        <f>SUM(I23:N23)</f>
        <v>13798</v>
      </c>
      <c r="P23" s="611"/>
      <c r="Q23" s="552"/>
      <c r="R23" s="552"/>
      <c r="S23" s="552"/>
      <c r="T23" s="552"/>
      <c r="U23" s="552"/>
      <c r="V23" s="552"/>
      <c r="W23" s="552"/>
      <c r="X23" s="552"/>
      <c r="Y23" s="552"/>
      <c r="Z23" s="552"/>
      <c r="AA23" s="552"/>
      <c r="AB23" s="552"/>
      <c r="AC23" s="552"/>
      <c r="AD23" s="552"/>
      <c r="AE23" s="552"/>
      <c r="AF23" s="552"/>
      <c r="AG23" s="552"/>
      <c r="AH23" s="552"/>
      <c r="AI23" s="552"/>
      <c r="AJ23" s="552"/>
      <c r="AK23" s="552"/>
      <c r="AL23" s="552"/>
      <c r="AM23" s="552"/>
      <c r="AN23" s="552"/>
      <c r="AO23" s="552"/>
      <c r="AP23" s="552"/>
      <c r="AQ23" s="552"/>
      <c r="AR23" s="552"/>
      <c r="AS23" s="552"/>
      <c r="AT23" s="552"/>
      <c r="AU23" s="552"/>
      <c r="AV23" s="552"/>
      <c r="AW23" s="552"/>
      <c r="AX23" s="552"/>
      <c r="AY23" s="552"/>
      <c r="AZ23" s="552"/>
      <c r="BA23" s="552"/>
      <c r="BB23" s="552"/>
      <c r="BC23" s="552"/>
      <c r="BD23" s="552"/>
      <c r="BE23" s="552"/>
      <c r="BF23" s="552"/>
      <c r="BG23" s="552"/>
      <c r="BH23" s="552"/>
      <c r="BI23" s="552"/>
      <c r="BJ23" s="552"/>
      <c r="BK23" s="552"/>
      <c r="BL23" s="552"/>
      <c r="BM23" s="552"/>
      <c r="BN23" s="552"/>
      <c r="BO23" s="552"/>
      <c r="BP23" s="552"/>
      <c r="BQ23" s="552"/>
      <c r="BR23" s="552"/>
      <c r="BS23" s="552"/>
      <c r="BT23" s="552"/>
      <c r="BU23" s="552"/>
      <c r="BV23" s="552"/>
      <c r="BW23" s="552"/>
      <c r="BX23" s="552"/>
      <c r="BY23" s="552"/>
      <c r="BZ23" s="552"/>
      <c r="CA23" s="552"/>
      <c r="CB23" s="552"/>
      <c r="CC23" s="552"/>
      <c r="CD23" s="552"/>
      <c r="CE23" s="552"/>
      <c r="CF23" s="552"/>
      <c r="CG23" s="552"/>
      <c r="CH23" s="552"/>
      <c r="CI23" s="552"/>
      <c r="CJ23" s="552"/>
      <c r="CK23" s="552"/>
      <c r="CL23" s="552"/>
      <c r="CM23" s="552"/>
      <c r="CN23" s="552"/>
      <c r="CO23" s="552"/>
      <c r="CP23" s="552"/>
      <c r="CQ23" s="552"/>
      <c r="CR23" s="552"/>
      <c r="CS23" s="552"/>
      <c r="CT23" s="552"/>
      <c r="CU23" s="552"/>
      <c r="CV23" s="552"/>
      <c r="CW23" s="552"/>
      <c r="CX23" s="552"/>
      <c r="CY23" s="552"/>
      <c r="CZ23" s="552"/>
      <c r="DA23" s="552"/>
      <c r="DB23" s="552"/>
      <c r="DC23" s="552"/>
      <c r="DD23" s="552"/>
      <c r="DE23" s="552"/>
      <c r="DF23" s="552"/>
      <c r="DG23" s="552"/>
      <c r="DH23" s="552"/>
      <c r="DI23" s="552"/>
      <c r="DJ23" s="552"/>
      <c r="DK23" s="552"/>
      <c r="DL23" s="552"/>
      <c r="DM23" s="552"/>
      <c r="DN23" s="552"/>
      <c r="DO23" s="552"/>
      <c r="DP23" s="552"/>
      <c r="DQ23" s="552"/>
      <c r="DR23" s="552"/>
      <c r="DS23" s="552"/>
      <c r="DT23" s="552"/>
      <c r="DU23" s="552"/>
      <c r="DV23" s="552"/>
      <c r="DW23" s="552"/>
      <c r="DX23" s="552"/>
      <c r="DY23" s="552"/>
      <c r="DZ23" s="552"/>
      <c r="EA23" s="552"/>
      <c r="EB23" s="552"/>
      <c r="EC23" s="552"/>
      <c r="ED23" s="552"/>
      <c r="EE23" s="552"/>
      <c r="EF23" s="552"/>
      <c r="EG23" s="552"/>
      <c r="EH23" s="552"/>
      <c r="EI23" s="552"/>
      <c r="EJ23" s="552"/>
      <c r="EK23" s="552"/>
      <c r="EL23" s="552"/>
      <c r="EM23" s="552"/>
      <c r="EN23" s="552"/>
      <c r="EO23" s="552"/>
      <c r="EP23" s="552"/>
      <c r="EQ23" s="552"/>
      <c r="ER23" s="552"/>
      <c r="ES23" s="552"/>
      <c r="ET23" s="552"/>
      <c r="EU23" s="552"/>
      <c r="EV23" s="552"/>
      <c r="EW23" s="552"/>
      <c r="EX23" s="552"/>
      <c r="EY23" s="552"/>
      <c r="EZ23" s="552"/>
      <c r="FA23" s="552"/>
      <c r="FB23" s="552"/>
      <c r="FC23" s="552"/>
      <c r="FD23" s="552"/>
      <c r="FE23" s="552"/>
      <c r="FF23" s="552"/>
      <c r="FG23" s="552"/>
      <c r="FH23" s="552"/>
      <c r="FI23" s="552"/>
      <c r="FJ23" s="552"/>
      <c r="FK23" s="552"/>
      <c r="FL23" s="552"/>
      <c r="FM23" s="552"/>
      <c r="FN23" s="552"/>
      <c r="FO23" s="552"/>
      <c r="FP23" s="552"/>
      <c r="FQ23" s="552"/>
      <c r="FR23" s="552"/>
      <c r="FS23" s="552"/>
      <c r="FT23" s="552"/>
      <c r="FU23" s="552"/>
      <c r="FV23" s="552"/>
      <c r="FW23" s="552"/>
      <c r="FX23" s="552"/>
      <c r="FY23" s="552"/>
      <c r="FZ23" s="552"/>
      <c r="GA23" s="552"/>
      <c r="GB23" s="552"/>
      <c r="GC23" s="552"/>
      <c r="GD23" s="552"/>
      <c r="GE23" s="552"/>
      <c r="GF23" s="552"/>
      <c r="GG23" s="552"/>
      <c r="GH23" s="552"/>
      <c r="GI23" s="552"/>
      <c r="GJ23" s="552"/>
      <c r="GK23" s="552"/>
      <c r="GL23" s="552"/>
      <c r="GM23" s="552"/>
      <c r="GN23" s="552"/>
      <c r="GO23" s="552"/>
      <c r="GP23" s="552"/>
      <c r="GQ23" s="552"/>
      <c r="GR23" s="552"/>
      <c r="GS23" s="552"/>
      <c r="GT23" s="552"/>
      <c r="GU23" s="552"/>
      <c r="GV23" s="552"/>
      <c r="GW23" s="552"/>
      <c r="GX23" s="552"/>
      <c r="GY23" s="552"/>
      <c r="GZ23" s="552"/>
      <c r="HA23" s="552"/>
      <c r="HB23" s="552"/>
      <c r="HC23" s="552"/>
      <c r="HD23" s="552"/>
      <c r="HE23" s="552"/>
      <c r="HF23" s="552"/>
      <c r="HG23" s="552"/>
      <c r="HH23" s="552"/>
      <c r="HI23" s="552"/>
      <c r="HJ23" s="552"/>
      <c r="HK23" s="552"/>
      <c r="HL23" s="552"/>
      <c r="HM23" s="552"/>
      <c r="HN23" s="552"/>
      <c r="HO23" s="552"/>
      <c r="HP23" s="552"/>
      <c r="HQ23" s="552"/>
      <c r="HR23" s="552"/>
      <c r="HS23" s="552"/>
      <c r="HT23" s="552"/>
      <c r="HU23" s="552"/>
      <c r="HV23" s="552"/>
      <c r="HW23" s="552"/>
      <c r="HX23" s="552"/>
      <c r="HY23" s="552"/>
      <c r="HZ23" s="552"/>
      <c r="IA23" s="552"/>
      <c r="IB23" s="552"/>
      <c r="IC23" s="552"/>
      <c r="ID23" s="552"/>
      <c r="IE23" s="552"/>
      <c r="IF23" s="552"/>
      <c r="IG23" s="552"/>
      <c r="IH23" s="552"/>
      <c r="II23" s="552"/>
      <c r="IJ23" s="552"/>
      <c r="IK23" s="552"/>
      <c r="IL23" s="552"/>
      <c r="IM23" s="552"/>
      <c r="IN23" s="552"/>
      <c r="IO23" s="552"/>
      <c r="IP23" s="552"/>
      <c r="IQ23" s="552"/>
      <c r="IR23" s="552"/>
      <c r="IS23" s="552"/>
      <c r="IT23" s="552"/>
      <c r="IU23" s="552"/>
      <c r="IV23" s="552"/>
    </row>
    <row r="24" spans="1:256" s="600" customFormat="1" ht="18" customHeight="1">
      <c r="A24" s="588">
        <v>16</v>
      </c>
      <c r="B24" s="601"/>
      <c r="C24" s="556"/>
      <c r="D24" s="617" t="s">
        <v>765</v>
      </c>
      <c r="E24" s="604"/>
      <c r="F24" s="626"/>
      <c r="G24" s="614"/>
      <c r="H24" s="615"/>
      <c r="I24" s="630"/>
      <c r="J24" s="627"/>
      <c r="K24" s="627"/>
      <c r="L24" s="627"/>
      <c r="M24" s="627">
        <v>13798</v>
      </c>
      <c r="N24" s="628"/>
      <c r="O24" s="563">
        <f>SUM(I24:N24)</f>
        <v>13798</v>
      </c>
      <c r="P24" s="611"/>
      <c r="Q24" s="552"/>
      <c r="R24" s="552"/>
      <c r="S24" s="552"/>
      <c r="T24" s="552"/>
      <c r="U24" s="552"/>
      <c r="V24" s="552"/>
      <c r="W24" s="552"/>
      <c r="X24" s="552"/>
      <c r="Y24" s="552"/>
      <c r="Z24" s="552"/>
      <c r="AA24" s="552"/>
      <c r="AB24" s="552"/>
      <c r="AC24" s="552"/>
      <c r="AD24" s="552"/>
      <c r="AE24" s="552"/>
      <c r="AF24" s="552"/>
      <c r="AG24" s="552"/>
      <c r="AH24" s="552"/>
      <c r="AI24" s="552"/>
      <c r="AJ24" s="552"/>
      <c r="AK24" s="552"/>
      <c r="AL24" s="552"/>
      <c r="AM24" s="552"/>
      <c r="AN24" s="552"/>
      <c r="AO24" s="552"/>
      <c r="AP24" s="552"/>
      <c r="AQ24" s="552"/>
      <c r="AR24" s="552"/>
      <c r="AS24" s="552"/>
      <c r="AT24" s="552"/>
      <c r="AU24" s="552"/>
      <c r="AV24" s="552"/>
      <c r="AW24" s="552"/>
      <c r="AX24" s="552"/>
      <c r="AY24" s="552"/>
      <c r="AZ24" s="552"/>
      <c r="BA24" s="552"/>
      <c r="BB24" s="552"/>
      <c r="BC24" s="552"/>
      <c r="BD24" s="552"/>
      <c r="BE24" s="552"/>
      <c r="BF24" s="552"/>
      <c r="BG24" s="552"/>
      <c r="BH24" s="552"/>
      <c r="BI24" s="552"/>
      <c r="BJ24" s="552"/>
      <c r="BK24" s="552"/>
      <c r="BL24" s="552"/>
      <c r="BM24" s="552"/>
      <c r="BN24" s="552"/>
      <c r="BO24" s="552"/>
      <c r="BP24" s="552"/>
      <c r="BQ24" s="552"/>
      <c r="BR24" s="552"/>
      <c r="BS24" s="552"/>
      <c r="BT24" s="552"/>
      <c r="BU24" s="552"/>
      <c r="BV24" s="552"/>
      <c r="BW24" s="552"/>
      <c r="BX24" s="552"/>
      <c r="BY24" s="552"/>
      <c r="BZ24" s="552"/>
      <c r="CA24" s="552"/>
      <c r="CB24" s="552"/>
      <c r="CC24" s="552"/>
      <c r="CD24" s="552"/>
      <c r="CE24" s="552"/>
      <c r="CF24" s="552"/>
      <c r="CG24" s="552"/>
      <c r="CH24" s="552"/>
      <c r="CI24" s="552"/>
      <c r="CJ24" s="552"/>
      <c r="CK24" s="552"/>
      <c r="CL24" s="552"/>
      <c r="CM24" s="552"/>
      <c r="CN24" s="552"/>
      <c r="CO24" s="552"/>
      <c r="CP24" s="552"/>
      <c r="CQ24" s="552"/>
      <c r="CR24" s="552"/>
      <c r="CS24" s="552"/>
      <c r="CT24" s="552"/>
      <c r="CU24" s="552"/>
      <c r="CV24" s="552"/>
      <c r="CW24" s="552"/>
      <c r="CX24" s="552"/>
      <c r="CY24" s="552"/>
      <c r="CZ24" s="552"/>
      <c r="DA24" s="552"/>
      <c r="DB24" s="552"/>
      <c r="DC24" s="552"/>
      <c r="DD24" s="552"/>
      <c r="DE24" s="552"/>
      <c r="DF24" s="552"/>
      <c r="DG24" s="552"/>
      <c r="DH24" s="552"/>
      <c r="DI24" s="552"/>
      <c r="DJ24" s="552"/>
      <c r="DK24" s="552"/>
      <c r="DL24" s="552"/>
      <c r="DM24" s="552"/>
      <c r="DN24" s="552"/>
      <c r="DO24" s="552"/>
      <c r="DP24" s="552"/>
      <c r="DQ24" s="552"/>
      <c r="DR24" s="552"/>
      <c r="DS24" s="552"/>
      <c r="DT24" s="552"/>
      <c r="DU24" s="552"/>
      <c r="DV24" s="552"/>
      <c r="DW24" s="552"/>
      <c r="DX24" s="552"/>
      <c r="DY24" s="552"/>
      <c r="DZ24" s="552"/>
      <c r="EA24" s="552"/>
      <c r="EB24" s="552"/>
      <c r="EC24" s="552"/>
      <c r="ED24" s="552"/>
      <c r="EE24" s="552"/>
      <c r="EF24" s="552"/>
      <c r="EG24" s="552"/>
      <c r="EH24" s="552"/>
      <c r="EI24" s="552"/>
      <c r="EJ24" s="552"/>
      <c r="EK24" s="552"/>
      <c r="EL24" s="552"/>
      <c r="EM24" s="552"/>
      <c r="EN24" s="552"/>
      <c r="EO24" s="552"/>
      <c r="EP24" s="552"/>
      <c r="EQ24" s="552"/>
      <c r="ER24" s="552"/>
      <c r="ES24" s="552"/>
      <c r="ET24" s="552"/>
      <c r="EU24" s="552"/>
      <c r="EV24" s="552"/>
      <c r="EW24" s="552"/>
      <c r="EX24" s="552"/>
      <c r="EY24" s="552"/>
      <c r="EZ24" s="552"/>
      <c r="FA24" s="552"/>
      <c r="FB24" s="552"/>
      <c r="FC24" s="552"/>
      <c r="FD24" s="552"/>
      <c r="FE24" s="552"/>
      <c r="FF24" s="552"/>
      <c r="FG24" s="552"/>
      <c r="FH24" s="552"/>
      <c r="FI24" s="552"/>
      <c r="FJ24" s="552"/>
      <c r="FK24" s="552"/>
      <c r="FL24" s="552"/>
      <c r="FM24" s="552"/>
      <c r="FN24" s="552"/>
      <c r="FO24" s="552"/>
      <c r="FP24" s="552"/>
      <c r="FQ24" s="552"/>
      <c r="FR24" s="552"/>
      <c r="FS24" s="552"/>
      <c r="FT24" s="552"/>
      <c r="FU24" s="552"/>
      <c r="FV24" s="552"/>
      <c r="FW24" s="552"/>
      <c r="FX24" s="552"/>
      <c r="FY24" s="552"/>
      <c r="FZ24" s="552"/>
      <c r="GA24" s="552"/>
      <c r="GB24" s="552"/>
      <c r="GC24" s="552"/>
      <c r="GD24" s="552"/>
      <c r="GE24" s="552"/>
      <c r="GF24" s="552"/>
      <c r="GG24" s="552"/>
      <c r="GH24" s="552"/>
      <c r="GI24" s="552"/>
      <c r="GJ24" s="552"/>
      <c r="GK24" s="552"/>
      <c r="GL24" s="552"/>
      <c r="GM24" s="552"/>
      <c r="GN24" s="552"/>
      <c r="GO24" s="552"/>
      <c r="GP24" s="552"/>
      <c r="GQ24" s="552"/>
      <c r="GR24" s="552"/>
      <c r="GS24" s="552"/>
      <c r="GT24" s="552"/>
      <c r="GU24" s="552"/>
      <c r="GV24" s="552"/>
      <c r="GW24" s="552"/>
      <c r="GX24" s="552"/>
      <c r="GY24" s="552"/>
      <c r="GZ24" s="552"/>
      <c r="HA24" s="552"/>
      <c r="HB24" s="552"/>
      <c r="HC24" s="552"/>
      <c r="HD24" s="552"/>
      <c r="HE24" s="552"/>
      <c r="HF24" s="552"/>
      <c r="HG24" s="552"/>
      <c r="HH24" s="552"/>
      <c r="HI24" s="552"/>
      <c r="HJ24" s="552"/>
      <c r="HK24" s="552"/>
      <c r="HL24" s="552"/>
      <c r="HM24" s="552"/>
      <c r="HN24" s="552"/>
      <c r="HO24" s="552"/>
      <c r="HP24" s="552"/>
      <c r="HQ24" s="552"/>
      <c r="HR24" s="552"/>
      <c r="HS24" s="552"/>
      <c r="HT24" s="552"/>
      <c r="HU24" s="552"/>
      <c r="HV24" s="552"/>
      <c r="HW24" s="552"/>
      <c r="HX24" s="552"/>
      <c r="HY24" s="552"/>
      <c r="HZ24" s="552"/>
      <c r="IA24" s="552"/>
      <c r="IB24" s="552"/>
      <c r="IC24" s="552"/>
      <c r="ID24" s="552"/>
      <c r="IE24" s="552"/>
      <c r="IF24" s="552"/>
      <c r="IG24" s="552"/>
      <c r="IH24" s="552"/>
      <c r="II24" s="552"/>
      <c r="IJ24" s="552"/>
      <c r="IK24" s="552"/>
      <c r="IL24" s="552"/>
      <c r="IM24" s="552"/>
      <c r="IN24" s="552"/>
      <c r="IO24" s="552"/>
      <c r="IP24" s="552"/>
      <c r="IQ24" s="552"/>
      <c r="IR24" s="552"/>
      <c r="IS24" s="552"/>
      <c r="IT24" s="552"/>
      <c r="IU24" s="552"/>
      <c r="IV24" s="552"/>
    </row>
    <row r="25" spans="1:256" s="600" customFormat="1" ht="18" customHeight="1">
      <c r="A25" s="588">
        <v>17</v>
      </c>
      <c r="B25" s="601"/>
      <c r="C25" s="556"/>
      <c r="D25" s="620" t="s">
        <v>1022</v>
      </c>
      <c r="E25" s="604"/>
      <c r="F25" s="626"/>
      <c r="G25" s="614"/>
      <c r="H25" s="615"/>
      <c r="I25" s="623"/>
      <c r="J25" s="624"/>
      <c r="K25" s="624"/>
      <c r="L25" s="624"/>
      <c r="M25" s="624"/>
      <c r="N25" s="625"/>
      <c r="O25" s="562">
        <f>SUM(I25:N25)</f>
        <v>0</v>
      </c>
      <c r="P25" s="611"/>
      <c r="Q25" s="552"/>
      <c r="R25" s="552"/>
      <c r="S25" s="552"/>
      <c r="T25" s="552"/>
      <c r="U25" s="552"/>
      <c r="V25" s="552"/>
      <c r="W25" s="552"/>
      <c r="X25" s="552"/>
      <c r="Y25" s="552"/>
      <c r="Z25" s="552"/>
      <c r="AA25" s="552"/>
      <c r="AB25" s="552"/>
      <c r="AC25" s="552"/>
      <c r="AD25" s="552"/>
      <c r="AE25" s="552"/>
      <c r="AF25" s="552"/>
      <c r="AG25" s="552"/>
      <c r="AH25" s="552"/>
      <c r="AI25" s="552"/>
      <c r="AJ25" s="552"/>
      <c r="AK25" s="552"/>
      <c r="AL25" s="552"/>
      <c r="AM25" s="552"/>
      <c r="AN25" s="552"/>
      <c r="AO25" s="552"/>
      <c r="AP25" s="552"/>
      <c r="AQ25" s="552"/>
      <c r="AR25" s="552"/>
      <c r="AS25" s="552"/>
      <c r="AT25" s="552"/>
      <c r="AU25" s="552"/>
      <c r="AV25" s="552"/>
      <c r="AW25" s="552"/>
      <c r="AX25" s="552"/>
      <c r="AY25" s="552"/>
      <c r="AZ25" s="552"/>
      <c r="BA25" s="552"/>
      <c r="BB25" s="552"/>
      <c r="BC25" s="552"/>
      <c r="BD25" s="552"/>
      <c r="BE25" s="552"/>
      <c r="BF25" s="552"/>
      <c r="BG25" s="552"/>
      <c r="BH25" s="552"/>
      <c r="BI25" s="552"/>
      <c r="BJ25" s="552"/>
      <c r="BK25" s="552"/>
      <c r="BL25" s="552"/>
      <c r="BM25" s="552"/>
      <c r="BN25" s="552"/>
      <c r="BO25" s="552"/>
      <c r="BP25" s="552"/>
      <c r="BQ25" s="552"/>
      <c r="BR25" s="552"/>
      <c r="BS25" s="552"/>
      <c r="BT25" s="552"/>
      <c r="BU25" s="552"/>
      <c r="BV25" s="552"/>
      <c r="BW25" s="552"/>
      <c r="BX25" s="552"/>
      <c r="BY25" s="552"/>
      <c r="BZ25" s="552"/>
      <c r="CA25" s="552"/>
      <c r="CB25" s="552"/>
      <c r="CC25" s="552"/>
      <c r="CD25" s="552"/>
      <c r="CE25" s="552"/>
      <c r="CF25" s="552"/>
      <c r="CG25" s="552"/>
      <c r="CH25" s="552"/>
      <c r="CI25" s="552"/>
      <c r="CJ25" s="552"/>
      <c r="CK25" s="552"/>
      <c r="CL25" s="552"/>
      <c r="CM25" s="552"/>
      <c r="CN25" s="552"/>
      <c r="CO25" s="552"/>
      <c r="CP25" s="552"/>
      <c r="CQ25" s="552"/>
      <c r="CR25" s="552"/>
      <c r="CS25" s="552"/>
      <c r="CT25" s="552"/>
      <c r="CU25" s="552"/>
      <c r="CV25" s="552"/>
      <c r="CW25" s="552"/>
      <c r="CX25" s="552"/>
      <c r="CY25" s="552"/>
      <c r="CZ25" s="552"/>
      <c r="DA25" s="552"/>
      <c r="DB25" s="552"/>
      <c r="DC25" s="552"/>
      <c r="DD25" s="552"/>
      <c r="DE25" s="552"/>
      <c r="DF25" s="552"/>
      <c r="DG25" s="552"/>
      <c r="DH25" s="552"/>
      <c r="DI25" s="552"/>
      <c r="DJ25" s="552"/>
      <c r="DK25" s="552"/>
      <c r="DL25" s="552"/>
      <c r="DM25" s="552"/>
      <c r="DN25" s="552"/>
      <c r="DO25" s="552"/>
      <c r="DP25" s="552"/>
      <c r="DQ25" s="552"/>
      <c r="DR25" s="552"/>
      <c r="DS25" s="552"/>
      <c r="DT25" s="552"/>
      <c r="DU25" s="552"/>
      <c r="DV25" s="552"/>
      <c r="DW25" s="552"/>
      <c r="DX25" s="552"/>
      <c r="DY25" s="552"/>
      <c r="DZ25" s="552"/>
      <c r="EA25" s="552"/>
      <c r="EB25" s="552"/>
      <c r="EC25" s="552"/>
      <c r="ED25" s="552"/>
      <c r="EE25" s="552"/>
      <c r="EF25" s="552"/>
      <c r="EG25" s="552"/>
      <c r="EH25" s="552"/>
      <c r="EI25" s="552"/>
      <c r="EJ25" s="552"/>
      <c r="EK25" s="552"/>
      <c r="EL25" s="552"/>
      <c r="EM25" s="552"/>
      <c r="EN25" s="552"/>
      <c r="EO25" s="552"/>
      <c r="EP25" s="552"/>
      <c r="EQ25" s="552"/>
      <c r="ER25" s="552"/>
      <c r="ES25" s="552"/>
      <c r="ET25" s="552"/>
      <c r="EU25" s="552"/>
      <c r="EV25" s="552"/>
      <c r="EW25" s="552"/>
      <c r="EX25" s="552"/>
      <c r="EY25" s="552"/>
      <c r="EZ25" s="552"/>
      <c r="FA25" s="552"/>
      <c r="FB25" s="552"/>
      <c r="FC25" s="552"/>
      <c r="FD25" s="552"/>
      <c r="FE25" s="552"/>
      <c r="FF25" s="552"/>
      <c r="FG25" s="552"/>
      <c r="FH25" s="552"/>
      <c r="FI25" s="552"/>
      <c r="FJ25" s="552"/>
      <c r="FK25" s="552"/>
      <c r="FL25" s="552"/>
      <c r="FM25" s="552"/>
      <c r="FN25" s="552"/>
      <c r="FO25" s="552"/>
      <c r="FP25" s="552"/>
      <c r="FQ25" s="552"/>
      <c r="FR25" s="552"/>
      <c r="FS25" s="552"/>
      <c r="FT25" s="552"/>
      <c r="FU25" s="552"/>
      <c r="FV25" s="552"/>
      <c r="FW25" s="552"/>
      <c r="FX25" s="552"/>
      <c r="FY25" s="552"/>
      <c r="FZ25" s="552"/>
      <c r="GA25" s="552"/>
      <c r="GB25" s="552"/>
      <c r="GC25" s="552"/>
      <c r="GD25" s="552"/>
      <c r="GE25" s="552"/>
      <c r="GF25" s="552"/>
      <c r="GG25" s="552"/>
      <c r="GH25" s="552"/>
      <c r="GI25" s="552"/>
      <c r="GJ25" s="552"/>
      <c r="GK25" s="552"/>
      <c r="GL25" s="552"/>
      <c r="GM25" s="552"/>
      <c r="GN25" s="552"/>
      <c r="GO25" s="552"/>
      <c r="GP25" s="552"/>
      <c r="GQ25" s="552"/>
      <c r="GR25" s="552"/>
      <c r="GS25" s="552"/>
      <c r="GT25" s="552"/>
      <c r="GU25" s="552"/>
      <c r="GV25" s="552"/>
      <c r="GW25" s="552"/>
      <c r="GX25" s="552"/>
      <c r="GY25" s="552"/>
      <c r="GZ25" s="552"/>
      <c r="HA25" s="552"/>
      <c r="HB25" s="552"/>
      <c r="HC25" s="552"/>
      <c r="HD25" s="552"/>
      <c r="HE25" s="552"/>
      <c r="HF25" s="552"/>
      <c r="HG25" s="552"/>
      <c r="HH25" s="552"/>
      <c r="HI25" s="552"/>
      <c r="HJ25" s="552"/>
      <c r="HK25" s="552"/>
      <c r="HL25" s="552"/>
      <c r="HM25" s="552"/>
      <c r="HN25" s="552"/>
      <c r="HO25" s="552"/>
      <c r="HP25" s="552"/>
      <c r="HQ25" s="552"/>
      <c r="HR25" s="552"/>
      <c r="HS25" s="552"/>
      <c r="HT25" s="552"/>
      <c r="HU25" s="552"/>
      <c r="HV25" s="552"/>
      <c r="HW25" s="552"/>
      <c r="HX25" s="552"/>
      <c r="HY25" s="552"/>
      <c r="HZ25" s="552"/>
      <c r="IA25" s="552"/>
      <c r="IB25" s="552"/>
      <c r="IC25" s="552"/>
      <c r="ID25" s="552"/>
      <c r="IE25" s="552"/>
      <c r="IF25" s="552"/>
      <c r="IG25" s="552"/>
      <c r="IH25" s="552"/>
      <c r="II25" s="552"/>
      <c r="IJ25" s="552"/>
      <c r="IK25" s="552"/>
      <c r="IL25" s="552"/>
      <c r="IM25" s="552"/>
      <c r="IN25" s="552"/>
      <c r="IO25" s="552"/>
      <c r="IP25" s="552"/>
      <c r="IQ25" s="552"/>
      <c r="IR25" s="552"/>
      <c r="IS25" s="552"/>
      <c r="IT25" s="552"/>
      <c r="IU25" s="552"/>
      <c r="IV25" s="552"/>
    </row>
    <row r="26" spans="1:256" ht="31">
      <c r="A26" s="588">
        <v>18</v>
      </c>
      <c r="B26" s="612"/>
      <c r="C26" s="556">
        <v>7</v>
      </c>
      <c r="D26" s="621" t="s">
        <v>657</v>
      </c>
      <c r="E26" s="603">
        <f>F26+G26+P27+O28</f>
        <v>2704673</v>
      </c>
      <c r="F26" s="622">
        <f>28000+26441+46228+12816+60536</f>
        <v>174021</v>
      </c>
      <c r="G26" s="605">
        <v>2514747</v>
      </c>
      <c r="H26" s="615" t="s">
        <v>231</v>
      </c>
      <c r="I26" s="623"/>
      <c r="J26" s="624"/>
      <c r="K26" s="624"/>
      <c r="L26" s="624"/>
      <c r="M26" s="624"/>
      <c r="N26" s="625"/>
      <c r="O26" s="616"/>
      <c r="P26" s="611"/>
    </row>
    <row r="27" spans="1:256" s="600" customFormat="1" ht="18" customHeight="1">
      <c r="A27" s="588">
        <v>19</v>
      </c>
      <c r="B27" s="601"/>
      <c r="C27" s="556"/>
      <c r="D27" s="613" t="s">
        <v>198</v>
      </c>
      <c r="E27" s="604"/>
      <c r="F27" s="626"/>
      <c r="G27" s="614"/>
      <c r="H27" s="615"/>
      <c r="I27" s="623"/>
      <c r="J27" s="624"/>
      <c r="K27" s="624"/>
      <c r="L27" s="624"/>
      <c r="M27" s="624"/>
      <c r="N27" s="624">
        <v>18100</v>
      </c>
      <c r="O27" s="616">
        <f>SUM(I27:N27)</f>
        <v>18100</v>
      </c>
      <c r="P27" s="611"/>
      <c r="Q27" s="552"/>
      <c r="R27" s="552"/>
      <c r="S27" s="552"/>
      <c r="T27" s="552"/>
      <c r="U27" s="552"/>
      <c r="V27" s="552"/>
      <c r="W27" s="552"/>
      <c r="X27" s="552"/>
      <c r="Y27" s="552"/>
      <c r="Z27" s="552"/>
      <c r="AA27" s="552"/>
      <c r="AB27" s="552"/>
      <c r="AC27" s="552"/>
      <c r="AD27" s="552"/>
      <c r="AE27" s="552"/>
      <c r="AF27" s="552"/>
      <c r="AG27" s="552"/>
      <c r="AH27" s="552"/>
      <c r="AI27" s="552"/>
      <c r="AJ27" s="552"/>
      <c r="AK27" s="552"/>
      <c r="AL27" s="552"/>
      <c r="AM27" s="552"/>
      <c r="AN27" s="552"/>
      <c r="AO27" s="552"/>
      <c r="AP27" s="552"/>
      <c r="AQ27" s="552"/>
      <c r="AR27" s="552"/>
      <c r="AS27" s="552"/>
      <c r="AT27" s="552"/>
      <c r="AU27" s="552"/>
      <c r="AV27" s="552"/>
      <c r="AW27" s="552"/>
      <c r="AX27" s="552"/>
      <c r="AY27" s="552"/>
      <c r="AZ27" s="552"/>
      <c r="BA27" s="552"/>
      <c r="BB27" s="552"/>
      <c r="BC27" s="552"/>
      <c r="BD27" s="552"/>
      <c r="BE27" s="552"/>
      <c r="BF27" s="552"/>
      <c r="BG27" s="552"/>
      <c r="BH27" s="552"/>
      <c r="BI27" s="552"/>
      <c r="BJ27" s="552"/>
      <c r="BK27" s="552"/>
      <c r="BL27" s="552"/>
      <c r="BM27" s="552"/>
      <c r="BN27" s="552"/>
      <c r="BO27" s="552"/>
      <c r="BP27" s="552"/>
      <c r="BQ27" s="552"/>
      <c r="BR27" s="552"/>
      <c r="BS27" s="552"/>
      <c r="BT27" s="552"/>
      <c r="BU27" s="552"/>
      <c r="BV27" s="552"/>
      <c r="BW27" s="552"/>
      <c r="BX27" s="552"/>
      <c r="BY27" s="552"/>
      <c r="BZ27" s="552"/>
      <c r="CA27" s="552"/>
      <c r="CB27" s="552"/>
      <c r="CC27" s="552"/>
      <c r="CD27" s="552"/>
      <c r="CE27" s="552"/>
      <c r="CF27" s="552"/>
      <c r="CG27" s="552"/>
      <c r="CH27" s="552"/>
      <c r="CI27" s="552"/>
      <c r="CJ27" s="552"/>
      <c r="CK27" s="552"/>
      <c r="CL27" s="552"/>
      <c r="CM27" s="552"/>
      <c r="CN27" s="552"/>
      <c r="CO27" s="552"/>
      <c r="CP27" s="552"/>
      <c r="CQ27" s="552"/>
      <c r="CR27" s="552"/>
      <c r="CS27" s="552"/>
      <c r="CT27" s="552"/>
      <c r="CU27" s="552"/>
      <c r="CV27" s="552"/>
      <c r="CW27" s="552"/>
      <c r="CX27" s="552"/>
      <c r="CY27" s="552"/>
      <c r="CZ27" s="552"/>
      <c r="DA27" s="552"/>
      <c r="DB27" s="552"/>
      <c r="DC27" s="552"/>
      <c r="DD27" s="552"/>
      <c r="DE27" s="552"/>
      <c r="DF27" s="552"/>
      <c r="DG27" s="552"/>
      <c r="DH27" s="552"/>
      <c r="DI27" s="552"/>
      <c r="DJ27" s="552"/>
      <c r="DK27" s="552"/>
      <c r="DL27" s="552"/>
      <c r="DM27" s="552"/>
      <c r="DN27" s="552"/>
      <c r="DO27" s="552"/>
      <c r="DP27" s="552"/>
      <c r="DQ27" s="552"/>
      <c r="DR27" s="552"/>
      <c r="DS27" s="552"/>
      <c r="DT27" s="552"/>
      <c r="DU27" s="552"/>
      <c r="DV27" s="552"/>
      <c r="DW27" s="552"/>
      <c r="DX27" s="552"/>
      <c r="DY27" s="552"/>
      <c r="DZ27" s="552"/>
      <c r="EA27" s="552"/>
      <c r="EB27" s="552"/>
      <c r="EC27" s="552"/>
      <c r="ED27" s="552"/>
      <c r="EE27" s="552"/>
      <c r="EF27" s="552"/>
      <c r="EG27" s="552"/>
      <c r="EH27" s="552"/>
      <c r="EI27" s="552"/>
      <c r="EJ27" s="552"/>
      <c r="EK27" s="552"/>
      <c r="EL27" s="552"/>
      <c r="EM27" s="552"/>
      <c r="EN27" s="552"/>
      <c r="EO27" s="552"/>
      <c r="EP27" s="552"/>
      <c r="EQ27" s="552"/>
      <c r="ER27" s="552"/>
      <c r="ES27" s="552"/>
      <c r="ET27" s="552"/>
      <c r="EU27" s="552"/>
      <c r="EV27" s="552"/>
      <c r="EW27" s="552"/>
      <c r="EX27" s="552"/>
      <c r="EY27" s="552"/>
      <c r="EZ27" s="552"/>
      <c r="FA27" s="552"/>
      <c r="FB27" s="552"/>
      <c r="FC27" s="552"/>
      <c r="FD27" s="552"/>
      <c r="FE27" s="552"/>
      <c r="FF27" s="552"/>
      <c r="FG27" s="552"/>
      <c r="FH27" s="552"/>
      <c r="FI27" s="552"/>
      <c r="FJ27" s="552"/>
      <c r="FK27" s="552"/>
      <c r="FL27" s="552"/>
      <c r="FM27" s="552"/>
      <c r="FN27" s="552"/>
      <c r="FO27" s="552"/>
      <c r="FP27" s="552"/>
      <c r="FQ27" s="552"/>
      <c r="FR27" s="552"/>
      <c r="FS27" s="552"/>
      <c r="FT27" s="552"/>
      <c r="FU27" s="552"/>
      <c r="FV27" s="552"/>
      <c r="FW27" s="552"/>
      <c r="FX27" s="552"/>
      <c r="FY27" s="552"/>
      <c r="FZ27" s="552"/>
      <c r="GA27" s="552"/>
      <c r="GB27" s="552"/>
      <c r="GC27" s="552"/>
      <c r="GD27" s="552"/>
      <c r="GE27" s="552"/>
      <c r="GF27" s="552"/>
      <c r="GG27" s="552"/>
      <c r="GH27" s="552"/>
      <c r="GI27" s="552"/>
      <c r="GJ27" s="552"/>
      <c r="GK27" s="552"/>
      <c r="GL27" s="552"/>
      <c r="GM27" s="552"/>
      <c r="GN27" s="552"/>
      <c r="GO27" s="552"/>
      <c r="GP27" s="552"/>
      <c r="GQ27" s="552"/>
      <c r="GR27" s="552"/>
      <c r="GS27" s="552"/>
      <c r="GT27" s="552"/>
      <c r="GU27" s="552"/>
      <c r="GV27" s="552"/>
      <c r="GW27" s="552"/>
      <c r="GX27" s="552"/>
      <c r="GY27" s="552"/>
      <c r="GZ27" s="552"/>
      <c r="HA27" s="552"/>
      <c r="HB27" s="552"/>
      <c r="HC27" s="552"/>
      <c r="HD27" s="552"/>
      <c r="HE27" s="552"/>
      <c r="HF27" s="552"/>
      <c r="HG27" s="552"/>
      <c r="HH27" s="552"/>
      <c r="HI27" s="552"/>
      <c r="HJ27" s="552"/>
      <c r="HK27" s="552"/>
      <c r="HL27" s="552"/>
      <c r="HM27" s="552"/>
      <c r="HN27" s="552"/>
      <c r="HO27" s="552"/>
      <c r="HP27" s="552"/>
      <c r="HQ27" s="552"/>
      <c r="HR27" s="552"/>
      <c r="HS27" s="552"/>
      <c r="HT27" s="552"/>
      <c r="HU27" s="552"/>
      <c r="HV27" s="552"/>
      <c r="HW27" s="552"/>
      <c r="HX27" s="552"/>
      <c r="HY27" s="552"/>
      <c r="HZ27" s="552"/>
      <c r="IA27" s="552"/>
      <c r="IB27" s="552"/>
      <c r="IC27" s="552"/>
      <c r="ID27" s="552"/>
      <c r="IE27" s="552"/>
      <c r="IF27" s="552"/>
      <c r="IG27" s="552"/>
      <c r="IH27" s="552"/>
      <c r="II27" s="552"/>
      <c r="IJ27" s="552"/>
      <c r="IK27" s="552"/>
      <c r="IL27" s="552"/>
      <c r="IM27" s="552"/>
      <c r="IN27" s="552"/>
      <c r="IO27" s="552"/>
      <c r="IP27" s="552"/>
      <c r="IQ27" s="552"/>
      <c r="IR27" s="552"/>
      <c r="IS27" s="552"/>
      <c r="IT27" s="552"/>
      <c r="IU27" s="552"/>
      <c r="IV27" s="552"/>
    </row>
    <row r="28" spans="1:256" s="600" customFormat="1" ht="18" customHeight="1">
      <c r="A28" s="588">
        <v>20</v>
      </c>
      <c r="B28" s="601"/>
      <c r="C28" s="556"/>
      <c r="D28" s="617" t="s">
        <v>765</v>
      </c>
      <c r="E28" s="604"/>
      <c r="F28" s="626"/>
      <c r="G28" s="614"/>
      <c r="H28" s="615"/>
      <c r="I28" s="630"/>
      <c r="J28" s="627"/>
      <c r="K28" s="627"/>
      <c r="L28" s="627"/>
      <c r="M28" s="627"/>
      <c r="N28" s="627">
        <v>15905</v>
      </c>
      <c r="O28" s="563">
        <f>SUM(I28:N28)</f>
        <v>15905</v>
      </c>
      <c r="P28" s="611"/>
      <c r="Q28" s="552"/>
      <c r="R28" s="552"/>
      <c r="S28" s="552"/>
      <c r="T28" s="552"/>
      <c r="U28" s="552"/>
      <c r="V28" s="552"/>
      <c r="W28" s="552"/>
      <c r="X28" s="552"/>
      <c r="Y28" s="552"/>
      <c r="Z28" s="552"/>
      <c r="AA28" s="552"/>
      <c r="AB28" s="552"/>
      <c r="AC28" s="552"/>
      <c r="AD28" s="552"/>
      <c r="AE28" s="552"/>
      <c r="AF28" s="552"/>
      <c r="AG28" s="552"/>
      <c r="AH28" s="552"/>
      <c r="AI28" s="552"/>
      <c r="AJ28" s="552"/>
      <c r="AK28" s="552"/>
      <c r="AL28" s="552"/>
      <c r="AM28" s="552"/>
      <c r="AN28" s="552"/>
      <c r="AO28" s="552"/>
      <c r="AP28" s="552"/>
      <c r="AQ28" s="552"/>
      <c r="AR28" s="552"/>
      <c r="AS28" s="552"/>
      <c r="AT28" s="552"/>
      <c r="AU28" s="552"/>
      <c r="AV28" s="552"/>
      <c r="AW28" s="552"/>
      <c r="AX28" s="552"/>
      <c r="AY28" s="552"/>
      <c r="AZ28" s="552"/>
      <c r="BA28" s="552"/>
      <c r="BB28" s="552"/>
      <c r="BC28" s="552"/>
      <c r="BD28" s="552"/>
      <c r="BE28" s="552"/>
      <c r="BF28" s="552"/>
      <c r="BG28" s="552"/>
      <c r="BH28" s="552"/>
      <c r="BI28" s="552"/>
      <c r="BJ28" s="552"/>
      <c r="BK28" s="552"/>
      <c r="BL28" s="552"/>
      <c r="BM28" s="552"/>
      <c r="BN28" s="552"/>
      <c r="BO28" s="552"/>
      <c r="BP28" s="552"/>
      <c r="BQ28" s="552"/>
      <c r="BR28" s="552"/>
      <c r="BS28" s="552"/>
      <c r="BT28" s="552"/>
      <c r="BU28" s="552"/>
      <c r="BV28" s="552"/>
      <c r="BW28" s="552"/>
      <c r="BX28" s="552"/>
      <c r="BY28" s="552"/>
      <c r="BZ28" s="552"/>
      <c r="CA28" s="552"/>
      <c r="CB28" s="552"/>
      <c r="CC28" s="552"/>
      <c r="CD28" s="552"/>
      <c r="CE28" s="552"/>
      <c r="CF28" s="552"/>
      <c r="CG28" s="552"/>
      <c r="CH28" s="552"/>
      <c r="CI28" s="552"/>
      <c r="CJ28" s="552"/>
      <c r="CK28" s="552"/>
      <c r="CL28" s="552"/>
      <c r="CM28" s="552"/>
      <c r="CN28" s="552"/>
      <c r="CO28" s="552"/>
      <c r="CP28" s="552"/>
      <c r="CQ28" s="552"/>
      <c r="CR28" s="552"/>
      <c r="CS28" s="552"/>
      <c r="CT28" s="552"/>
      <c r="CU28" s="552"/>
      <c r="CV28" s="552"/>
      <c r="CW28" s="552"/>
      <c r="CX28" s="552"/>
      <c r="CY28" s="552"/>
      <c r="CZ28" s="552"/>
      <c r="DA28" s="552"/>
      <c r="DB28" s="552"/>
      <c r="DC28" s="552"/>
      <c r="DD28" s="552"/>
      <c r="DE28" s="552"/>
      <c r="DF28" s="552"/>
      <c r="DG28" s="552"/>
      <c r="DH28" s="552"/>
      <c r="DI28" s="552"/>
      <c r="DJ28" s="552"/>
      <c r="DK28" s="552"/>
      <c r="DL28" s="552"/>
      <c r="DM28" s="552"/>
      <c r="DN28" s="552"/>
      <c r="DO28" s="552"/>
      <c r="DP28" s="552"/>
      <c r="DQ28" s="552"/>
      <c r="DR28" s="552"/>
      <c r="DS28" s="552"/>
      <c r="DT28" s="552"/>
      <c r="DU28" s="552"/>
      <c r="DV28" s="552"/>
      <c r="DW28" s="552"/>
      <c r="DX28" s="552"/>
      <c r="DY28" s="552"/>
      <c r="DZ28" s="552"/>
      <c r="EA28" s="552"/>
      <c r="EB28" s="552"/>
      <c r="EC28" s="552"/>
      <c r="ED28" s="552"/>
      <c r="EE28" s="552"/>
      <c r="EF28" s="552"/>
      <c r="EG28" s="552"/>
      <c r="EH28" s="552"/>
      <c r="EI28" s="552"/>
      <c r="EJ28" s="552"/>
      <c r="EK28" s="552"/>
      <c r="EL28" s="552"/>
      <c r="EM28" s="552"/>
      <c r="EN28" s="552"/>
      <c r="EO28" s="552"/>
      <c r="EP28" s="552"/>
      <c r="EQ28" s="552"/>
      <c r="ER28" s="552"/>
      <c r="ES28" s="552"/>
      <c r="ET28" s="552"/>
      <c r="EU28" s="552"/>
      <c r="EV28" s="552"/>
      <c r="EW28" s="552"/>
      <c r="EX28" s="552"/>
      <c r="EY28" s="552"/>
      <c r="EZ28" s="552"/>
      <c r="FA28" s="552"/>
      <c r="FB28" s="552"/>
      <c r="FC28" s="552"/>
      <c r="FD28" s="552"/>
      <c r="FE28" s="552"/>
      <c r="FF28" s="552"/>
      <c r="FG28" s="552"/>
      <c r="FH28" s="552"/>
      <c r="FI28" s="552"/>
      <c r="FJ28" s="552"/>
      <c r="FK28" s="552"/>
      <c r="FL28" s="552"/>
      <c r="FM28" s="552"/>
      <c r="FN28" s="552"/>
      <c r="FO28" s="552"/>
      <c r="FP28" s="552"/>
      <c r="FQ28" s="552"/>
      <c r="FR28" s="552"/>
      <c r="FS28" s="552"/>
      <c r="FT28" s="552"/>
      <c r="FU28" s="552"/>
      <c r="FV28" s="552"/>
      <c r="FW28" s="552"/>
      <c r="FX28" s="552"/>
      <c r="FY28" s="552"/>
      <c r="FZ28" s="552"/>
      <c r="GA28" s="552"/>
      <c r="GB28" s="552"/>
      <c r="GC28" s="552"/>
      <c r="GD28" s="552"/>
      <c r="GE28" s="552"/>
      <c r="GF28" s="552"/>
      <c r="GG28" s="552"/>
      <c r="GH28" s="552"/>
      <c r="GI28" s="552"/>
      <c r="GJ28" s="552"/>
      <c r="GK28" s="552"/>
      <c r="GL28" s="552"/>
      <c r="GM28" s="552"/>
      <c r="GN28" s="552"/>
      <c r="GO28" s="552"/>
      <c r="GP28" s="552"/>
      <c r="GQ28" s="552"/>
      <c r="GR28" s="552"/>
      <c r="GS28" s="552"/>
      <c r="GT28" s="552"/>
      <c r="GU28" s="552"/>
      <c r="GV28" s="552"/>
      <c r="GW28" s="552"/>
      <c r="GX28" s="552"/>
      <c r="GY28" s="552"/>
      <c r="GZ28" s="552"/>
      <c r="HA28" s="552"/>
      <c r="HB28" s="552"/>
      <c r="HC28" s="552"/>
      <c r="HD28" s="552"/>
      <c r="HE28" s="552"/>
      <c r="HF28" s="552"/>
      <c r="HG28" s="552"/>
      <c r="HH28" s="552"/>
      <c r="HI28" s="552"/>
      <c r="HJ28" s="552"/>
      <c r="HK28" s="552"/>
      <c r="HL28" s="552"/>
      <c r="HM28" s="552"/>
      <c r="HN28" s="552"/>
      <c r="HO28" s="552"/>
      <c r="HP28" s="552"/>
      <c r="HQ28" s="552"/>
      <c r="HR28" s="552"/>
      <c r="HS28" s="552"/>
      <c r="HT28" s="552"/>
      <c r="HU28" s="552"/>
      <c r="HV28" s="552"/>
      <c r="HW28" s="552"/>
      <c r="HX28" s="552"/>
      <c r="HY28" s="552"/>
      <c r="HZ28" s="552"/>
      <c r="IA28" s="552"/>
      <c r="IB28" s="552"/>
      <c r="IC28" s="552"/>
      <c r="ID28" s="552"/>
      <c r="IE28" s="552"/>
      <c r="IF28" s="552"/>
      <c r="IG28" s="552"/>
      <c r="IH28" s="552"/>
      <c r="II28" s="552"/>
      <c r="IJ28" s="552"/>
      <c r="IK28" s="552"/>
      <c r="IL28" s="552"/>
      <c r="IM28" s="552"/>
      <c r="IN28" s="552"/>
      <c r="IO28" s="552"/>
      <c r="IP28" s="552"/>
      <c r="IQ28" s="552"/>
      <c r="IR28" s="552"/>
      <c r="IS28" s="552"/>
      <c r="IT28" s="552"/>
      <c r="IU28" s="552"/>
      <c r="IV28" s="552"/>
    </row>
    <row r="29" spans="1:256" s="600" customFormat="1" ht="18" customHeight="1">
      <c r="A29" s="588">
        <v>21</v>
      </c>
      <c r="B29" s="601"/>
      <c r="C29" s="556"/>
      <c r="D29" s="620" t="s">
        <v>1021</v>
      </c>
      <c r="E29" s="604"/>
      <c r="F29" s="626"/>
      <c r="G29" s="614"/>
      <c r="H29" s="615"/>
      <c r="I29" s="623"/>
      <c r="J29" s="624"/>
      <c r="K29" s="624"/>
      <c r="L29" s="624"/>
      <c r="M29" s="624"/>
      <c r="N29" s="629">
        <v>15905</v>
      </c>
      <c r="O29" s="562">
        <f>SUM(I29:N29)</f>
        <v>15905</v>
      </c>
      <c r="P29" s="611"/>
      <c r="Q29" s="552"/>
      <c r="R29" s="552"/>
      <c r="S29" s="552"/>
      <c r="T29" s="552"/>
      <c r="U29" s="552"/>
      <c r="V29" s="552"/>
      <c r="W29" s="552"/>
      <c r="X29" s="552"/>
      <c r="Y29" s="552"/>
      <c r="Z29" s="552"/>
      <c r="AA29" s="552"/>
      <c r="AB29" s="552"/>
      <c r="AC29" s="552"/>
      <c r="AD29" s="552"/>
      <c r="AE29" s="552"/>
      <c r="AF29" s="552"/>
      <c r="AG29" s="552"/>
      <c r="AH29" s="552"/>
      <c r="AI29" s="552"/>
      <c r="AJ29" s="552"/>
      <c r="AK29" s="552"/>
      <c r="AL29" s="552"/>
      <c r="AM29" s="552"/>
      <c r="AN29" s="552"/>
      <c r="AO29" s="552"/>
      <c r="AP29" s="552"/>
      <c r="AQ29" s="552"/>
      <c r="AR29" s="552"/>
      <c r="AS29" s="552"/>
      <c r="AT29" s="552"/>
      <c r="AU29" s="552"/>
      <c r="AV29" s="552"/>
      <c r="AW29" s="552"/>
      <c r="AX29" s="552"/>
      <c r="AY29" s="552"/>
      <c r="AZ29" s="552"/>
      <c r="BA29" s="552"/>
      <c r="BB29" s="552"/>
      <c r="BC29" s="552"/>
      <c r="BD29" s="552"/>
      <c r="BE29" s="552"/>
      <c r="BF29" s="552"/>
      <c r="BG29" s="552"/>
      <c r="BH29" s="552"/>
      <c r="BI29" s="552"/>
      <c r="BJ29" s="552"/>
      <c r="BK29" s="552"/>
      <c r="BL29" s="552"/>
      <c r="BM29" s="552"/>
      <c r="BN29" s="552"/>
      <c r="BO29" s="552"/>
      <c r="BP29" s="552"/>
      <c r="BQ29" s="552"/>
      <c r="BR29" s="552"/>
      <c r="BS29" s="552"/>
      <c r="BT29" s="552"/>
      <c r="BU29" s="552"/>
      <c r="BV29" s="552"/>
      <c r="BW29" s="552"/>
      <c r="BX29" s="552"/>
      <c r="BY29" s="552"/>
      <c r="BZ29" s="552"/>
      <c r="CA29" s="552"/>
      <c r="CB29" s="552"/>
      <c r="CC29" s="552"/>
      <c r="CD29" s="552"/>
      <c r="CE29" s="552"/>
      <c r="CF29" s="552"/>
      <c r="CG29" s="552"/>
      <c r="CH29" s="552"/>
      <c r="CI29" s="552"/>
      <c r="CJ29" s="552"/>
      <c r="CK29" s="552"/>
      <c r="CL29" s="552"/>
      <c r="CM29" s="552"/>
      <c r="CN29" s="552"/>
      <c r="CO29" s="552"/>
      <c r="CP29" s="552"/>
      <c r="CQ29" s="552"/>
      <c r="CR29" s="552"/>
      <c r="CS29" s="552"/>
      <c r="CT29" s="552"/>
      <c r="CU29" s="552"/>
      <c r="CV29" s="552"/>
      <c r="CW29" s="552"/>
      <c r="CX29" s="552"/>
      <c r="CY29" s="552"/>
      <c r="CZ29" s="552"/>
      <c r="DA29" s="552"/>
      <c r="DB29" s="552"/>
      <c r="DC29" s="552"/>
      <c r="DD29" s="552"/>
      <c r="DE29" s="552"/>
      <c r="DF29" s="552"/>
      <c r="DG29" s="552"/>
      <c r="DH29" s="552"/>
      <c r="DI29" s="552"/>
      <c r="DJ29" s="552"/>
      <c r="DK29" s="552"/>
      <c r="DL29" s="552"/>
      <c r="DM29" s="552"/>
      <c r="DN29" s="552"/>
      <c r="DO29" s="552"/>
      <c r="DP29" s="552"/>
      <c r="DQ29" s="552"/>
      <c r="DR29" s="552"/>
      <c r="DS29" s="552"/>
      <c r="DT29" s="552"/>
      <c r="DU29" s="552"/>
      <c r="DV29" s="552"/>
      <c r="DW29" s="552"/>
      <c r="DX29" s="552"/>
      <c r="DY29" s="552"/>
      <c r="DZ29" s="552"/>
      <c r="EA29" s="552"/>
      <c r="EB29" s="552"/>
      <c r="EC29" s="552"/>
      <c r="ED29" s="552"/>
      <c r="EE29" s="552"/>
      <c r="EF29" s="552"/>
      <c r="EG29" s="552"/>
      <c r="EH29" s="552"/>
      <c r="EI29" s="552"/>
      <c r="EJ29" s="552"/>
      <c r="EK29" s="552"/>
      <c r="EL29" s="552"/>
      <c r="EM29" s="552"/>
      <c r="EN29" s="552"/>
      <c r="EO29" s="552"/>
      <c r="EP29" s="552"/>
      <c r="EQ29" s="552"/>
      <c r="ER29" s="552"/>
      <c r="ES29" s="552"/>
      <c r="ET29" s="552"/>
      <c r="EU29" s="552"/>
      <c r="EV29" s="552"/>
      <c r="EW29" s="552"/>
      <c r="EX29" s="552"/>
      <c r="EY29" s="552"/>
      <c r="EZ29" s="552"/>
      <c r="FA29" s="552"/>
      <c r="FB29" s="552"/>
      <c r="FC29" s="552"/>
      <c r="FD29" s="552"/>
      <c r="FE29" s="552"/>
      <c r="FF29" s="552"/>
      <c r="FG29" s="552"/>
      <c r="FH29" s="552"/>
      <c r="FI29" s="552"/>
      <c r="FJ29" s="552"/>
      <c r="FK29" s="552"/>
      <c r="FL29" s="552"/>
      <c r="FM29" s="552"/>
      <c r="FN29" s="552"/>
      <c r="FO29" s="552"/>
      <c r="FP29" s="552"/>
      <c r="FQ29" s="552"/>
      <c r="FR29" s="552"/>
      <c r="FS29" s="552"/>
      <c r="FT29" s="552"/>
      <c r="FU29" s="552"/>
      <c r="FV29" s="552"/>
      <c r="FW29" s="552"/>
      <c r="FX29" s="552"/>
      <c r="FY29" s="552"/>
      <c r="FZ29" s="552"/>
      <c r="GA29" s="552"/>
      <c r="GB29" s="552"/>
      <c r="GC29" s="552"/>
      <c r="GD29" s="552"/>
      <c r="GE29" s="552"/>
      <c r="GF29" s="552"/>
      <c r="GG29" s="552"/>
      <c r="GH29" s="552"/>
      <c r="GI29" s="552"/>
      <c r="GJ29" s="552"/>
      <c r="GK29" s="552"/>
      <c r="GL29" s="552"/>
      <c r="GM29" s="552"/>
      <c r="GN29" s="552"/>
      <c r="GO29" s="552"/>
      <c r="GP29" s="552"/>
      <c r="GQ29" s="552"/>
      <c r="GR29" s="552"/>
      <c r="GS29" s="552"/>
      <c r="GT29" s="552"/>
      <c r="GU29" s="552"/>
      <c r="GV29" s="552"/>
      <c r="GW29" s="552"/>
      <c r="GX29" s="552"/>
      <c r="GY29" s="552"/>
      <c r="GZ29" s="552"/>
      <c r="HA29" s="552"/>
      <c r="HB29" s="552"/>
      <c r="HC29" s="552"/>
      <c r="HD29" s="552"/>
      <c r="HE29" s="552"/>
      <c r="HF29" s="552"/>
      <c r="HG29" s="552"/>
      <c r="HH29" s="552"/>
      <c r="HI29" s="552"/>
      <c r="HJ29" s="552"/>
      <c r="HK29" s="552"/>
      <c r="HL29" s="552"/>
      <c r="HM29" s="552"/>
      <c r="HN29" s="552"/>
      <c r="HO29" s="552"/>
      <c r="HP29" s="552"/>
      <c r="HQ29" s="552"/>
      <c r="HR29" s="552"/>
      <c r="HS29" s="552"/>
      <c r="HT29" s="552"/>
      <c r="HU29" s="552"/>
      <c r="HV29" s="552"/>
      <c r="HW29" s="552"/>
      <c r="HX29" s="552"/>
      <c r="HY29" s="552"/>
      <c r="HZ29" s="552"/>
      <c r="IA29" s="552"/>
      <c r="IB29" s="552"/>
      <c r="IC29" s="552"/>
      <c r="ID29" s="552"/>
      <c r="IE29" s="552"/>
      <c r="IF29" s="552"/>
      <c r="IG29" s="552"/>
      <c r="IH29" s="552"/>
      <c r="II29" s="552"/>
      <c r="IJ29" s="552"/>
      <c r="IK29" s="552"/>
      <c r="IL29" s="552"/>
      <c r="IM29" s="552"/>
      <c r="IN29" s="552"/>
      <c r="IO29" s="552"/>
      <c r="IP29" s="552"/>
      <c r="IQ29" s="552"/>
      <c r="IR29" s="552"/>
      <c r="IS29" s="552"/>
      <c r="IT29" s="552"/>
      <c r="IU29" s="552"/>
      <c r="IV29" s="552"/>
    </row>
    <row r="30" spans="1:256" ht="31">
      <c r="A30" s="588">
        <v>22</v>
      </c>
      <c r="B30" s="612"/>
      <c r="C30" s="556">
        <v>10</v>
      </c>
      <c r="D30" s="621" t="s">
        <v>658</v>
      </c>
      <c r="E30" s="603">
        <f>F30+G30+P31+O32</f>
        <v>50405</v>
      </c>
      <c r="F30" s="622">
        <f>1176+23808+8922+11615</f>
        <v>45521</v>
      </c>
      <c r="G30" s="605">
        <v>3272</v>
      </c>
      <c r="H30" s="615" t="s">
        <v>231</v>
      </c>
      <c r="I30" s="623"/>
      <c r="J30" s="624"/>
      <c r="K30" s="624"/>
      <c r="L30" s="624"/>
      <c r="M30" s="624"/>
      <c r="N30" s="625"/>
      <c r="O30" s="616"/>
      <c r="P30" s="611"/>
    </row>
    <row r="31" spans="1:256" s="600" customFormat="1" ht="18" customHeight="1">
      <c r="A31" s="588">
        <v>23</v>
      </c>
      <c r="B31" s="601"/>
      <c r="C31" s="556"/>
      <c r="D31" s="613" t="s">
        <v>198</v>
      </c>
      <c r="E31" s="604"/>
      <c r="F31" s="626"/>
      <c r="G31" s="614"/>
      <c r="H31" s="615"/>
      <c r="I31" s="623"/>
      <c r="J31" s="624"/>
      <c r="K31" s="624"/>
      <c r="L31" s="624">
        <v>1612</v>
      </c>
      <c r="M31" s="624"/>
      <c r="N31" s="625"/>
      <c r="O31" s="616">
        <f>SUM(I31:N31)</f>
        <v>1612</v>
      </c>
      <c r="P31" s="611"/>
      <c r="Q31" s="552"/>
      <c r="R31" s="552"/>
      <c r="S31" s="552"/>
      <c r="T31" s="552"/>
      <c r="U31" s="552"/>
      <c r="V31" s="552"/>
      <c r="W31" s="552"/>
      <c r="X31" s="552"/>
      <c r="Y31" s="552"/>
      <c r="Z31" s="552"/>
      <c r="AA31" s="552"/>
      <c r="AB31" s="552"/>
      <c r="AC31" s="552"/>
      <c r="AD31" s="552"/>
      <c r="AE31" s="552"/>
      <c r="AF31" s="552"/>
      <c r="AG31" s="552"/>
      <c r="AH31" s="552"/>
      <c r="AI31" s="552"/>
      <c r="AJ31" s="552"/>
      <c r="AK31" s="552"/>
      <c r="AL31" s="552"/>
      <c r="AM31" s="552"/>
      <c r="AN31" s="552"/>
      <c r="AO31" s="552"/>
      <c r="AP31" s="552"/>
      <c r="AQ31" s="552"/>
      <c r="AR31" s="552"/>
      <c r="AS31" s="552"/>
      <c r="AT31" s="552"/>
      <c r="AU31" s="552"/>
      <c r="AV31" s="552"/>
      <c r="AW31" s="552"/>
      <c r="AX31" s="552"/>
      <c r="AY31" s="552"/>
      <c r="AZ31" s="552"/>
      <c r="BA31" s="552"/>
      <c r="BB31" s="552"/>
      <c r="BC31" s="552"/>
      <c r="BD31" s="552"/>
      <c r="BE31" s="552"/>
      <c r="BF31" s="552"/>
      <c r="BG31" s="552"/>
      <c r="BH31" s="552"/>
      <c r="BI31" s="552"/>
      <c r="BJ31" s="552"/>
      <c r="BK31" s="552"/>
      <c r="BL31" s="552"/>
      <c r="BM31" s="552"/>
      <c r="BN31" s="552"/>
      <c r="BO31" s="552"/>
      <c r="BP31" s="552"/>
      <c r="BQ31" s="552"/>
      <c r="BR31" s="552"/>
      <c r="BS31" s="552"/>
      <c r="BT31" s="552"/>
      <c r="BU31" s="552"/>
      <c r="BV31" s="552"/>
      <c r="BW31" s="552"/>
      <c r="BX31" s="552"/>
      <c r="BY31" s="552"/>
      <c r="BZ31" s="552"/>
      <c r="CA31" s="552"/>
      <c r="CB31" s="552"/>
      <c r="CC31" s="552"/>
      <c r="CD31" s="552"/>
      <c r="CE31" s="552"/>
      <c r="CF31" s="552"/>
      <c r="CG31" s="552"/>
      <c r="CH31" s="552"/>
      <c r="CI31" s="552"/>
      <c r="CJ31" s="552"/>
      <c r="CK31" s="552"/>
      <c r="CL31" s="552"/>
      <c r="CM31" s="552"/>
      <c r="CN31" s="552"/>
      <c r="CO31" s="552"/>
      <c r="CP31" s="552"/>
      <c r="CQ31" s="552"/>
      <c r="CR31" s="552"/>
      <c r="CS31" s="552"/>
      <c r="CT31" s="552"/>
      <c r="CU31" s="552"/>
      <c r="CV31" s="552"/>
      <c r="CW31" s="552"/>
      <c r="CX31" s="552"/>
      <c r="CY31" s="552"/>
      <c r="CZ31" s="552"/>
      <c r="DA31" s="552"/>
      <c r="DB31" s="552"/>
      <c r="DC31" s="552"/>
      <c r="DD31" s="552"/>
      <c r="DE31" s="552"/>
      <c r="DF31" s="552"/>
      <c r="DG31" s="552"/>
      <c r="DH31" s="552"/>
      <c r="DI31" s="552"/>
      <c r="DJ31" s="552"/>
      <c r="DK31" s="552"/>
      <c r="DL31" s="552"/>
      <c r="DM31" s="552"/>
      <c r="DN31" s="552"/>
      <c r="DO31" s="552"/>
      <c r="DP31" s="552"/>
      <c r="DQ31" s="552"/>
      <c r="DR31" s="552"/>
      <c r="DS31" s="552"/>
      <c r="DT31" s="552"/>
      <c r="DU31" s="552"/>
      <c r="DV31" s="552"/>
      <c r="DW31" s="552"/>
      <c r="DX31" s="552"/>
      <c r="DY31" s="552"/>
      <c r="DZ31" s="552"/>
      <c r="EA31" s="552"/>
      <c r="EB31" s="552"/>
      <c r="EC31" s="552"/>
      <c r="ED31" s="552"/>
      <c r="EE31" s="552"/>
      <c r="EF31" s="552"/>
      <c r="EG31" s="552"/>
      <c r="EH31" s="552"/>
      <c r="EI31" s="552"/>
      <c r="EJ31" s="552"/>
      <c r="EK31" s="552"/>
      <c r="EL31" s="552"/>
      <c r="EM31" s="552"/>
      <c r="EN31" s="552"/>
      <c r="EO31" s="552"/>
      <c r="EP31" s="552"/>
      <c r="EQ31" s="552"/>
      <c r="ER31" s="552"/>
      <c r="ES31" s="552"/>
      <c r="ET31" s="552"/>
      <c r="EU31" s="552"/>
      <c r="EV31" s="552"/>
      <c r="EW31" s="552"/>
      <c r="EX31" s="552"/>
      <c r="EY31" s="552"/>
      <c r="EZ31" s="552"/>
      <c r="FA31" s="552"/>
      <c r="FB31" s="552"/>
      <c r="FC31" s="552"/>
      <c r="FD31" s="552"/>
      <c r="FE31" s="552"/>
      <c r="FF31" s="552"/>
      <c r="FG31" s="552"/>
      <c r="FH31" s="552"/>
      <c r="FI31" s="552"/>
      <c r="FJ31" s="552"/>
      <c r="FK31" s="552"/>
      <c r="FL31" s="552"/>
      <c r="FM31" s="552"/>
      <c r="FN31" s="552"/>
      <c r="FO31" s="552"/>
      <c r="FP31" s="552"/>
      <c r="FQ31" s="552"/>
      <c r="FR31" s="552"/>
      <c r="FS31" s="552"/>
      <c r="FT31" s="552"/>
      <c r="FU31" s="552"/>
      <c r="FV31" s="552"/>
      <c r="FW31" s="552"/>
      <c r="FX31" s="552"/>
      <c r="FY31" s="552"/>
      <c r="FZ31" s="552"/>
      <c r="GA31" s="552"/>
      <c r="GB31" s="552"/>
      <c r="GC31" s="552"/>
      <c r="GD31" s="552"/>
      <c r="GE31" s="552"/>
      <c r="GF31" s="552"/>
      <c r="GG31" s="552"/>
      <c r="GH31" s="552"/>
      <c r="GI31" s="552"/>
      <c r="GJ31" s="552"/>
      <c r="GK31" s="552"/>
      <c r="GL31" s="552"/>
      <c r="GM31" s="552"/>
      <c r="GN31" s="552"/>
      <c r="GO31" s="552"/>
      <c r="GP31" s="552"/>
      <c r="GQ31" s="552"/>
      <c r="GR31" s="552"/>
      <c r="GS31" s="552"/>
      <c r="GT31" s="552"/>
      <c r="GU31" s="552"/>
      <c r="GV31" s="552"/>
      <c r="GW31" s="552"/>
      <c r="GX31" s="552"/>
      <c r="GY31" s="552"/>
      <c r="GZ31" s="552"/>
      <c r="HA31" s="552"/>
      <c r="HB31" s="552"/>
      <c r="HC31" s="552"/>
      <c r="HD31" s="552"/>
      <c r="HE31" s="552"/>
      <c r="HF31" s="552"/>
      <c r="HG31" s="552"/>
      <c r="HH31" s="552"/>
      <c r="HI31" s="552"/>
      <c r="HJ31" s="552"/>
      <c r="HK31" s="552"/>
      <c r="HL31" s="552"/>
      <c r="HM31" s="552"/>
      <c r="HN31" s="552"/>
      <c r="HO31" s="552"/>
      <c r="HP31" s="552"/>
      <c r="HQ31" s="552"/>
      <c r="HR31" s="552"/>
      <c r="HS31" s="552"/>
      <c r="HT31" s="552"/>
      <c r="HU31" s="552"/>
      <c r="HV31" s="552"/>
      <c r="HW31" s="552"/>
      <c r="HX31" s="552"/>
      <c r="HY31" s="552"/>
      <c r="HZ31" s="552"/>
      <c r="IA31" s="552"/>
      <c r="IB31" s="552"/>
      <c r="IC31" s="552"/>
      <c r="ID31" s="552"/>
      <c r="IE31" s="552"/>
      <c r="IF31" s="552"/>
      <c r="IG31" s="552"/>
      <c r="IH31" s="552"/>
      <c r="II31" s="552"/>
      <c r="IJ31" s="552"/>
      <c r="IK31" s="552"/>
      <c r="IL31" s="552"/>
      <c r="IM31" s="552"/>
      <c r="IN31" s="552"/>
      <c r="IO31" s="552"/>
      <c r="IP31" s="552"/>
      <c r="IQ31" s="552"/>
      <c r="IR31" s="552"/>
      <c r="IS31" s="552"/>
      <c r="IT31" s="552"/>
      <c r="IU31" s="552"/>
      <c r="IV31" s="552"/>
    </row>
    <row r="32" spans="1:256" s="600" customFormat="1" ht="18" customHeight="1">
      <c r="A32" s="588">
        <v>24</v>
      </c>
      <c r="B32" s="601"/>
      <c r="C32" s="556"/>
      <c r="D32" s="617" t="s">
        <v>765</v>
      </c>
      <c r="E32" s="604"/>
      <c r="F32" s="626"/>
      <c r="G32" s="614"/>
      <c r="H32" s="615"/>
      <c r="I32" s="630"/>
      <c r="J32" s="627"/>
      <c r="K32" s="627"/>
      <c r="L32" s="627">
        <v>1612</v>
      </c>
      <c r="M32" s="627"/>
      <c r="N32" s="628"/>
      <c r="O32" s="563">
        <f>SUM(I32:N32)</f>
        <v>1612</v>
      </c>
      <c r="P32" s="611"/>
      <c r="Q32" s="552"/>
      <c r="R32" s="552"/>
      <c r="S32" s="552"/>
      <c r="T32" s="552"/>
      <c r="U32" s="552"/>
      <c r="V32" s="552"/>
      <c r="W32" s="552"/>
      <c r="X32" s="552"/>
      <c r="Y32" s="552"/>
      <c r="Z32" s="552"/>
      <c r="AA32" s="552"/>
      <c r="AB32" s="552"/>
      <c r="AC32" s="552"/>
      <c r="AD32" s="552"/>
      <c r="AE32" s="552"/>
      <c r="AF32" s="552"/>
      <c r="AG32" s="552"/>
      <c r="AH32" s="552"/>
      <c r="AI32" s="552"/>
      <c r="AJ32" s="552"/>
      <c r="AK32" s="552"/>
      <c r="AL32" s="552"/>
      <c r="AM32" s="552"/>
      <c r="AN32" s="552"/>
      <c r="AO32" s="552"/>
      <c r="AP32" s="552"/>
      <c r="AQ32" s="552"/>
      <c r="AR32" s="552"/>
      <c r="AS32" s="552"/>
      <c r="AT32" s="552"/>
      <c r="AU32" s="552"/>
      <c r="AV32" s="552"/>
      <c r="AW32" s="552"/>
      <c r="AX32" s="552"/>
      <c r="AY32" s="552"/>
      <c r="AZ32" s="552"/>
      <c r="BA32" s="552"/>
      <c r="BB32" s="552"/>
      <c r="BC32" s="552"/>
      <c r="BD32" s="552"/>
      <c r="BE32" s="552"/>
      <c r="BF32" s="552"/>
      <c r="BG32" s="552"/>
      <c r="BH32" s="552"/>
      <c r="BI32" s="552"/>
      <c r="BJ32" s="552"/>
      <c r="BK32" s="552"/>
      <c r="BL32" s="552"/>
      <c r="BM32" s="552"/>
      <c r="BN32" s="552"/>
      <c r="BO32" s="552"/>
      <c r="BP32" s="552"/>
      <c r="BQ32" s="552"/>
      <c r="BR32" s="552"/>
      <c r="BS32" s="552"/>
      <c r="BT32" s="552"/>
      <c r="BU32" s="552"/>
      <c r="BV32" s="552"/>
      <c r="BW32" s="552"/>
      <c r="BX32" s="552"/>
      <c r="BY32" s="552"/>
      <c r="BZ32" s="552"/>
      <c r="CA32" s="552"/>
      <c r="CB32" s="552"/>
      <c r="CC32" s="552"/>
      <c r="CD32" s="552"/>
      <c r="CE32" s="552"/>
      <c r="CF32" s="552"/>
      <c r="CG32" s="552"/>
      <c r="CH32" s="552"/>
      <c r="CI32" s="552"/>
      <c r="CJ32" s="552"/>
      <c r="CK32" s="552"/>
      <c r="CL32" s="552"/>
      <c r="CM32" s="552"/>
      <c r="CN32" s="552"/>
      <c r="CO32" s="552"/>
      <c r="CP32" s="552"/>
      <c r="CQ32" s="552"/>
      <c r="CR32" s="552"/>
      <c r="CS32" s="552"/>
      <c r="CT32" s="552"/>
      <c r="CU32" s="552"/>
      <c r="CV32" s="552"/>
      <c r="CW32" s="552"/>
      <c r="CX32" s="552"/>
      <c r="CY32" s="552"/>
      <c r="CZ32" s="552"/>
      <c r="DA32" s="552"/>
      <c r="DB32" s="552"/>
      <c r="DC32" s="552"/>
      <c r="DD32" s="552"/>
      <c r="DE32" s="552"/>
      <c r="DF32" s="552"/>
      <c r="DG32" s="552"/>
      <c r="DH32" s="552"/>
      <c r="DI32" s="552"/>
      <c r="DJ32" s="552"/>
      <c r="DK32" s="552"/>
      <c r="DL32" s="552"/>
      <c r="DM32" s="552"/>
      <c r="DN32" s="552"/>
      <c r="DO32" s="552"/>
      <c r="DP32" s="552"/>
      <c r="DQ32" s="552"/>
      <c r="DR32" s="552"/>
      <c r="DS32" s="552"/>
      <c r="DT32" s="552"/>
      <c r="DU32" s="552"/>
      <c r="DV32" s="552"/>
      <c r="DW32" s="552"/>
      <c r="DX32" s="552"/>
      <c r="DY32" s="552"/>
      <c r="DZ32" s="552"/>
      <c r="EA32" s="552"/>
      <c r="EB32" s="552"/>
      <c r="EC32" s="552"/>
      <c r="ED32" s="552"/>
      <c r="EE32" s="552"/>
      <c r="EF32" s="552"/>
      <c r="EG32" s="552"/>
      <c r="EH32" s="552"/>
      <c r="EI32" s="552"/>
      <c r="EJ32" s="552"/>
      <c r="EK32" s="552"/>
      <c r="EL32" s="552"/>
      <c r="EM32" s="552"/>
      <c r="EN32" s="552"/>
      <c r="EO32" s="552"/>
      <c r="EP32" s="552"/>
      <c r="EQ32" s="552"/>
      <c r="ER32" s="552"/>
      <c r="ES32" s="552"/>
      <c r="ET32" s="552"/>
      <c r="EU32" s="552"/>
      <c r="EV32" s="552"/>
      <c r="EW32" s="552"/>
      <c r="EX32" s="552"/>
      <c r="EY32" s="552"/>
      <c r="EZ32" s="552"/>
      <c r="FA32" s="552"/>
      <c r="FB32" s="552"/>
      <c r="FC32" s="552"/>
      <c r="FD32" s="552"/>
      <c r="FE32" s="552"/>
      <c r="FF32" s="552"/>
      <c r="FG32" s="552"/>
      <c r="FH32" s="552"/>
      <c r="FI32" s="552"/>
      <c r="FJ32" s="552"/>
      <c r="FK32" s="552"/>
      <c r="FL32" s="552"/>
      <c r="FM32" s="552"/>
      <c r="FN32" s="552"/>
      <c r="FO32" s="552"/>
      <c r="FP32" s="552"/>
      <c r="FQ32" s="552"/>
      <c r="FR32" s="552"/>
      <c r="FS32" s="552"/>
      <c r="FT32" s="552"/>
      <c r="FU32" s="552"/>
      <c r="FV32" s="552"/>
      <c r="FW32" s="552"/>
      <c r="FX32" s="552"/>
      <c r="FY32" s="552"/>
      <c r="FZ32" s="552"/>
      <c r="GA32" s="552"/>
      <c r="GB32" s="552"/>
      <c r="GC32" s="552"/>
      <c r="GD32" s="552"/>
      <c r="GE32" s="552"/>
      <c r="GF32" s="552"/>
      <c r="GG32" s="552"/>
      <c r="GH32" s="552"/>
      <c r="GI32" s="552"/>
      <c r="GJ32" s="552"/>
      <c r="GK32" s="552"/>
      <c r="GL32" s="552"/>
      <c r="GM32" s="552"/>
      <c r="GN32" s="552"/>
      <c r="GO32" s="552"/>
      <c r="GP32" s="552"/>
      <c r="GQ32" s="552"/>
      <c r="GR32" s="552"/>
      <c r="GS32" s="552"/>
      <c r="GT32" s="552"/>
      <c r="GU32" s="552"/>
      <c r="GV32" s="552"/>
      <c r="GW32" s="552"/>
      <c r="GX32" s="552"/>
      <c r="GY32" s="552"/>
      <c r="GZ32" s="552"/>
      <c r="HA32" s="552"/>
      <c r="HB32" s="552"/>
      <c r="HC32" s="552"/>
      <c r="HD32" s="552"/>
      <c r="HE32" s="552"/>
      <c r="HF32" s="552"/>
      <c r="HG32" s="552"/>
      <c r="HH32" s="552"/>
      <c r="HI32" s="552"/>
      <c r="HJ32" s="552"/>
      <c r="HK32" s="552"/>
      <c r="HL32" s="552"/>
      <c r="HM32" s="552"/>
      <c r="HN32" s="552"/>
      <c r="HO32" s="552"/>
      <c r="HP32" s="552"/>
      <c r="HQ32" s="552"/>
      <c r="HR32" s="552"/>
      <c r="HS32" s="552"/>
      <c r="HT32" s="552"/>
      <c r="HU32" s="552"/>
      <c r="HV32" s="552"/>
      <c r="HW32" s="552"/>
      <c r="HX32" s="552"/>
      <c r="HY32" s="552"/>
      <c r="HZ32" s="552"/>
      <c r="IA32" s="552"/>
      <c r="IB32" s="552"/>
      <c r="IC32" s="552"/>
      <c r="ID32" s="552"/>
      <c r="IE32" s="552"/>
      <c r="IF32" s="552"/>
      <c r="IG32" s="552"/>
      <c r="IH32" s="552"/>
      <c r="II32" s="552"/>
      <c r="IJ32" s="552"/>
      <c r="IK32" s="552"/>
      <c r="IL32" s="552"/>
      <c r="IM32" s="552"/>
      <c r="IN32" s="552"/>
      <c r="IO32" s="552"/>
      <c r="IP32" s="552"/>
      <c r="IQ32" s="552"/>
      <c r="IR32" s="552"/>
      <c r="IS32" s="552"/>
      <c r="IT32" s="552"/>
      <c r="IU32" s="552"/>
      <c r="IV32" s="552"/>
    </row>
    <row r="33" spans="1:256" s="600" customFormat="1" ht="18" customHeight="1">
      <c r="A33" s="588">
        <v>25</v>
      </c>
      <c r="B33" s="601"/>
      <c r="C33" s="556"/>
      <c r="D33" s="620" t="s">
        <v>1022</v>
      </c>
      <c r="E33" s="604"/>
      <c r="F33" s="626"/>
      <c r="G33" s="614"/>
      <c r="H33" s="615"/>
      <c r="I33" s="623"/>
      <c r="J33" s="624"/>
      <c r="K33" s="624"/>
      <c r="L33" s="624"/>
      <c r="M33" s="624"/>
      <c r="N33" s="625"/>
      <c r="O33" s="562">
        <f>SUM(I33:N33)</f>
        <v>0</v>
      </c>
      <c r="P33" s="611"/>
      <c r="Q33" s="552"/>
      <c r="R33" s="552"/>
      <c r="S33" s="552"/>
      <c r="T33" s="552"/>
      <c r="U33" s="552"/>
      <c r="V33" s="552"/>
      <c r="W33" s="552"/>
      <c r="X33" s="552"/>
      <c r="Y33" s="552"/>
      <c r="Z33" s="552"/>
      <c r="AA33" s="552"/>
      <c r="AB33" s="552"/>
      <c r="AC33" s="552"/>
      <c r="AD33" s="552"/>
      <c r="AE33" s="552"/>
      <c r="AF33" s="552"/>
      <c r="AG33" s="552"/>
      <c r="AH33" s="552"/>
      <c r="AI33" s="552"/>
      <c r="AJ33" s="552"/>
      <c r="AK33" s="552"/>
      <c r="AL33" s="552"/>
      <c r="AM33" s="552"/>
      <c r="AN33" s="552"/>
      <c r="AO33" s="552"/>
      <c r="AP33" s="552"/>
      <c r="AQ33" s="552"/>
      <c r="AR33" s="552"/>
      <c r="AS33" s="552"/>
      <c r="AT33" s="552"/>
      <c r="AU33" s="552"/>
      <c r="AV33" s="552"/>
      <c r="AW33" s="552"/>
      <c r="AX33" s="552"/>
      <c r="AY33" s="552"/>
      <c r="AZ33" s="552"/>
      <c r="BA33" s="552"/>
      <c r="BB33" s="552"/>
      <c r="BC33" s="552"/>
      <c r="BD33" s="552"/>
      <c r="BE33" s="552"/>
      <c r="BF33" s="552"/>
      <c r="BG33" s="552"/>
      <c r="BH33" s="552"/>
      <c r="BI33" s="552"/>
      <c r="BJ33" s="552"/>
      <c r="BK33" s="552"/>
      <c r="BL33" s="552"/>
      <c r="BM33" s="552"/>
      <c r="BN33" s="552"/>
      <c r="BO33" s="552"/>
      <c r="BP33" s="552"/>
      <c r="BQ33" s="552"/>
      <c r="BR33" s="552"/>
      <c r="BS33" s="552"/>
      <c r="BT33" s="552"/>
      <c r="BU33" s="552"/>
      <c r="BV33" s="552"/>
      <c r="BW33" s="552"/>
      <c r="BX33" s="552"/>
      <c r="BY33" s="552"/>
      <c r="BZ33" s="552"/>
      <c r="CA33" s="552"/>
      <c r="CB33" s="552"/>
      <c r="CC33" s="552"/>
      <c r="CD33" s="552"/>
      <c r="CE33" s="552"/>
      <c r="CF33" s="552"/>
      <c r="CG33" s="552"/>
      <c r="CH33" s="552"/>
      <c r="CI33" s="552"/>
      <c r="CJ33" s="552"/>
      <c r="CK33" s="552"/>
      <c r="CL33" s="552"/>
      <c r="CM33" s="552"/>
      <c r="CN33" s="552"/>
      <c r="CO33" s="552"/>
      <c r="CP33" s="552"/>
      <c r="CQ33" s="552"/>
      <c r="CR33" s="552"/>
      <c r="CS33" s="552"/>
      <c r="CT33" s="552"/>
      <c r="CU33" s="552"/>
      <c r="CV33" s="552"/>
      <c r="CW33" s="552"/>
      <c r="CX33" s="552"/>
      <c r="CY33" s="552"/>
      <c r="CZ33" s="552"/>
      <c r="DA33" s="552"/>
      <c r="DB33" s="552"/>
      <c r="DC33" s="552"/>
      <c r="DD33" s="552"/>
      <c r="DE33" s="552"/>
      <c r="DF33" s="552"/>
      <c r="DG33" s="552"/>
      <c r="DH33" s="552"/>
      <c r="DI33" s="552"/>
      <c r="DJ33" s="552"/>
      <c r="DK33" s="552"/>
      <c r="DL33" s="552"/>
      <c r="DM33" s="552"/>
      <c r="DN33" s="552"/>
      <c r="DO33" s="552"/>
      <c r="DP33" s="552"/>
      <c r="DQ33" s="552"/>
      <c r="DR33" s="552"/>
      <c r="DS33" s="552"/>
      <c r="DT33" s="552"/>
      <c r="DU33" s="552"/>
      <c r="DV33" s="552"/>
      <c r="DW33" s="552"/>
      <c r="DX33" s="552"/>
      <c r="DY33" s="552"/>
      <c r="DZ33" s="552"/>
      <c r="EA33" s="552"/>
      <c r="EB33" s="552"/>
      <c r="EC33" s="552"/>
      <c r="ED33" s="552"/>
      <c r="EE33" s="552"/>
      <c r="EF33" s="552"/>
      <c r="EG33" s="552"/>
      <c r="EH33" s="552"/>
      <c r="EI33" s="552"/>
      <c r="EJ33" s="552"/>
      <c r="EK33" s="552"/>
      <c r="EL33" s="552"/>
      <c r="EM33" s="552"/>
      <c r="EN33" s="552"/>
      <c r="EO33" s="552"/>
      <c r="EP33" s="552"/>
      <c r="EQ33" s="552"/>
      <c r="ER33" s="552"/>
      <c r="ES33" s="552"/>
      <c r="ET33" s="552"/>
      <c r="EU33" s="552"/>
      <c r="EV33" s="552"/>
      <c r="EW33" s="552"/>
      <c r="EX33" s="552"/>
      <c r="EY33" s="552"/>
      <c r="EZ33" s="552"/>
      <c r="FA33" s="552"/>
      <c r="FB33" s="552"/>
      <c r="FC33" s="552"/>
      <c r="FD33" s="552"/>
      <c r="FE33" s="552"/>
      <c r="FF33" s="552"/>
      <c r="FG33" s="552"/>
      <c r="FH33" s="552"/>
      <c r="FI33" s="552"/>
      <c r="FJ33" s="552"/>
      <c r="FK33" s="552"/>
      <c r="FL33" s="552"/>
      <c r="FM33" s="552"/>
      <c r="FN33" s="552"/>
      <c r="FO33" s="552"/>
      <c r="FP33" s="552"/>
      <c r="FQ33" s="552"/>
      <c r="FR33" s="552"/>
      <c r="FS33" s="552"/>
      <c r="FT33" s="552"/>
      <c r="FU33" s="552"/>
      <c r="FV33" s="552"/>
      <c r="FW33" s="552"/>
      <c r="FX33" s="552"/>
      <c r="FY33" s="552"/>
      <c r="FZ33" s="552"/>
      <c r="GA33" s="552"/>
      <c r="GB33" s="552"/>
      <c r="GC33" s="552"/>
      <c r="GD33" s="552"/>
      <c r="GE33" s="552"/>
      <c r="GF33" s="552"/>
      <c r="GG33" s="552"/>
      <c r="GH33" s="552"/>
      <c r="GI33" s="552"/>
      <c r="GJ33" s="552"/>
      <c r="GK33" s="552"/>
      <c r="GL33" s="552"/>
      <c r="GM33" s="552"/>
      <c r="GN33" s="552"/>
      <c r="GO33" s="552"/>
      <c r="GP33" s="552"/>
      <c r="GQ33" s="552"/>
      <c r="GR33" s="552"/>
      <c r="GS33" s="552"/>
      <c r="GT33" s="552"/>
      <c r="GU33" s="552"/>
      <c r="GV33" s="552"/>
      <c r="GW33" s="552"/>
      <c r="GX33" s="552"/>
      <c r="GY33" s="552"/>
      <c r="GZ33" s="552"/>
      <c r="HA33" s="552"/>
      <c r="HB33" s="552"/>
      <c r="HC33" s="552"/>
      <c r="HD33" s="552"/>
      <c r="HE33" s="552"/>
      <c r="HF33" s="552"/>
      <c r="HG33" s="552"/>
      <c r="HH33" s="552"/>
      <c r="HI33" s="552"/>
      <c r="HJ33" s="552"/>
      <c r="HK33" s="552"/>
      <c r="HL33" s="552"/>
      <c r="HM33" s="552"/>
      <c r="HN33" s="552"/>
      <c r="HO33" s="552"/>
      <c r="HP33" s="552"/>
      <c r="HQ33" s="552"/>
      <c r="HR33" s="552"/>
      <c r="HS33" s="552"/>
      <c r="HT33" s="552"/>
      <c r="HU33" s="552"/>
      <c r="HV33" s="552"/>
      <c r="HW33" s="552"/>
      <c r="HX33" s="552"/>
      <c r="HY33" s="552"/>
      <c r="HZ33" s="552"/>
      <c r="IA33" s="552"/>
      <c r="IB33" s="552"/>
      <c r="IC33" s="552"/>
      <c r="ID33" s="552"/>
      <c r="IE33" s="552"/>
      <c r="IF33" s="552"/>
      <c r="IG33" s="552"/>
      <c r="IH33" s="552"/>
      <c r="II33" s="552"/>
      <c r="IJ33" s="552"/>
      <c r="IK33" s="552"/>
      <c r="IL33" s="552"/>
      <c r="IM33" s="552"/>
      <c r="IN33" s="552"/>
      <c r="IO33" s="552"/>
      <c r="IP33" s="552"/>
      <c r="IQ33" s="552"/>
      <c r="IR33" s="552"/>
      <c r="IS33" s="552"/>
      <c r="IT33" s="552"/>
      <c r="IU33" s="552"/>
      <c r="IV33" s="552"/>
    </row>
    <row r="34" spans="1:256" ht="36" customHeight="1">
      <c r="A34" s="588">
        <v>26</v>
      </c>
      <c r="B34" s="612"/>
      <c r="C34" s="556">
        <v>11</v>
      </c>
      <c r="D34" s="631" t="s">
        <v>257</v>
      </c>
      <c r="E34" s="603">
        <f>F34+G34+P35+O36</f>
        <v>25565</v>
      </c>
      <c r="F34" s="603">
        <f>4452+19279</f>
        <v>23731</v>
      </c>
      <c r="G34" s="605">
        <v>1334</v>
      </c>
      <c r="H34" s="615" t="s">
        <v>231</v>
      </c>
      <c r="I34" s="607"/>
      <c r="J34" s="608"/>
      <c r="K34" s="608"/>
      <c r="L34" s="608"/>
      <c r="M34" s="608"/>
      <c r="N34" s="609"/>
      <c r="O34" s="610"/>
      <c r="P34" s="611"/>
    </row>
    <row r="35" spans="1:256" ht="18" customHeight="1">
      <c r="A35" s="588">
        <v>27</v>
      </c>
      <c r="B35" s="612"/>
      <c r="C35" s="559"/>
      <c r="D35" s="613" t="s">
        <v>198</v>
      </c>
      <c r="E35" s="604"/>
      <c r="F35" s="604"/>
      <c r="G35" s="614"/>
      <c r="H35" s="615"/>
      <c r="I35" s="607"/>
      <c r="J35" s="608"/>
      <c r="K35" s="608">
        <v>1000</v>
      </c>
      <c r="L35" s="608"/>
      <c r="M35" s="608"/>
      <c r="N35" s="609"/>
      <c r="O35" s="616">
        <f>SUM(I35:N35)</f>
        <v>1000</v>
      </c>
      <c r="P35" s="611"/>
    </row>
    <row r="36" spans="1:256" ht="18" customHeight="1">
      <c r="A36" s="588">
        <v>28</v>
      </c>
      <c r="B36" s="612"/>
      <c r="C36" s="559"/>
      <c r="D36" s="617" t="s">
        <v>765</v>
      </c>
      <c r="E36" s="604"/>
      <c r="F36" s="604"/>
      <c r="G36" s="614"/>
      <c r="H36" s="615"/>
      <c r="I36" s="618"/>
      <c r="J36" s="619"/>
      <c r="K36" s="619">
        <v>500</v>
      </c>
      <c r="L36" s="619"/>
      <c r="M36" s="619"/>
      <c r="N36" s="604"/>
      <c r="O36" s="563">
        <f>SUM(I36:N36)</f>
        <v>500</v>
      </c>
      <c r="P36" s="611"/>
    </row>
    <row r="37" spans="1:256" ht="18" customHeight="1">
      <c r="A37" s="588">
        <v>29</v>
      </c>
      <c r="B37" s="612"/>
      <c r="C37" s="559"/>
      <c r="D37" s="620" t="s">
        <v>1021</v>
      </c>
      <c r="E37" s="604"/>
      <c r="F37" s="604"/>
      <c r="G37" s="614"/>
      <c r="H37" s="615"/>
      <c r="I37" s="607"/>
      <c r="J37" s="608"/>
      <c r="K37" s="632"/>
      <c r="L37" s="608"/>
      <c r="M37" s="608"/>
      <c r="N37" s="609"/>
      <c r="O37" s="562">
        <f>SUM(I37:N37)</f>
        <v>0</v>
      </c>
      <c r="P37" s="611"/>
    </row>
    <row r="38" spans="1:256" ht="22.5" customHeight="1">
      <c r="A38" s="588">
        <v>30</v>
      </c>
      <c r="B38" s="612"/>
      <c r="C38" s="559">
        <v>12</v>
      </c>
      <c r="D38" s="633" t="s">
        <v>255</v>
      </c>
      <c r="E38" s="603">
        <f>F38+G38+P39+O40</f>
        <v>35208</v>
      </c>
      <c r="F38" s="603">
        <f>2593+7749+22269</f>
        <v>32611</v>
      </c>
      <c r="G38" s="605">
        <v>1597</v>
      </c>
      <c r="H38" s="615" t="s">
        <v>231</v>
      </c>
      <c r="I38" s="607"/>
      <c r="J38" s="608"/>
      <c r="K38" s="608"/>
      <c r="L38" s="608"/>
      <c r="M38" s="608"/>
      <c r="N38" s="609"/>
      <c r="O38" s="610"/>
      <c r="P38" s="611"/>
    </row>
    <row r="39" spans="1:256" ht="18" customHeight="1">
      <c r="A39" s="588">
        <v>31</v>
      </c>
      <c r="B39" s="612"/>
      <c r="C39" s="559"/>
      <c r="D39" s="613" t="s">
        <v>198</v>
      </c>
      <c r="E39" s="604"/>
      <c r="F39" s="604"/>
      <c r="G39" s="614"/>
      <c r="H39" s="615"/>
      <c r="I39" s="618"/>
      <c r="J39" s="619"/>
      <c r="K39" s="608">
        <v>1000</v>
      </c>
      <c r="L39" s="608"/>
      <c r="M39" s="608"/>
      <c r="N39" s="609"/>
      <c r="O39" s="616">
        <f>SUM(I39:N39)</f>
        <v>1000</v>
      </c>
      <c r="P39" s="611"/>
    </row>
    <row r="40" spans="1:256" ht="18" customHeight="1">
      <c r="A40" s="588">
        <v>32</v>
      </c>
      <c r="B40" s="612"/>
      <c r="C40" s="559"/>
      <c r="D40" s="617" t="s">
        <v>765</v>
      </c>
      <c r="E40" s="604"/>
      <c r="F40" s="604"/>
      <c r="G40" s="614"/>
      <c r="H40" s="615"/>
      <c r="I40" s="618"/>
      <c r="J40" s="619"/>
      <c r="K40" s="619">
        <v>1000</v>
      </c>
      <c r="L40" s="619"/>
      <c r="M40" s="619"/>
      <c r="N40" s="604"/>
      <c r="O40" s="563">
        <f>SUM(I40:N40)</f>
        <v>1000</v>
      </c>
      <c r="P40" s="611"/>
    </row>
    <row r="41" spans="1:256" ht="18" customHeight="1">
      <c r="A41" s="588">
        <v>33</v>
      </c>
      <c r="B41" s="612"/>
      <c r="C41" s="559"/>
      <c r="D41" s="620" t="s">
        <v>1022</v>
      </c>
      <c r="E41" s="604"/>
      <c r="F41" s="604"/>
      <c r="G41" s="614"/>
      <c r="H41" s="615"/>
      <c r="I41" s="618"/>
      <c r="J41" s="619"/>
      <c r="K41" s="608"/>
      <c r="L41" s="608"/>
      <c r="M41" s="608"/>
      <c r="N41" s="609"/>
      <c r="O41" s="562">
        <f>SUM(I41:N41)</f>
        <v>0</v>
      </c>
      <c r="P41" s="611"/>
    </row>
    <row r="42" spans="1:256" ht="22.5" customHeight="1">
      <c r="A42" s="588">
        <v>34</v>
      </c>
      <c r="B42" s="612"/>
      <c r="C42" s="559">
        <v>13</v>
      </c>
      <c r="D42" s="633" t="s">
        <v>659</v>
      </c>
      <c r="E42" s="603">
        <f>F42+G42+P43+O44</f>
        <v>72226</v>
      </c>
      <c r="F42" s="603">
        <f>1680+1+60644</f>
        <v>62325</v>
      </c>
      <c r="G42" s="605"/>
      <c r="H42" s="615" t="s">
        <v>231</v>
      </c>
      <c r="I42" s="607"/>
      <c r="J42" s="608"/>
      <c r="K42" s="608"/>
      <c r="L42" s="608"/>
      <c r="M42" s="608"/>
      <c r="N42" s="609"/>
      <c r="O42" s="610"/>
      <c r="P42" s="611"/>
    </row>
    <row r="43" spans="1:256" ht="18" customHeight="1">
      <c r="A43" s="588">
        <v>35</v>
      </c>
      <c r="B43" s="612"/>
      <c r="C43" s="559"/>
      <c r="D43" s="613" t="s">
        <v>198</v>
      </c>
      <c r="E43" s="604"/>
      <c r="F43" s="604"/>
      <c r="G43" s="614"/>
      <c r="H43" s="615"/>
      <c r="I43" s="607"/>
      <c r="J43" s="608"/>
      <c r="K43" s="608"/>
      <c r="L43" s="608"/>
      <c r="M43" s="608"/>
      <c r="N43" s="608">
        <v>9823</v>
      </c>
      <c r="O43" s="616">
        <f>SUM(I43:N43)</f>
        <v>9823</v>
      </c>
      <c r="P43" s="611"/>
    </row>
    <row r="44" spans="1:256" ht="18" customHeight="1">
      <c r="A44" s="588">
        <v>36</v>
      </c>
      <c r="B44" s="612"/>
      <c r="C44" s="559"/>
      <c r="D44" s="617" t="s">
        <v>765</v>
      </c>
      <c r="E44" s="604"/>
      <c r="F44" s="604"/>
      <c r="G44" s="614"/>
      <c r="H44" s="615"/>
      <c r="I44" s="618"/>
      <c r="J44" s="619"/>
      <c r="K44" s="619"/>
      <c r="L44" s="619"/>
      <c r="M44" s="619"/>
      <c r="N44" s="619">
        <v>9901</v>
      </c>
      <c r="O44" s="563">
        <f>SUM(I44:N44)</f>
        <v>9901</v>
      </c>
      <c r="P44" s="611"/>
    </row>
    <row r="45" spans="1:256" ht="18" customHeight="1">
      <c r="A45" s="588">
        <v>37</v>
      </c>
      <c r="B45" s="612"/>
      <c r="C45" s="559"/>
      <c r="D45" s="620" t="s">
        <v>1021</v>
      </c>
      <c r="E45" s="604"/>
      <c r="F45" s="604"/>
      <c r="G45" s="614"/>
      <c r="H45" s="615"/>
      <c r="I45" s="607"/>
      <c r="J45" s="608"/>
      <c r="K45" s="608"/>
      <c r="L45" s="608"/>
      <c r="M45" s="608"/>
      <c r="N45" s="632">
        <v>9901</v>
      </c>
      <c r="O45" s="562">
        <f>SUM(I45:N45)</f>
        <v>9901</v>
      </c>
      <c r="P45" s="611"/>
    </row>
    <row r="46" spans="1:256" ht="36" customHeight="1">
      <c r="A46" s="588">
        <v>38</v>
      </c>
      <c r="B46" s="612"/>
      <c r="C46" s="556">
        <v>15</v>
      </c>
      <c r="D46" s="564" t="s">
        <v>660</v>
      </c>
      <c r="E46" s="603">
        <f>F46+G46+P47+O48</f>
        <v>16781</v>
      </c>
      <c r="F46" s="603">
        <v>3998</v>
      </c>
      <c r="G46" s="605">
        <v>10094</v>
      </c>
      <c r="H46" s="606" t="s">
        <v>231</v>
      </c>
      <c r="I46" s="607"/>
      <c r="J46" s="608"/>
      <c r="K46" s="608"/>
      <c r="L46" s="608"/>
      <c r="M46" s="608"/>
      <c r="N46" s="609"/>
      <c r="O46" s="610"/>
      <c r="P46" s="611"/>
    </row>
    <row r="47" spans="1:256" s="600" customFormat="1" ht="18" customHeight="1">
      <c r="A47" s="588">
        <v>39</v>
      </c>
      <c r="B47" s="634"/>
      <c r="C47" s="635"/>
      <c r="D47" s="636" t="s">
        <v>198</v>
      </c>
      <c r="E47" s="637"/>
      <c r="F47" s="637"/>
      <c r="G47" s="638"/>
      <c r="H47" s="639"/>
      <c r="I47" s="640">
        <v>621</v>
      </c>
      <c r="J47" s="641">
        <v>193</v>
      </c>
      <c r="K47" s="641">
        <v>5758</v>
      </c>
      <c r="L47" s="641"/>
      <c r="M47" s="641"/>
      <c r="N47" s="642"/>
      <c r="O47" s="643">
        <f>SUM(I47:N47)</f>
        <v>6572</v>
      </c>
      <c r="P47" s="644"/>
      <c r="Q47" s="552"/>
      <c r="R47" s="552"/>
      <c r="S47" s="552"/>
      <c r="T47" s="552"/>
      <c r="U47" s="552"/>
      <c r="V47" s="552"/>
      <c r="W47" s="552"/>
      <c r="X47" s="552"/>
      <c r="Y47" s="552"/>
      <c r="Z47" s="552"/>
      <c r="AA47" s="552"/>
      <c r="AB47" s="552"/>
      <c r="AC47" s="552"/>
      <c r="AD47" s="552"/>
      <c r="AE47" s="552"/>
      <c r="AF47" s="552"/>
      <c r="AG47" s="552"/>
      <c r="AH47" s="552"/>
      <c r="AI47" s="552"/>
      <c r="AJ47" s="552"/>
      <c r="AK47" s="552"/>
      <c r="AL47" s="552"/>
      <c r="AM47" s="552"/>
      <c r="AN47" s="552"/>
      <c r="AO47" s="552"/>
      <c r="AP47" s="552"/>
      <c r="AQ47" s="552"/>
      <c r="AR47" s="552"/>
      <c r="AS47" s="552"/>
      <c r="AT47" s="552"/>
      <c r="AU47" s="552"/>
      <c r="AV47" s="552"/>
      <c r="AW47" s="552"/>
      <c r="AX47" s="552"/>
      <c r="AY47" s="552"/>
      <c r="AZ47" s="552"/>
      <c r="BA47" s="552"/>
      <c r="BB47" s="552"/>
      <c r="BC47" s="552"/>
      <c r="BD47" s="552"/>
      <c r="BE47" s="552"/>
      <c r="BF47" s="552"/>
      <c r="BG47" s="552"/>
      <c r="BH47" s="552"/>
      <c r="BI47" s="552"/>
      <c r="BJ47" s="552"/>
      <c r="BK47" s="552"/>
      <c r="BL47" s="552"/>
      <c r="BM47" s="552"/>
      <c r="BN47" s="552"/>
      <c r="BO47" s="552"/>
      <c r="BP47" s="552"/>
      <c r="BQ47" s="552"/>
      <c r="BR47" s="552"/>
      <c r="BS47" s="552"/>
      <c r="BT47" s="552"/>
      <c r="BU47" s="552"/>
      <c r="BV47" s="552"/>
      <c r="BW47" s="552"/>
      <c r="BX47" s="552"/>
      <c r="BY47" s="552"/>
      <c r="BZ47" s="552"/>
      <c r="CA47" s="552"/>
      <c r="CB47" s="552"/>
      <c r="CC47" s="552"/>
      <c r="CD47" s="552"/>
      <c r="CE47" s="552"/>
      <c r="CF47" s="552"/>
      <c r="CG47" s="552"/>
      <c r="CH47" s="552"/>
      <c r="CI47" s="552"/>
      <c r="CJ47" s="552"/>
      <c r="CK47" s="552"/>
      <c r="CL47" s="552"/>
      <c r="CM47" s="552"/>
      <c r="CN47" s="552"/>
      <c r="CO47" s="552"/>
      <c r="CP47" s="552"/>
      <c r="CQ47" s="552"/>
      <c r="CR47" s="552"/>
      <c r="CS47" s="552"/>
      <c r="CT47" s="552"/>
      <c r="CU47" s="552"/>
      <c r="CV47" s="552"/>
      <c r="CW47" s="552"/>
      <c r="CX47" s="552"/>
      <c r="CY47" s="552"/>
      <c r="CZ47" s="552"/>
      <c r="DA47" s="552"/>
      <c r="DB47" s="552"/>
      <c r="DC47" s="552"/>
      <c r="DD47" s="552"/>
      <c r="DE47" s="552"/>
      <c r="DF47" s="552"/>
      <c r="DG47" s="552"/>
      <c r="DH47" s="552"/>
      <c r="DI47" s="552"/>
      <c r="DJ47" s="552"/>
      <c r="DK47" s="552"/>
      <c r="DL47" s="552"/>
      <c r="DM47" s="552"/>
      <c r="DN47" s="552"/>
      <c r="DO47" s="552"/>
      <c r="DP47" s="552"/>
      <c r="DQ47" s="552"/>
      <c r="DR47" s="552"/>
      <c r="DS47" s="552"/>
      <c r="DT47" s="552"/>
      <c r="DU47" s="552"/>
      <c r="DV47" s="552"/>
      <c r="DW47" s="552"/>
      <c r="DX47" s="552"/>
      <c r="DY47" s="552"/>
      <c r="DZ47" s="552"/>
      <c r="EA47" s="552"/>
      <c r="EB47" s="552"/>
      <c r="EC47" s="552"/>
      <c r="ED47" s="552"/>
      <c r="EE47" s="552"/>
      <c r="EF47" s="552"/>
      <c r="EG47" s="552"/>
      <c r="EH47" s="552"/>
      <c r="EI47" s="552"/>
      <c r="EJ47" s="552"/>
      <c r="EK47" s="552"/>
      <c r="EL47" s="552"/>
      <c r="EM47" s="552"/>
      <c r="EN47" s="552"/>
      <c r="EO47" s="552"/>
      <c r="EP47" s="552"/>
      <c r="EQ47" s="552"/>
      <c r="ER47" s="552"/>
      <c r="ES47" s="552"/>
      <c r="ET47" s="552"/>
      <c r="EU47" s="552"/>
      <c r="EV47" s="552"/>
      <c r="EW47" s="552"/>
      <c r="EX47" s="552"/>
      <c r="EY47" s="552"/>
      <c r="EZ47" s="552"/>
      <c r="FA47" s="552"/>
      <c r="FB47" s="552"/>
      <c r="FC47" s="552"/>
      <c r="FD47" s="552"/>
      <c r="FE47" s="552"/>
      <c r="FF47" s="552"/>
      <c r="FG47" s="552"/>
      <c r="FH47" s="552"/>
      <c r="FI47" s="552"/>
      <c r="FJ47" s="552"/>
      <c r="FK47" s="552"/>
      <c r="FL47" s="552"/>
      <c r="FM47" s="552"/>
      <c r="FN47" s="552"/>
      <c r="FO47" s="552"/>
      <c r="FP47" s="552"/>
      <c r="FQ47" s="552"/>
      <c r="FR47" s="552"/>
      <c r="FS47" s="552"/>
      <c r="FT47" s="552"/>
      <c r="FU47" s="552"/>
      <c r="FV47" s="552"/>
      <c r="FW47" s="552"/>
      <c r="FX47" s="552"/>
      <c r="FY47" s="552"/>
      <c r="FZ47" s="552"/>
      <c r="GA47" s="552"/>
      <c r="GB47" s="552"/>
      <c r="GC47" s="552"/>
      <c r="GD47" s="552"/>
      <c r="GE47" s="552"/>
      <c r="GF47" s="552"/>
      <c r="GG47" s="552"/>
      <c r="GH47" s="552"/>
      <c r="GI47" s="552"/>
      <c r="GJ47" s="552"/>
      <c r="GK47" s="552"/>
      <c r="GL47" s="552"/>
      <c r="GM47" s="552"/>
      <c r="GN47" s="552"/>
      <c r="GO47" s="552"/>
      <c r="GP47" s="552"/>
      <c r="GQ47" s="552"/>
      <c r="GR47" s="552"/>
      <c r="GS47" s="552"/>
      <c r="GT47" s="552"/>
      <c r="GU47" s="552"/>
      <c r="GV47" s="552"/>
      <c r="GW47" s="552"/>
      <c r="GX47" s="552"/>
      <c r="GY47" s="552"/>
      <c r="GZ47" s="552"/>
      <c r="HA47" s="552"/>
      <c r="HB47" s="552"/>
      <c r="HC47" s="552"/>
      <c r="HD47" s="552"/>
      <c r="HE47" s="552"/>
      <c r="HF47" s="552"/>
      <c r="HG47" s="552"/>
      <c r="HH47" s="552"/>
      <c r="HI47" s="552"/>
      <c r="HJ47" s="552"/>
      <c r="HK47" s="552"/>
      <c r="HL47" s="552"/>
      <c r="HM47" s="552"/>
      <c r="HN47" s="552"/>
      <c r="HO47" s="552"/>
      <c r="HP47" s="552"/>
      <c r="HQ47" s="552"/>
      <c r="HR47" s="552"/>
      <c r="HS47" s="552"/>
      <c r="HT47" s="552"/>
      <c r="HU47" s="552"/>
      <c r="HV47" s="552"/>
      <c r="HW47" s="552"/>
      <c r="HX47" s="552"/>
      <c r="HY47" s="552"/>
      <c r="HZ47" s="552"/>
      <c r="IA47" s="552"/>
      <c r="IB47" s="552"/>
      <c r="IC47" s="552"/>
      <c r="ID47" s="552"/>
      <c r="IE47" s="552"/>
      <c r="IF47" s="552"/>
      <c r="IG47" s="552"/>
      <c r="IH47" s="552"/>
      <c r="II47" s="552"/>
      <c r="IJ47" s="552"/>
      <c r="IK47" s="552"/>
      <c r="IL47" s="552"/>
      <c r="IM47" s="552"/>
      <c r="IN47" s="552"/>
      <c r="IO47" s="552"/>
      <c r="IP47" s="552"/>
      <c r="IQ47" s="552"/>
      <c r="IR47" s="552"/>
      <c r="IS47" s="552"/>
      <c r="IT47" s="552"/>
      <c r="IU47" s="552"/>
      <c r="IV47" s="552"/>
    </row>
    <row r="48" spans="1:256" s="600" customFormat="1" ht="18" customHeight="1">
      <c r="A48" s="588">
        <v>40</v>
      </c>
      <c r="B48" s="645"/>
      <c r="C48" s="635"/>
      <c r="D48" s="617" t="s">
        <v>765</v>
      </c>
      <c r="E48" s="637"/>
      <c r="F48" s="637"/>
      <c r="G48" s="646"/>
      <c r="H48" s="639"/>
      <c r="I48" s="647">
        <v>621</v>
      </c>
      <c r="J48" s="647">
        <v>193</v>
      </c>
      <c r="K48" s="647">
        <v>1875</v>
      </c>
      <c r="L48" s="647"/>
      <c r="M48" s="647"/>
      <c r="N48" s="648"/>
      <c r="O48" s="569">
        <f>SUM(I48:N48)</f>
        <v>2689</v>
      </c>
      <c r="P48" s="644"/>
      <c r="Q48" s="552"/>
      <c r="R48" s="552"/>
      <c r="S48" s="552"/>
      <c r="T48" s="552"/>
      <c r="U48" s="552"/>
      <c r="V48" s="552"/>
      <c r="W48" s="552"/>
      <c r="X48" s="552"/>
      <c r="Y48" s="552"/>
      <c r="Z48" s="552"/>
      <c r="AA48" s="552"/>
      <c r="AB48" s="552"/>
      <c r="AC48" s="552"/>
      <c r="AD48" s="552"/>
      <c r="AE48" s="552"/>
      <c r="AF48" s="552"/>
      <c r="AG48" s="552"/>
      <c r="AH48" s="552"/>
      <c r="AI48" s="552"/>
      <c r="AJ48" s="552"/>
      <c r="AK48" s="552"/>
      <c r="AL48" s="552"/>
      <c r="AM48" s="552"/>
      <c r="AN48" s="552"/>
      <c r="AO48" s="552"/>
      <c r="AP48" s="552"/>
      <c r="AQ48" s="552"/>
      <c r="AR48" s="552"/>
      <c r="AS48" s="552"/>
      <c r="AT48" s="552"/>
      <c r="AU48" s="552"/>
      <c r="AV48" s="552"/>
      <c r="AW48" s="552"/>
      <c r="AX48" s="552"/>
      <c r="AY48" s="552"/>
      <c r="AZ48" s="552"/>
      <c r="BA48" s="552"/>
      <c r="BB48" s="552"/>
      <c r="BC48" s="552"/>
      <c r="BD48" s="552"/>
      <c r="BE48" s="552"/>
      <c r="BF48" s="552"/>
      <c r="BG48" s="552"/>
      <c r="BH48" s="552"/>
      <c r="BI48" s="552"/>
      <c r="BJ48" s="552"/>
      <c r="BK48" s="552"/>
      <c r="BL48" s="552"/>
      <c r="BM48" s="552"/>
      <c r="BN48" s="552"/>
      <c r="BO48" s="552"/>
      <c r="BP48" s="552"/>
      <c r="BQ48" s="552"/>
      <c r="BR48" s="552"/>
      <c r="BS48" s="552"/>
      <c r="BT48" s="552"/>
      <c r="BU48" s="552"/>
      <c r="BV48" s="552"/>
      <c r="BW48" s="552"/>
      <c r="BX48" s="552"/>
      <c r="BY48" s="552"/>
      <c r="BZ48" s="552"/>
      <c r="CA48" s="552"/>
      <c r="CB48" s="552"/>
      <c r="CC48" s="552"/>
      <c r="CD48" s="552"/>
      <c r="CE48" s="552"/>
      <c r="CF48" s="552"/>
      <c r="CG48" s="552"/>
      <c r="CH48" s="552"/>
      <c r="CI48" s="552"/>
      <c r="CJ48" s="552"/>
      <c r="CK48" s="552"/>
      <c r="CL48" s="552"/>
      <c r="CM48" s="552"/>
      <c r="CN48" s="552"/>
      <c r="CO48" s="552"/>
      <c r="CP48" s="552"/>
      <c r="CQ48" s="552"/>
      <c r="CR48" s="552"/>
      <c r="CS48" s="552"/>
      <c r="CT48" s="552"/>
      <c r="CU48" s="552"/>
      <c r="CV48" s="552"/>
      <c r="CW48" s="552"/>
      <c r="CX48" s="552"/>
      <c r="CY48" s="552"/>
      <c r="CZ48" s="552"/>
      <c r="DA48" s="552"/>
      <c r="DB48" s="552"/>
      <c r="DC48" s="552"/>
      <c r="DD48" s="552"/>
      <c r="DE48" s="552"/>
      <c r="DF48" s="552"/>
      <c r="DG48" s="552"/>
      <c r="DH48" s="552"/>
      <c r="DI48" s="552"/>
      <c r="DJ48" s="552"/>
      <c r="DK48" s="552"/>
      <c r="DL48" s="552"/>
      <c r="DM48" s="552"/>
      <c r="DN48" s="552"/>
      <c r="DO48" s="552"/>
      <c r="DP48" s="552"/>
      <c r="DQ48" s="552"/>
      <c r="DR48" s="552"/>
      <c r="DS48" s="552"/>
      <c r="DT48" s="552"/>
      <c r="DU48" s="552"/>
      <c r="DV48" s="552"/>
      <c r="DW48" s="552"/>
      <c r="DX48" s="552"/>
      <c r="DY48" s="552"/>
      <c r="DZ48" s="552"/>
      <c r="EA48" s="552"/>
      <c r="EB48" s="552"/>
      <c r="EC48" s="552"/>
      <c r="ED48" s="552"/>
      <c r="EE48" s="552"/>
      <c r="EF48" s="552"/>
      <c r="EG48" s="552"/>
      <c r="EH48" s="552"/>
      <c r="EI48" s="552"/>
      <c r="EJ48" s="552"/>
      <c r="EK48" s="552"/>
      <c r="EL48" s="552"/>
      <c r="EM48" s="552"/>
      <c r="EN48" s="552"/>
      <c r="EO48" s="552"/>
      <c r="EP48" s="552"/>
      <c r="EQ48" s="552"/>
      <c r="ER48" s="552"/>
      <c r="ES48" s="552"/>
      <c r="ET48" s="552"/>
      <c r="EU48" s="552"/>
      <c r="EV48" s="552"/>
      <c r="EW48" s="552"/>
      <c r="EX48" s="552"/>
      <c r="EY48" s="552"/>
      <c r="EZ48" s="552"/>
      <c r="FA48" s="552"/>
      <c r="FB48" s="552"/>
      <c r="FC48" s="552"/>
      <c r="FD48" s="552"/>
      <c r="FE48" s="552"/>
      <c r="FF48" s="552"/>
      <c r="FG48" s="552"/>
      <c r="FH48" s="552"/>
      <c r="FI48" s="552"/>
      <c r="FJ48" s="552"/>
      <c r="FK48" s="552"/>
      <c r="FL48" s="552"/>
      <c r="FM48" s="552"/>
      <c r="FN48" s="552"/>
      <c r="FO48" s="552"/>
      <c r="FP48" s="552"/>
      <c r="FQ48" s="552"/>
      <c r="FR48" s="552"/>
      <c r="FS48" s="552"/>
      <c r="FT48" s="552"/>
      <c r="FU48" s="552"/>
      <c r="FV48" s="552"/>
      <c r="FW48" s="552"/>
      <c r="FX48" s="552"/>
      <c r="FY48" s="552"/>
      <c r="FZ48" s="552"/>
      <c r="GA48" s="552"/>
      <c r="GB48" s="552"/>
      <c r="GC48" s="552"/>
      <c r="GD48" s="552"/>
      <c r="GE48" s="552"/>
      <c r="GF48" s="552"/>
      <c r="GG48" s="552"/>
      <c r="GH48" s="552"/>
      <c r="GI48" s="552"/>
      <c r="GJ48" s="552"/>
      <c r="GK48" s="552"/>
      <c r="GL48" s="552"/>
      <c r="GM48" s="552"/>
      <c r="GN48" s="552"/>
      <c r="GO48" s="552"/>
      <c r="GP48" s="552"/>
      <c r="GQ48" s="552"/>
      <c r="GR48" s="552"/>
      <c r="GS48" s="552"/>
      <c r="GT48" s="552"/>
      <c r="GU48" s="552"/>
      <c r="GV48" s="552"/>
      <c r="GW48" s="552"/>
      <c r="GX48" s="552"/>
      <c r="GY48" s="552"/>
      <c r="GZ48" s="552"/>
      <c r="HA48" s="552"/>
      <c r="HB48" s="552"/>
      <c r="HC48" s="552"/>
      <c r="HD48" s="552"/>
      <c r="HE48" s="552"/>
      <c r="HF48" s="552"/>
      <c r="HG48" s="552"/>
      <c r="HH48" s="552"/>
      <c r="HI48" s="552"/>
      <c r="HJ48" s="552"/>
      <c r="HK48" s="552"/>
      <c r="HL48" s="552"/>
      <c r="HM48" s="552"/>
      <c r="HN48" s="552"/>
      <c r="HO48" s="552"/>
      <c r="HP48" s="552"/>
      <c r="HQ48" s="552"/>
      <c r="HR48" s="552"/>
      <c r="HS48" s="552"/>
      <c r="HT48" s="552"/>
      <c r="HU48" s="552"/>
      <c r="HV48" s="552"/>
      <c r="HW48" s="552"/>
      <c r="HX48" s="552"/>
      <c r="HY48" s="552"/>
      <c r="HZ48" s="552"/>
      <c r="IA48" s="552"/>
      <c r="IB48" s="552"/>
      <c r="IC48" s="552"/>
      <c r="ID48" s="552"/>
      <c r="IE48" s="552"/>
      <c r="IF48" s="552"/>
      <c r="IG48" s="552"/>
      <c r="IH48" s="552"/>
      <c r="II48" s="552"/>
      <c r="IJ48" s="552"/>
      <c r="IK48" s="552"/>
      <c r="IL48" s="552"/>
      <c r="IM48" s="552"/>
      <c r="IN48" s="552"/>
      <c r="IO48" s="552"/>
      <c r="IP48" s="552"/>
      <c r="IQ48" s="552"/>
      <c r="IR48" s="552"/>
      <c r="IS48" s="552"/>
      <c r="IT48" s="552"/>
      <c r="IU48" s="552"/>
      <c r="IV48" s="552"/>
    </row>
    <row r="49" spans="1:256" s="600" customFormat="1" ht="18" customHeight="1">
      <c r="A49" s="588">
        <v>41</v>
      </c>
      <c r="B49" s="645"/>
      <c r="C49" s="635"/>
      <c r="D49" s="620" t="s">
        <v>1021</v>
      </c>
      <c r="E49" s="637"/>
      <c r="F49" s="637"/>
      <c r="G49" s="646"/>
      <c r="H49" s="639"/>
      <c r="I49" s="640"/>
      <c r="J49" s="640"/>
      <c r="K49" s="649"/>
      <c r="L49" s="640"/>
      <c r="M49" s="640"/>
      <c r="N49" s="650"/>
      <c r="O49" s="562">
        <f>SUM(I49:N49)</f>
        <v>0</v>
      </c>
      <c r="P49" s="644"/>
      <c r="Q49" s="552"/>
      <c r="R49" s="552"/>
      <c r="S49" s="552"/>
      <c r="T49" s="552"/>
      <c r="U49" s="552"/>
      <c r="V49" s="552"/>
      <c r="W49" s="552"/>
      <c r="X49" s="552"/>
      <c r="Y49" s="552"/>
      <c r="Z49" s="552"/>
      <c r="AA49" s="552"/>
      <c r="AB49" s="552"/>
      <c r="AC49" s="552"/>
      <c r="AD49" s="552"/>
      <c r="AE49" s="552"/>
      <c r="AF49" s="552"/>
      <c r="AG49" s="552"/>
      <c r="AH49" s="552"/>
      <c r="AI49" s="552"/>
      <c r="AJ49" s="552"/>
      <c r="AK49" s="552"/>
      <c r="AL49" s="552"/>
      <c r="AM49" s="552"/>
      <c r="AN49" s="552"/>
      <c r="AO49" s="552"/>
      <c r="AP49" s="552"/>
      <c r="AQ49" s="552"/>
      <c r="AR49" s="552"/>
      <c r="AS49" s="552"/>
      <c r="AT49" s="552"/>
      <c r="AU49" s="552"/>
      <c r="AV49" s="552"/>
      <c r="AW49" s="552"/>
      <c r="AX49" s="552"/>
      <c r="AY49" s="552"/>
      <c r="AZ49" s="552"/>
      <c r="BA49" s="552"/>
      <c r="BB49" s="552"/>
      <c r="BC49" s="552"/>
      <c r="BD49" s="552"/>
      <c r="BE49" s="552"/>
      <c r="BF49" s="552"/>
      <c r="BG49" s="552"/>
      <c r="BH49" s="552"/>
      <c r="BI49" s="552"/>
      <c r="BJ49" s="552"/>
      <c r="BK49" s="552"/>
      <c r="BL49" s="552"/>
      <c r="BM49" s="552"/>
      <c r="BN49" s="552"/>
      <c r="BO49" s="552"/>
      <c r="BP49" s="552"/>
      <c r="BQ49" s="552"/>
      <c r="BR49" s="552"/>
      <c r="BS49" s="552"/>
      <c r="BT49" s="552"/>
      <c r="BU49" s="552"/>
      <c r="BV49" s="552"/>
      <c r="BW49" s="552"/>
      <c r="BX49" s="552"/>
      <c r="BY49" s="552"/>
      <c r="BZ49" s="552"/>
      <c r="CA49" s="552"/>
      <c r="CB49" s="552"/>
      <c r="CC49" s="552"/>
      <c r="CD49" s="552"/>
      <c r="CE49" s="552"/>
      <c r="CF49" s="552"/>
      <c r="CG49" s="552"/>
      <c r="CH49" s="552"/>
      <c r="CI49" s="552"/>
      <c r="CJ49" s="552"/>
      <c r="CK49" s="552"/>
      <c r="CL49" s="552"/>
      <c r="CM49" s="552"/>
      <c r="CN49" s="552"/>
      <c r="CO49" s="552"/>
      <c r="CP49" s="552"/>
      <c r="CQ49" s="552"/>
      <c r="CR49" s="552"/>
      <c r="CS49" s="552"/>
      <c r="CT49" s="552"/>
      <c r="CU49" s="552"/>
      <c r="CV49" s="552"/>
      <c r="CW49" s="552"/>
      <c r="CX49" s="552"/>
      <c r="CY49" s="552"/>
      <c r="CZ49" s="552"/>
      <c r="DA49" s="552"/>
      <c r="DB49" s="552"/>
      <c r="DC49" s="552"/>
      <c r="DD49" s="552"/>
      <c r="DE49" s="552"/>
      <c r="DF49" s="552"/>
      <c r="DG49" s="552"/>
      <c r="DH49" s="552"/>
      <c r="DI49" s="552"/>
      <c r="DJ49" s="552"/>
      <c r="DK49" s="552"/>
      <c r="DL49" s="552"/>
      <c r="DM49" s="552"/>
      <c r="DN49" s="552"/>
      <c r="DO49" s="552"/>
      <c r="DP49" s="552"/>
      <c r="DQ49" s="552"/>
      <c r="DR49" s="552"/>
      <c r="DS49" s="552"/>
      <c r="DT49" s="552"/>
      <c r="DU49" s="552"/>
      <c r="DV49" s="552"/>
      <c r="DW49" s="552"/>
      <c r="DX49" s="552"/>
      <c r="DY49" s="552"/>
      <c r="DZ49" s="552"/>
      <c r="EA49" s="552"/>
      <c r="EB49" s="552"/>
      <c r="EC49" s="552"/>
      <c r="ED49" s="552"/>
      <c r="EE49" s="552"/>
      <c r="EF49" s="552"/>
      <c r="EG49" s="552"/>
      <c r="EH49" s="552"/>
      <c r="EI49" s="552"/>
      <c r="EJ49" s="552"/>
      <c r="EK49" s="552"/>
      <c r="EL49" s="552"/>
      <c r="EM49" s="552"/>
      <c r="EN49" s="552"/>
      <c r="EO49" s="552"/>
      <c r="EP49" s="552"/>
      <c r="EQ49" s="552"/>
      <c r="ER49" s="552"/>
      <c r="ES49" s="552"/>
      <c r="ET49" s="552"/>
      <c r="EU49" s="552"/>
      <c r="EV49" s="552"/>
      <c r="EW49" s="552"/>
      <c r="EX49" s="552"/>
      <c r="EY49" s="552"/>
      <c r="EZ49" s="552"/>
      <c r="FA49" s="552"/>
      <c r="FB49" s="552"/>
      <c r="FC49" s="552"/>
      <c r="FD49" s="552"/>
      <c r="FE49" s="552"/>
      <c r="FF49" s="552"/>
      <c r="FG49" s="552"/>
      <c r="FH49" s="552"/>
      <c r="FI49" s="552"/>
      <c r="FJ49" s="552"/>
      <c r="FK49" s="552"/>
      <c r="FL49" s="552"/>
      <c r="FM49" s="552"/>
      <c r="FN49" s="552"/>
      <c r="FO49" s="552"/>
      <c r="FP49" s="552"/>
      <c r="FQ49" s="552"/>
      <c r="FR49" s="552"/>
      <c r="FS49" s="552"/>
      <c r="FT49" s="552"/>
      <c r="FU49" s="552"/>
      <c r="FV49" s="552"/>
      <c r="FW49" s="552"/>
      <c r="FX49" s="552"/>
      <c r="FY49" s="552"/>
      <c r="FZ49" s="552"/>
      <c r="GA49" s="552"/>
      <c r="GB49" s="552"/>
      <c r="GC49" s="552"/>
      <c r="GD49" s="552"/>
      <c r="GE49" s="552"/>
      <c r="GF49" s="552"/>
      <c r="GG49" s="552"/>
      <c r="GH49" s="552"/>
      <c r="GI49" s="552"/>
      <c r="GJ49" s="552"/>
      <c r="GK49" s="552"/>
      <c r="GL49" s="552"/>
      <c r="GM49" s="552"/>
      <c r="GN49" s="552"/>
      <c r="GO49" s="552"/>
      <c r="GP49" s="552"/>
      <c r="GQ49" s="552"/>
      <c r="GR49" s="552"/>
      <c r="GS49" s="552"/>
      <c r="GT49" s="552"/>
      <c r="GU49" s="552"/>
      <c r="GV49" s="552"/>
      <c r="GW49" s="552"/>
      <c r="GX49" s="552"/>
      <c r="GY49" s="552"/>
      <c r="GZ49" s="552"/>
      <c r="HA49" s="552"/>
      <c r="HB49" s="552"/>
      <c r="HC49" s="552"/>
      <c r="HD49" s="552"/>
      <c r="HE49" s="552"/>
      <c r="HF49" s="552"/>
      <c r="HG49" s="552"/>
      <c r="HH49" s="552"/>
      <c r="HI49" s="552"/>
      <c r="HJ49" s="552"/>
      <c r="HK49" s="552"/>
      <c r="HL49" s="552"/>
      <c r="HM49" s="552"/>
      <c r="HN49" s="552"/>
      <c r="HO49" s="552"/>
      <c r="HP49" s="552"/>
      <c r="HQ49" s="552"/>
      <c r="HR49" s="552"/>
      <c r="HS49" s="552"/>
      <c r="HT49" s="552"/>
      <c r="HU49" s="552"/>
      <c r="HV49" s="552"/>
      <c r="HW49" s="552"/>
      <c r="HX49" s="552"/>
      <c r="HY49" s="552"/>
      <c r="HZ49" s="552"/>
      <c r="IA49" s="552"/>
      <c r="IB49" s="552"/>
      <c r="IC49" s="552"/>
      <c r="ID49" s="552"/>
      <c r="IE49" s="552"/>
      <c r="IF49" s="552"/>
      <c r="IG49" s="552"/>
      <c r="IH49" s="552"/>
      <c r="II49" s="552"/>
      <c r="IJ49" s="552"/>
      <c r="IK49" s="552"/>
      <c r="IL49" s="552"/>
      <c r="IM49" s="552"/>
      <c r="IN49" s="552"/>
      <c r="IO49" s="552"/>
      <c r="IP49" s="552"/>
      <c r="IQ49" s="552"/>
      <c r="IR49" s="552"/>
      <c r="IS49" s="552"/>
      <c r="IT49" s="552"/>
      <c r="IU49" s="552"/>
      <c r="IV49" s="552"/>
    </row>
    <row r="50" spans="1:256" s="600" customFormat="1" ht="46.5" customHeight="1">
      <c r="A50" s="588">
        <v>42</v>
      </c>
      <c r="B50" s="645"/>
      <c r="C50" s="635">
        <v>16</v>
      </c>
      <c r="D50" s="557" t="s">
        <v>661</v>
      </c>
      <c r="E50" s="603">
        <f>F50+G50+P51+3329+O52</f>
        <v>27010</v>
      </c>
      <c r="F50" s="637"/>
      <c r="G50" s="651">
        <v>3451</v>
      </c>
      <c r="H50" s="652" t="s">
        <v>231</v>
      </c>
      <c r="I50" s="640"/>
      <c r="J50" s="640"/>
      <c r="K50" s="640"/>
      <c r="L50" s="640"/>
      <c r="M50" s="640"/>
      <c r="N50" s="650"/>
      <c r="O50" s="643"/>
      <c r="P50" s="644"/>
      <c r="Q50" s="552"/>
      <c r="R50" s="552"/>
      <c r="S50" s="552"/>
      <c r="T50" s="552"/>
      <c r="U50" s="552"/>
      <c r="V50" s="552"/>
      <c r="W50" s="552"/>
      <c r="X50" s="552"/>
      <c r="Y50" s="552"/>
      <c r="Z50" s="552"/>
      <c r="AA50" s="552"/>
      <c r="AB50" s="552"/>
      <c r="AC50" s="552"/>
      <c r="AD50" s="552"/>
      <c r="AE50" s="552"/>
      <c r="AF50" s="552"/>
      <c r="AG50" s="552"/>
      <c r="AH50" s="552"/>
      <c r="AI50" s="552"/>
      <c r="AJ50" s="552"/>
      <c r="AK50" s="552"/>
      <c r="AL50" s="552"/>
      <c r="AM50" s="552"/>
      <c r="AN50" s="552"/>
      <c r="AO50" s="552"/>
      <c r="AP50" s="552"/>
      <c r="AQ50" s="552"/>
      <c r="AR50" s="552"/>
      <c r="AS50" s="552"/>
      <c r="AT50" s="552"/>
      <c r="AU50" s="552"/>
      <c r="AV50" s="552"/>
      <c r="AW50" s="552"/>
      <c r="AX50" s="552"/>
      <c r="AY50" s="552"/>
      <c r="AZ50" s="552"/>
      <c r="BA50" s="552"/>
      <c r="BB50" s="552"/>
      <c r="BC50" s="552"/>
      <c r="BD50" s="552"/>
      <c r="BE50" s="552"/>
      <c r="BF50" s="552"/>
      <c r="BG50" s="552"/>
      <c r="BH50" s="552"/>
      <c r="BI50" s="552"/>
      <c r="BJ50" s="552"/>
      <c r="BK50" s="552"/>
      <c r="BL50" s="552"/>
      <c r="BM50" s="552"/>
      <c r="BN50" s="552"/>
      <c r="BO50" s="552"/>
      <c r="BP50" s="552"/>
      <c r="BQ50" s="552"/>
      <c r="BR50" s="552"/>
      <c r="BS50" s="552"/>
      <c r="BT50" s="552"/>
      <c r="BU50" s="552"/>
      <c r="BV50" s="552"/>
      <c r="BW50" s="552"/>
      <c r="BX50" s="552"/>
      <c r="BY50" s="552"/>
      <c r="BZ50" s="552"/>
      <c r="CA50" s="552"/>
      <c r="CB50" s="552"/>
      <c r="CC50" s="552"/>
      <c r="CD50" s="552"/>
      <c r="CE50" s="552"/>
      <c r="CF50" s="552"/>
      <c r="CG50" s="552"/>
      <c r="CH50" s="552"/>
      <c r="CI50" s="552"/>
      <c r="CJ50" s="552"/>
      <c r="CK50" s="552"/>
      <c r="CL50" s="552"/>
      <c r="CM50" s="552"/>
      <c r="CN50" s="552"/>
      <c r="CO50" s="552"/>
      <c r="CP50" s="552"/>
      <c r="CQ50" s="552"/>
      <c r="CR50" s="552"/>
      <c r="CS50" s="552"/>
      <c r="CT50" s="552"/>
      <c r="CU50" s="552"/>
      <c r="CV50" s="552"/>
      <c r="CW50" s="552"/>
      <c r="CX50" s="552"/>
      <c r="CY50" s="552"/>
      <c r="CZ50" s="552"/>
      <c r="DA50" s="552"/>
      <c r="DB50" s="552"/>
      <c r="DC50" s="552"/>
      <c r="DD50" s="552"/>
      <c r="DE50" s="552"/>
      <c r="DF50" s="552"/>
      <c r="DG50" s="552"/>
      <c r="DH50" s="552"/>
      <c r="DI50" s="552"/>
      <c r="DJ50" s="552"/>
      <c r="DK50" s="552"/>
      <c r="DL50" s="552"/>
      <c r="DM50" s="552"/>
      <c r="DN50" s="552"/>
      <c r="DO50" s="552"/>
      <c r="DP50" s="552"/>
      <c r="DQ50" s="552"/>
      <c r="DR50" s="552"/>
      <c r="DS50" s="552"/>
      <c r="DT50" s="552"/>
      <c r="DU50" s="552"/>
      <c r="DV50" s="552"/>
      <c r="DW50" s="552"/>
      <c r="DX50" s="552"/>
      <c r="DY50" s="552"/>
      <c r="DZ50" s="552"/>
      <c r="EA50" s="552"/>
      <c r="EB50" s="552"/>
      <c r="EC50" s="552"/>
      <c r="ED50" s="552"/>
      <c r="EE50" s="552"/>
      <c r="EF50" s="552"/>
      <c r="EG50" s="552"/>
      <c r="EH50" s="552"/>
      <c r="EI50" s="552"/>
      <c r="EJ50" s="552"/>
      <c r="EK50" s="552"/>
      <c r="EL50" s="552"/>
      <c r="EM50" s="552"/>
      <c r="EN50" s="552"/>
      <c r="EO50" s="552"/>
      <c r="EP50" s="552"/>
      <c r="EQ50" s="552"/>
      <c r="ER50" s="552"/>
      <c r="ES50" s="552"/>
      <c r="ET50" s="552"/>
      <c r="EU50" s="552"/>
      <c r="EV50" s="552"/>
      <c r="EW50" s="552"/>
      <c r="EX50" s="552"/>
      <c r="EY50" s="552"/>
      <c r="EZ50" s="552"/>
      <c r="FA50" s="552"/>
      <c r="FB50" s="552"/>
      <c r="FC50" s="552"/>
      <c r="FD50" s="552"/>
      <c r="FE50" s="552"/>
      <c r="FF50" s="552"/>
      <c r="FG50" s="552"/>
      <c r="FH50" s="552"/>
      <c r="FI50" s="552"/>
      <c r="FJ50" s="552"/>
      <c r="FK50" s="552"/>
      <c r="FL50" s="552"/>
      <c r="FM50" s="552"/>
      <c r="FN50" s="552"/>
      <c r="FO50" s="552"/>
      <c r="FP50" s="552"/>
      <c r="FQ50" s="552"/>
      <c r="FR50" s="552"/>
      <c r="FS50" s="552"/>
      <c r="FT50" s="552"/>
      <c r="FU50" s="552"/>
      <c r="FV50" s="552"/>
      <c r="FW50" s="552"/>
      <c r="FX50" s="552"/>
      <c r="FY50" s="552"/>
      <c r="FZ50" s="552"/>
      <c r="GA50" s="552"/>
      <c r="GB50" s="552"/>
      <c r="GC50" s="552"/>
      <c r="GD50" s="552"/>
      <c r="GE50" s="552"/>
      <c r="GF50" s="552"/>
      <c r="GG50" s="552"/>
      <c r="GH50" s="552"/>
      <c r="GI50" s="552"/>
      <c r="GJ50" s="552"/>
      <c r="GK50" s="552"/>
      <c r="GL50" s="552"/>
      <c r="GM50" s="552"/>
      <c r="GN50" s="552"/>
      <c r="GO50" s="552"/>
      <c r="GP50" s="552"/>
      <c r="GQ50" s="552"/>
      <c r="GR50" s="552"/>
      <c r="GS50" s="552"/>
      <c r="GT50" s="552"/>
      <c r="GU50" s="552"/>
      <c r="GV50" s="552"/>
      <c r="GW50" s="552"/>
      <c r="GX50" s="552"/>
      <c r="GY50" s="552"/>
      <c r="GZ50" s="552"/>
      <c r="HA50" s="552"/>
      <c r="HB50" s="552"/>
      <c r="HC50" s="552"/>
      <c r="HD50" s="552"/>
      <c r="HE50" s="552"/>
      <c r="HF50" s="552"/>
      <c r="HG50" s="552"/>
      <c r="HH50" s="552"/>
      <c r="HI50" s="552"/>
      <c r="HJ50" s="552"/>
      <c r="HK50" s="552"/>
      <c r="HL50" s="552"/>
      <c r="HM50" s="552"/>
      <c r="HN50" s="552"/>
      <c r="HO50" s="552"/>
      <c r="HP50" s="552"/>
      <c r="HQ50" s="552"/>
      <c r="HR50" s="552"/>
      <c r="HS50" s="552"/>
      <c r="HT50" s="552"/>
      <c r="HU50" s="552"/>
      <c r="HV50" s="552"/>
      <c r="HW50" s="552"/>
      <c r="HX50" s="552"/>
      <c r="HY50" s="552"/>
      <c r="HZ50" s="552"/>
      <c r="IA50" s="552"/>
      <c r="IB50" s="552"/>
      <c r="IC50" s="552"/>
      <c r="ID50" s="552"/>
      <c r="IE50" s="552"/>
      <c r="IF50" s="552"/>
      <c r="IG50" s="552"/>
      <c r="IH50" s="552"/>
      <c r="II50" s="552"/>
      <c r="IJ50" s="552"/>
      <c r="IK50" s="552"/>
      <c r="IL50" s="552"/>
      <c r="IM50" s="552"/>
      <c r="IN50" s="552"/>
      <c r="IO50" s="552"/>
      <c r="IP50" s="552"/>
      <c r="IQ50" s="552"/>
      <c r="IR50" s="552"/>
      <c r="IS50" s="552"/>
      <c r="IT50" s="552"/>
      <c r="IU50" s="552"/>
      <c r="IV50" s="552"/>
    </row>
    <row r="51" spans="1:256" s="600" customFormat="1" ht="18" customHeight="1">
      <c r="A51" s="588">
        <v>43</v>
      </c>
      <c r="B51" s="645"/>
      <c r="C51" s="635"/>
      <c r="D51" s="636" t="s">
        <v>198</v>
      </c>
      <c r="E51" s="637"/>
      <c r="F51" s="637"/>
      <c r="G51" s="646"/>
      <c r="H51" s="639"/>
      <c r="I51" s="640"/>
      <c r="J51" s="640"/>
      <c r="K51" s="640">
        <v>10480</v>
      </c>
      <c r="L51" s="640"/>
      <c r="M51" s="640"/>
      <c r="N51" s="650"/>
      <c r="O51" s="643">
        <f>SUM(I51:N51)</f>
        <v>10480</v>
      </c>
      <c r="P51" s="653">
        <v>11950</v>
      </c>
      <c r="Q51" s="552"/>
      <c r="R51" s="552"/>
      <c r="S51" s="552"/>
      <c r="T51" s="552"/>
      <c r="U51" s="552"/>
      <c r="V51" s="552"/>
      <c r="W51" s="552"/>
      <c r="X51" s="552"/>
      <c r="Y51" s="552"/>
      <c r="Z51" s="552"/>
      <c r="AA51" s="552"/>
      <c r="AB51" s="552"/>
      <c r="AC51" s="552"/>
      <c r="AD51" s="552"/>
      <c r="AE51" s="552"/>
      <c r="AF51" s="552"/>
      <c r="AG51" s="552"/>
      <c r="AH51" s="552"/>
      <c r="AI51" s="552"/>
      <c r="AJ51" s="552"/>
      <c r="AK51" s="552"/>
      <c r="AL51" s="552"/>
      <c r="AM51" s="552"/>
      <c r="AN51" s="552"/>
      <c r="AO51" s="552"/>
      <c r="AP51" s="552"/>
      <c r="AQ51" s="552"/>
      <c r="AR51" s="552"/>
      <c r="AS51" s="552"/>
      <c r="AT51" s="552"/>
      <c r="AU51" s="552"/>
      <c r="AV51" s="552"/>
      <c r="AW51" s="552"/>
      <c r="AX51" s="552"/>
      <c r="AY51" s="552"/>
      <c r="AZ51" s="552"/>
      <c r="BA51" s="552"/>
      <c r="BB51" s="552"/>
      <c r="BC51" s="552"/>
      <c r="BD51" s="552"/>
      <c r="BE51" s="552"/>
      <c r="BF51" s="552"/>
      <c r="BG51" s="552"/>
      <c r="BH51" s="552"/>
      <c r="BI51" s="552"/>
      <c r="BJ51" s="552"/>
      <c r="BK51" s="552"/>
      <c r="BL51" s="552"/>
      <c r="BM51" s="552"/>
      <c r="BN51" s="552"/>
      <c r="BO51" s="552"/>
      <c r="BP51" s="552"/>
      <c r="BQ51" s="552"/>
      <c r="BR51" s="552"/>
      <c r="BS51" s="552"/>
      <c r="BT51" s="552"/>
      <c r="BU51" s="552"/>
      <c r="BV51" s="552"/>
      <c r="BW51" s="552"/>
      <c r="BX51" s="552"/>
      <c r="BY51" s="552"/>
      <c r="BZ51" s="552"/>
      <c r="CA51" s="552"/>
      <c r="CB51" s="552"/>
      <c r="CC51" s="552"/>
      <c r="CD51" s="552"/>
      <c r="CE51" s="552"/>
      <c r="CF51" s="552"/>
      <c r="CG51" s="552"/>
      <c r="CH51" s="552"/>
      <c r="CI51" s="552"/>
      <c r="CJ51" s="552"/>
      <c r="CK51" s="552"/>
      <c r="CL51" s="552"/>
      <c r="CM51" s="552"/>
      <c r="CN51" s="552"/>
      <c r="CO51" s="552"/>
      <c r="CP51" s="552"/>
      <c r="CQ51" s="552"/>
      <c r="CR51" s="552"/>
      <c r="CS51" s="552"/>
      <c r="CT51" s="552"/>
      <c r="CU51" s="552"/>
      <c r="CV51" s="552"/>
      <c r="CW51" s="552"/>
      <c r="CX51" s="552"/>
      <c r="CY51" s="552"/>
      <c r="CZ51" s="552"/>
      <c r="DA51" s="552"/>
      <c r="DB51" s="552"/>
      <c r="DC51" s="552"/>
      <c r="DD51" s="552"/>
      <c r="DE51" s="552"/>
      <c r="DF51" s="552"/>
      <c r="DG51" s="552"/>
      <c r="DH51" s="552"/>
      <c r="DI51" s="552"/>
      <c r="DJ51" s="552"/>
      <c r="DK51" s="552"/>
      <c r="DL51" s="552"/>
      <c r="DM51" s="552"/>
      <c r="DN51" s="552"/>
      <c r="DO51" s="552"/>
      <c r="DP51" s="552"/>
      <c r="DQ51" s="552"/>
      <c r="DR51" s="552"/>
      <c r="DS51" s="552"/>
      <c r="DT51" s="552"/>
      <c r="DU51" s="552"/>
      <c r="DV51" s="552"/>
      <c r="DW51" s="552"/>
      <c r="DX51" s="552"/>
      <c r="DY51" s="552"/>
      <c r="DZ51" s="552"/>
      <c r="EA51" s="552"/>
      <c r="EB51" s="552"/>
      <c r="EC51" s="552"/>
      <c r="ED51" s="552"/>
      <c r="EE51" s="552"/>
      <c r="EF51" s="552"/>
      <c r="EG51" s="552"/>
      <c r="EH51" s="552"/>
      <c r="EI51" s="552"/>
      <c r="EJ51" s="552"/>
      <c r="EK51" s="552"/>
      <c r="EL51" s="552"/>
      <c r="EM51" s="552"/>
      <c r="EN51" s="552"/>
      <c r="EO51" s="552"/>
      <c r="EP51" s="552"/>
      <c r="EQ51" s="552"/>
      <c r="ER51" s="552"/>
      <c r="ES51" s="552"/>
      <c r="ET51" s="552"/>
      <c r="EU51" s="552"/>
      <c r="EV51" s="552"/>
      <c r="EW51" s="552"/>
      <c r="EX51" s="552"/>
      <c r="EY51" s="552"/>
      <c r="EZ51" s="552"/>
      <c r="FA51" s="552"/>
      <c r="FB51" s="552"/>
      <c r="FC51" s="552"/>
      <c r="FD51" s="552"/>
      <c r="FE51" s="552"/>
      <c r="FF51" s="552"/>
      <c r="FG51" s="552"/>
      <c r="FH51" s="552"/>
      <c r="FI51" s="552"/>
      <c r="FJ51" s="552"/>
      <c r="FK51" s="552"/>
      <c r="FL51" s="552"/>
      <c r="FM51" s="552"/>
      <c r="FN51" s="552"/>
      <c r="FO51" s="552"/>
      <c r="FP51" s="552"/>
      <c r="FQ51" s="552"/>
      <c r="FR51" s="552"/>
      <c r="FS51" s="552"/>
      <c r="FT51" s="552"/>
      <c r="FU51" s="552"/>
      <c r="FV51" s="552"/>
      <c r="FW51" s="552"/>
      <c r="FX51" s="552"/>
      <c r="FY51" s="552"/>
      <c r="FZ51" s="552"/>
      <c r="GA51" s="552"/>
      <c r="GB51" s="552"/>
      <c r="GC51" s="552"/>
      <c r="GD51" s="552"/>
      <c r="GE51" s="552"/>
      <c r="GF51" s="552"/>
      <c r="GG51" s="552"/>
      <c r="GH51" s="552"/>
      <c r="GI51" s="552"/>
      <c r="GJ51" s="552"/>
      <c r="GK51" s="552"/>
      <c r="GL51" s="552"/>
      <c r="GM51" s="552"/>
      <c r="GN51" s="552"/>
      <c r="GO51" s="552"/>
      <c r="GP51" s="552"/>
      <c r="GQ51" s="552"/>
      <c r="GR51" s="552"/>
      <c r="GS51" s="552"/>
      <c r="GT51" s="552"/>
      <c r="GU51" s="552"/>
      <c r="GV51" s="552"/>
      <c r="GW51" s="552"/>
      <c r="GX51" s="552"/>
      <c r="GY51" s="552"/>
      <c r="GZ51" s="552"/>
      <c r="HA51" s="552"/>
      <c r="HB51" s="552"/>
      <c r="HC51" s="552"/>
      <c r="HD51" s="552"/>
      <c r="HE51" s="552"/>
      <c r="HF51" s="552"/>
      <c r="HG51" s="552"/>
      <c r="HH51" s="552"/>
      <c r="HI51" s="552"/>
      <c r="HJ51" s="552"/>
      <c r="HK51" s="552"/>
      <c r="HL51" s="552"/>
      <c r="HM51" s="552"/>
      <c r="HN51" s="552"/>
      <c r="HO51" s="552"/>
      <c r="HP51" s="552"/>
      <c r="HQ51" s="552"/>
      <c r="HR51" s="552"/>
      <c r="HS51" s="552"/>
      <c r="HT51" s="552"/>
      <c r="HU51" s="552"/>
      <c r="HV51" s="552"/>
      <c r="HW51" s="552"/>
      <c r="HX51" s="552"/>
      <c r="HY51" s="552"/>
      <c r="HZ51" s="552"/>
      <c r="IA51" s="552"/>
      <c r="IB51" s="552"/>
      <c r="IC51" s="552"/>
      <c r="ID51" s="552"/>
      <c r="IE51" s="552"/>
      <c r="IF51" s="552"/>
      <c r="IG51" s="552"/>
      <c r="IH51" s="552"/>
      <c r="II51" s="552"/>
      <c r="IJ51" s="552"/>
      <c r="IK51" s="552"/>
      <c r="IL51" s="552"/>
      <c r="IM51" s="552"/>
      <c r="IN51" s="552"/>
      <c r="IO51" s="552"/>
      <c r="IP51" s="552"/>
      <c r="IQ51" s="552"/>
      <c r="IR51" s="552"/>
      <c r="IS51" s="552"/>
      <c r="IT51" s="552"/>
      <c r="IU51" s="552"/>
      <c r="IV51" s="552"/>
    </row>
    <row r="52" spans="1:256" s="600" customFormat="1" ht="18" customHeight="1">
      <c r="A52" s="588">
        <v>44</v>
      </c>
      <c r="B52" s="645"/>
      <c r="C52" s="635"/>
      <c r="D52" s="617" t="s">
        <v>765</v>
      </c>
      <c r="E52" s="637"/>
      <c r="F52" s="637"/>
      <c r="G52" s="646"/>
      <c r="H52" s="639"/>
      <c r="I52" s="647">
        <v>400</v>
      </c>
      <c r="J52" s="647">
        <v>108</v>
      </c>
      <c r="K52" s="647">
        <v>7772</v>
      </c>
      <c r="L52" s="647"/>
      <c r="M52" s="647"/>
      <c r="N52" s="648"/>
      <c r="O52" s="569">
        <f>SUM(I52:N52)</f>
        <v>8280</v>
      </c>
      <c r="P52" s="654"/>
      <c r="Q52" s="552"/>
      <c r="R52" s="552"/>
      <c r="S52" s="552"/>
      <c r="T52" s="552"/>
      <c r="U52" s="552"/>
      <c r="V52" s="552"/>
      <c r="W52" s="552"/>
      <c r="X52" s="552"/>
      <c r="Y52" s="552"/>
      <c r="Z52" s="552"/>
      <c r="AA52" s="552"/>
      <c r="AB52" s="552"/>
      <c r="AC52" s="552"/>
      <c r="AD52" s="552"/>
      <c r="AE52" s="552"/>
      <c r="AF52" s="552"/>
      <c r="AG52" s="552"/>
      <c r="AH52" s="552"/>
      <c r="AI52" s="552"/>
      <c r="AJ52" s="552"/>
      <c r="AK52" s="552"/>
      <c r="AL52" s="552"/>
      <c r="AM52" s="552"/>
      <c r="AN52" s="552"/>
      <c r="AO52" s="552"/>
      <c r="AP52" s="552"/>
      <c r="AQ52" s="552"/>
      <c r="AR52" s="552"/>
      <c r="AS52" s="552"/>
      <c r="AT52" s="552"/>
      <c r="AU52" s="552"/>
      <c r="AV52" s="552"/>
      <c r="AW52" s="552"/>
      <c r="AX52" s="552"/>
      <c r="AY52" s="552"/>
      <c r="AZ52" s="552"/>
      <c r="BA52" s="552"/>
      <c r="BB52" s="552"/>
      <c r="BC52" s="552"/>
      <c r="BD52" s="552"/>
      <c r="BE52" s="552"/>
      <c r="BF52" s="552"/>
      <c r="BG52" s="552"/>
      <c r="BH52" s="552"/>
      <c r="BI52" s="552"/>
      <c r="BJ52" s="552"/>
      <c r="BK52" s="552"/>
      <c r="BL52" s="552"/>
      <c r="BM52" s="552"/>
      <c r="BN52" s="552"/>
      <c r="BO52" s="552"/>
      <c r="BP52" s="552"/>
      <c r="BQ52" s="552"/>
      <c r="BR52" s="552"/>
      <c r="BS52" s="552"/>
      <c r="BT52" s="552"/>
      <c r="BU52" s="552"/>
      <c r="BV52" s="552"/>
      <c r="BW52" s="552"/>
      <c r="BX52" s="552"/>
      <c r="BY52" s="552"/>
      <c r="BZ52" s="552"/>
      <c r="CA52" s="552"/>
      <c r="CB52" s="552"/>
      <c r="CC52" s="552"/>
      <c r="CD52" s="552"/>
      <c r="CE52" s="552"/>
      <c r="CF52" s="552"/>
      <c r="CG52" s="552"/>
      <c r="CH52" s="552"/>
      <c r="CI52" s="552"/>
      <c r="CJ52" s="552"/>
      <c r="CK52" s="552"/>
      <c r="CL52" s="552"/>
      <c r="CM52" s="552"/>
      <c r="CN52" s="552"/>
      <c r="CO52" s="552"/>
      <c r="CP52" s="552"/>
      <c r="CQ52" s="552"/>
      <c r="CR52" s="552"/>
      <c r="CS52" s="552"/>
      <c r="CT52" s="552"/>
      <c r="CU52" s="552"/>
      <c r="CV52" s="552"/>
      <c r="CW52" s="552"/>
      <c r="CX52" s="552"/>
      <c r="CY52" s="552"/>
      <c r="CZ52" s="552"/>
      <c r="DA52" s="552"/>
      <c r="DB52" s="552"/>
      <c r="DC52" s="552"/>
      <c r="DD52" s="552"/>
      <c r="DE52" s="552"/>
      <c r="DF52" s="552"/>
      <c r="DG52" s="552"/>
      <c r="DH52" s="552"/>
      <c r="DI52" s="552"/>
      <c r="DJ52" s="552"/>
      <c r="DK52" s="552"/>
      <c r="DL52" s="552"/>
      <c r="DM52" s="552"/>
      <c r="DN52" s="552"/>
      <c r="DO52" s="552"/>
      <c r="DP52" s="552"/>
      <c r="DQ52" s="552"/>
      <c r="DR52" s="552"/>
      <c r="DS52" s="552"/>
      <c r="DT52" s="552"/>
      <c r="DU52" s="552"/>
      <c r="DV52" s="552"/>
      <c r="DW52" s="552"/>
      <c r="DX52" s="552"/>
      <c r="DY52" s="552"/>
      <c r="DZ52" s="552"/>
      <c r="EA52" s="552"/>
      <c r="EB52" s="552"/>
      <c r="EC52" s="552"/>
      <c r="ED52" s="552"/>
      <c r="EE52" s="552"/>
      <c r="EF52" s="552"/>
      <c r="EG52" s="552"/>
      <c r="EH52" s="552"/>
      <c r="EI52" s="552"/>
      <c r="EJ52" s="552"/>
      <c r="EK52" s="552"/>
      <c r="EL52" s="552"/>
      <c r="EM52" s="552"/>
      <c r="EN52" s="552"/>
      <c r="EO52" s="552"/>
      <c r="EP52" s="552"/>
      <c r="EQ52" s="552"/>
      <c r="ER52" s="552"/>
      <c r="ES52" s="552"/>
      <c r="ET52" s="552"/>
      <c r="EU52" s="552"/>
      <c r="EV52" s="552"/>
      <c r="EW52" s="552"/>
      <c r="EX52" s="552"/>
      <c r="EY52" s="552"/>
      <c r="EZ52" s="552"/>
      <c r="FA52" s="552"/>
      <c r="FB52" s="552"/>
      <c r="FC52" s="552"/>
      <c r="FD52" s="552"/>
      <c r="FE52" s="552"/>
      <c r="FF52" s="552"/>
      <c r="FG52" s="552"/>
      <c r="FH52" s="552"/>
      <c r="FI52" s="552"/>
      <c r="FJ52" s="552"/>
      <c r="FK52" s="552"/>
      <c r="FL52" s="552"/>
      <c r="FM52" s="552"/>
      <c r="FN52" s="552"/>
      <c r="FO52" s="552"/>
      <c r="FP52" s="552"/>
      <c r="FQ52" s="552"/>
      <c r="FR52" s="552"/>
      <c r="FS52" s="552"/>
      <c r="FT52" s="552"/>
      <c r="FU52" s="552"/>
      <c r="FV52" s="552"/>
      <c r="FW52" s="552"/>
      <c r="FX52" s="552"/>
      <c r="FY52" s="552"/>
      <c r="FZ52" s="552"/>
      <c r="GA52" s="552"/>
      <c r="GB52" s="552"/>
      <c r="GC52" s="552"/>
      <c r="GD52" s="552"/>
      <c r="GE52" s="552"/>
      <c r="GF52" s="552"/>
      <c r="GG52" s="552"/>
      <c r="GH52" s="552"/>
      <c r="GI52" s="552"/>
      <c r="GJ52" s="552"/>
      <c r="GK52" s="552"/>
      <c r="GL52" s="552"/>
      <c r="GM52" s="552"/>
      <c r="GN52" s="552"/>
      <c r="GO52" s="552"/>
      <c r="GP52" s="552"/>
      <c r="GQ52" s="552"/>
      <c r="GR52" s="552"/>
      <c r="GS52" s="552"/>
      <c r="GT52" s="552"/>
      <c r="GU52" s="552"/>
      <c r="GV52" s="552"/>
      <c r="GW52" s="552"/>
      <c r="GX52" s="552"/>
      <c r="GY52" s="552"/>
      <c r="GZ52" s="552"/>
      <c r="HA52" s="552"/>
      <c r="HB52" s="552"/>
      <c r="HC52" s="552"/>
      <c r="HD52" s="552"/>
      <c r="HE52" s="552"/>
      <c r="HF52" s="552"/>
      <c r="HG52" s="552"/>
      <c r="HH52" s="552"/>
      <c r="HI52" s="552"/>
      <c r="HJ52" s="552"/>
      <c r="HK52" s="552"/>
      <c r="HL52" s="552"/>
      <c r="HM52" s="552"/>
      <c r="HN52" s="552"/>
      <c r="HO52" s="552"/>
      <c r="HP52" s="552"/>
      <c r="HQ52" s="552"/>
      <c r="HR52" s="552"/>
      <c r="HS52" s="552"/>
      <c r="HT52" s="552"/>
      <c r="HU52" s="552"/>
      <c r="HV52" s="552"/>
      <c r="HW52" s="552"/>
      <c r="HX52" s="552"/>
      <c r="HY52" s="552"/>
      <c r="HZ52" s="552"/>
      <c r="IA52" s="552"/>
      <c r="IB52" s="552"/>
      <c r="IC52" s="552"/>
      <c r="ID52" s="552"/>
      <c r="IE52" s="552"/>
      <c r="IF52" s="552"/>
      <c r="IG52" s="552"/>
      <c r="IH52" s="552"/>
      <c r="II52" s="552"/>
      <c r="IJ52" s="552"/>
      <c r="IK52" s="552"/>
      <c r="IL52" s="552"/>
      <c r="IM52" s="552"/>
      <c r="IN52" s="552"/>
      <c r="IO52" s="552"/>
      <c r="IP52" s="552"/>
      <c r="IQ52" s="552"/>
      <c r="IR52" s="552"/>
      <c r="IS52" s="552"/>
      <c r="IT52" s="552"/>
      <c r="IU52" s="552"/>
      <c r="IV52" s="552"/>
    </row>
    <row r="53" spans="1:256" s="600" customFormat="1" ht="18" customHeight="1">
      <c r="A53" s="588">
        <v>45</v>
      </c>
      <c r="B53" s="645"/>
      <c r="C53" s="635"/>
      <c r="D53" s="620" t="s">
        <v>1021</v>
      </c>
      <c r="E53" s="637"/>
      <c r="F53" s="637"/>
      <c r="G53" s="646"/>
      <c r="H53" s="639"/>
      <c r="I53" s="649">
        <v>283</v>
      </c>
      <c r="J53" s="649">
        <v>74</v>
      </c>
      <c r="K53" s="649">
        <v>5733</v>
      </c>
      <c r="L53" s="640"/>
      <c r="M53" s="640"/>
      <c r="N53" s="650"/>
      <c r="O53" s="562">
        <f>SUM(I53:N53)</f>
        <v>6090</v>
      </c>
      <c r="P53" s="654"/>
      <c r="Q53" s="552"/>
      <c r="R53" s="552"/>
      <c r="S53" s="552"/>
      <c r="T53" s="552"/>
      <c r="U53" s="552"/>
      <c r="V53" s="552"/>
      <c r="W53" s="552"/>
      <c r="X53" s="552"/>
      <c r="Y53" s="552"/>
      <c r="Z53" s="552"/>
      <c r="AA53" s="552"/>
      <c r="AB53" s="552"/>
      <c r="AC53" s="552"/>
      <c r="AD53" s="552"/>
      <c r="AE53" s="552"/>
      <c r="AF53" s="552"/>
      <c r="AG53" s="552"/>
      <c r="AH53" s="552"/>
      <c r="AI53" s="552"/>
      <c r="AJ53" s="552"/>
      <c r="AK53" s="552"/>
      <c r="AL53" s="552"/>
      <c r="AM53" s="552"/>
      <c r="AN53" s="552"/>
      <c r="AO53" s="552"/>
      <c r="AP53" s="552"/>
      <c r="AQ53" s="552"/>
      <c r="AR53" s="552"/>
      <c r="AS53" s="552"/>
      <c r="AT53" s="552"/>
      <c r="AU53" s="552"/>
      <c r="AV53" s="552"/>
      <c r="AW53" s="552"/>
      <c r="AX53" s="552"/>
      <c r="AY53" s="552"/>
      <c r="AZ53" s="552"/>
      <c r="BA53" s="552"/>
      <c r="BB53" s="552"/>
      <c r="BC53" s="552"/>
      <c r="BD53" s="552"/>
      <c r="BE53" s="552"/>
      <c r="BF53" s="552"/>
      <c r="BG53" s="552"/>
      <c r="BH53" s="552"/>
      <c r="BI53" s="552"/>
      <c r="BJ53" s="552"/>
      <c r="BK53" s="552"/>
      <c r="BL53" s="552"/>
      <c r="BM53" s="552"/>
      <c r="BN53" s="552"/>
      <c r="BO53" s="552"/>
      <c r="BP53" s="552"/>
      <c r="BQ53" s="552"/>
      <c r="BR53" s="552"/>
      <c r="BS53" s="552"/>
      <c r="BT53" s="552"/>
      <c r="BU53" s="552"/>
      <c r="BV53" s="552"/>
      <c r="BW53" s="552"/>
      <c r="BX53" s="552"/>
      <c r="BY53" s="552"/>
      <c r="BZ53" s="552"/>
      <c r="CA53" s="552"/>
      <c r="CB53" s="552"/>
      <c r="CC53" s="552"/>
      <c r="CD53" s="552"/>
      <c r="CE53" s="552"/>
      <c r="CF53" s="552"/>
      <c r="CG53" s="552"/>
      <c r="CH53" s="552"/>
      <c r="CI53" s="552"/>
      <c r="CJ53" s="552"/>
      <c r="CK53" s="552"/>
      <c r="CL53" s="552"/>
      <c r="CM53" s="552"/>
      <c r="CN53" s="552"/>
      <c r="CO53" s="552"/>
      <c r="CP53" s="552"/>
      <c r="CQ53" s="552"/>
      <c r="CR53" s="552"/>
      <c r="CS53" s="552"/>
      <c r="CT53" s="552"/>
      <c r="CU53" s="552"/>
      <c r="CV53" s="552"/>
      <c r="CW53" s="552"/>
      <c r="CX53" s="552"/>
      <c r="CY53" s="552"/>
      <c r="CZ53" s="552"/>
      <c r="DA53" s="552"/>
      <c r="DB53" s="552"/>
      <c r="DC53" s="552"/>
      <c r="DD53" s="552"/>
      <c r="DE53" s="552"/>
      <c r="DF53" s="552"/>
      <c r="DG53" s="552"/>
      <c r="DH53" s="552"/>
      <c r="DI53" s="552"/>
      <c r="DJ53" s="552"/>
      <c r="DK53" s="552"/>
      <c r="DL53" s="552"/>
      <c r="DM53" s="552"/>
      <c r="DN53" s="552"/>
      <c r="DO53" s="552"/>
      <c r="DP53" s="552"/>
      <c r="DQ53" s="552"/>
      <c r="DR53" s="552"/>
      <c r="DS53" s="552"/>
      <c r="DT53" s="552"/>
      <c r="DU53" s="552"/>
      <c r="DV53" s="552"/>
      <c r="DW53" s="552"/>
      <c r="DX53" s="552"/>
      <c r="DY53" s="552"/>
      <c r="DZ53" s="552"/>
      <c r="EA53" s="552"/>
      <c r="EB53" s="552"/>
      <c r="EC53" s="552"/>
      <c r="ED53" s="552"/>
      <c r="EE53" s="552"/>
      <c r="EF53" s="552"/>
      <c r="EG53" s="552"/>
      <c r="EH53" s="552"/>
      <c r="EI53" s="552"/>
      <c r="EJ53" s="552"/>
      <c r="EK53" s="552"/>
      <c r="EL53" s="552"/>
      <c r="EM53" s="552"/>
      <c r="EN53" s="552"/>
      <c r="EO53" s="552"/>
      <c r="EP53" s="552"/>
      <c r="EQ53" s="552"/>
      <c r="ER53" s="552"/>
      <c r="ES53" s="552"/>
      <c r="ET53" s="552"/>
      <c r="EU53" s="552"/>
      <c r="EV53" s="552"/>
      <c r="EW53" s="552"/>
      <c r="EX53" s="552"/>
      <c r="EY53" s="552"/>
      <c r="EZ53" s="552"/>
      <c r="FA53" s="552"/>
      <c r="FB53" s="552"/>
      <c r="FC53" s="552"/>
      <c r="FD53" s="552"/>
      <c r="FE53" s="552"/>
      <c r="FF53" s="552"/>
      <c r="FG53" s="552"/>
      <c r="FH53" s="552"/>
      <c r="FI53" s="552"/>
      <c r="FJ53" s="552"/>
      <c r="FK53" s="552"/>
      <c r="FL53" s="552"/>
      <c r="FM53" s="552"/>
      <c r="FN53" s="552"/>
      <c r="FO53" s="552"/>
      <c r="FP53" s="552"/>
      <c r="FQ53" s="552"/>
      <c r="FR53" s="552"/>
      <c r="FS53" s="552"/>
      <c r="FT53" s="552"/>
      <c r="FU53" s="552"/>
      <c r="FV53" s="552"/>
      <c r="FW53" s="552"/>
      <c r="FX53" s="552"/>
      <c r="FY53" s="552"/>
      <c r="FZ53" s="552"/>
      <c r="GA53" s="552"/>
      <c r="GB53" s="552"/>
      <c r="GC53" s="552"/>
      <c r="GD53" s="552"/>
      <c r="GE53" s="552"/>
      <c r="GF53" s="552"/>
      <c r="GG53" s="552"/>
      <c r="GH53" s="552"/>
      <c r="GI53" s="552"/>
      <c r="GJ53" s="552"/>
      <c r="GK53" s="552"/>
      <c r="GL53" s="552"/>
      <c r="GM53" s="552"/>
      <c r="GN53" s="552"/>
      <c r="GO53" s="552"/>
      <c r="GP53" s="552"/>
      <c r="GQ53" s="552"/>
      <c r="GR53" s="552"/>
      <c r="GS53" s="552"/>
      <c r="GT53" s="552"/>
      <c r="GU53" s="552"/>
      <c r="GV53" s="552"/>
      <c r="GW53" s="552"/>
      <c r="GX53" s="552"/>
      <c r="GY53" s="552"/>
      <c r="GZ53" s="552"/>
      <c r="HA53" s="552"/>
      <c r="HB53" s="552"/>
      <c r="HC53" s="552"/>
      <c r="HD53" s="552"/>
      <c r="HE53" s="552"/>
      <c r="HF53" s="552"/>
      <c r="HG53" s="552"/>
      <c r="HH53" s="552"/>
      <c r="HI53" s="552"/>
      <c r="HJ53" s="552"/>
      <c r="HK53" s="552"/>
      <c r="HL53" s="552"/>
      <c r="HM53" s="552"/>
      <c r="HN53" s="552"/>
      <c r="HO53" s="552"/>
      <c r="HP53" s="552"/>
      <c r="HQ53" s="552"/>
      <c r="HR53" s="552"/>
      <c r="HS53" s="552"/>
      <c r="HT53" s="552"/>
      <c r="HU53" s="552"/>
      <c r="HV53" s="552"/>
      <c r="HW53" s="552"/>
      <c r="HX53" s="552"/>
      <c r="HY53" s="552"/>
      <c r="HZ53" s="552"/>
      <c r="IA53" s="552"/>
      <c r="IB53" s="552"/>
      <c r="IC53" s="552"/>
      <c r="ID53" s="552"/>
      <c r="IE53" s="552"/>
      <c r="IF53" s="552"/>
      <c r="IG53" s="552"/>
      <c r="IH53" s="552"/>
      <c r="II53" s="552"/>
      <c r="IJ53" s="552"/>
      <c r="IK53" s="552"/>
      <c r="IL53" s="552"/>
      <c r="IM53" s="552"/>
      <c r="IN53" s="552"/>
      <c r="IO53" s="552"/>
      <c r="IP53" s="552"/>
      <c r="IQ53" s="552"/>
      <c r="IR53" s="552"/>
      <c r="IS53" s="552"/>
      <c r="IT53" s="552"/>
      <c r="IU53" s="552"/>
      <c r="IV53" s="552"/>
    </row>
    <row r="54" spans="1:256" s="600" customFormat="1" ht="64.5" customHeight="1">
      <c r="A54" s="588">
        <v>46</v>
      </c>
      <c r="B54" s="645"/>
      <c r="C54" s="635">
        <v>17</v>
      </c>
      <c r="D54" s="557" t="s">
        <v>662</v>
      </c>
      <c r="E54" s="603">
        <f>F54+G54+P55+O56+4258</f>
        <v>25315</v>
      </c>
      <c r="F54" s="637"/>
      <c r="G54" s="651">
        <v>3651</v>
      </c>
      <c r="H54" s="652" t="s">
        <v>231</v>
      </c>
      <c r="I54" s="640"/>
      <c r="J54" s="640"/>
      <c r="K54" s="640"/>
      <c r="L54" s="640"/>
      <c r="M54" s="640"/>
      <c r="N54" s="650"/>
      <c r="O54" s="643"/>
      <c r="P54" s="644"/>
      <c r="Q54" s="552"/>
      <c r="R54" s="552"/>
      <c r="S54" s="552"/>
      <c r="T54" s="552"/>
      <c r="U54" s="552"/>
      <c r="V54" s="552"/>
      <c r="W54" s="552"/>
      <c r="X54" s="552"/>
      <c r="Y54" s="552"/>
      <c r="Z54" s="552"/>
      <c r="AA54" s="552"/>
      <c r="AB54" s="552"/>
      <c r="AC54" s="552"/>
      <c r="AD54" s="552"/>
      <c r="AE54" s="552"/>
      <c r="AF54" s="552"/>
      <c r="AG54" s="552"/>
      <c r="AH54" s="552"/>
      <c r="AI54" s="552"/>
      <c r="AJ54" s="552"/>
      <c r="AK54" s="552"/>
      <c r="AL54" s="552"/>
      <c r="AM54" s="552"/>
      <c r="AN54" s="552"/>
      <c r="AO54" s="552"/>
      <c r="AP54" s="552"/>
      <c r="AQ54" s="552"/>
      <c r="AR54" s="552"/>
      <c r="AS54" s="552"/>
      <c r="AT54" s="552"/>
      <c r="AU54" s="552"/>
      <c r="AV54" s="552"/>
      <c r="AW54" s="552"/>
      <c r="AX54" s="552"/>
      <c r="AY54" s="552"/>
      <c r="AZ54" s="552"/>
      <c r="BA54" s="552"/>
      <c r="BB54" s="552"/>
      <c r="BC54" s="552"/>
      <c r="BD54" s="552"/>
      <c r="BE54" s="552"/>
      <c r="BF54" s="552"/>
      <c r="BG54" s="552"/>
      <c r="BH54" s="552"/>
      <c r="BI54" s="552"/>
      <c r="BJ54" s="552"/>
      <c r="BK54" s="552"/>
      <c r="BL54" s="552"/>
      <c r="BM54" s="552"/>
      <c r="BN54" s="552"/>
      <c r="BO54" s="552"/>
      <c r="BP54" s="552"/>
      <c r="BQ54" s="552"/>
      <c r="BR54" s="552"/>
      <c r="BS54" s="552"/>
      <c r="BT54" s="552"/>
      <c r="BU54" s="552"/>
      <c r="BV54" s="552"/>
      <c r="BW54" s="552"/>
      <c r="BX54" s="552"/>
      <c r="BY54" s="552"/>
      <c r="BZ54" s="552"/>
      <c r="CA54" s="552"/>
      <c r="CB54" s="552"/>
      <c r="CC54" s="552"/>
      <c r="CD54" s="552"/>
      <c r="CE54" s="552"/>
      <c r="CF54" s="552"/>
      <c r="CG54" s="552"/>
      <c r="CH54" s="552"/>
      <c r="CI54" s="552"/>
      <c r="CJ54" s="552"/>
      <c r="CK54" s="552"/>
      <c r="CL54" s="552"/>
      <c r="CM54" s="552"/>
      <c r="CN54" s="552"/>
      <c r="CO54" s="552"/>
      <c r="CP54" s="552"/>
      <c r="CQ54" s="552"/>
      <c r="CR54" s="552"/>
      <c r="CS54" s="552"/>
      <c r="CT54" s="552"/>
      <c r="CU54" s="552"/>
      <c r="CV54" s="552"/>
      <c r="CW54" s="552"/>
      <c r="CX54" s="552"/>
      <c r="CY54" s="552"/>
      <c r="CZ54" s="552"/>
      <c r="DA54" s="552"/>
      <c r="DB54" s="552"/>
      <c r="DC54" s="552"/>
      <c r="DD54" s="552"/>
      <c r="DE54" s="552"/>
      <c r="DF54" s="552"/>
      <c r="DG54" s="552"/>
      <c r="DH54" s="552"/>
      <c r="DI54" s="552"/>
      <c r="DJ54" s="552"/>
      <c r="DK54" s="552"/>
      <c r="DL54" s="552"/>
      <c r="DM54" s="552"/>
      <c r="DN54" s="552"/>
      <c r="DO54" s="552"/>
      <c r="DP54" s="552"/>
      <c r="DQ54" s="552"/>
      <c r="DR54" s="552"/>
      <c r="DS54" s="552"/>
      <c r="DT54" s="552"/>
      <c r="DU54" s="552"/>
      <c r="DV54" s="552"/>
      <c r="DW54" s="552"/>
      <c r="DX54" s="552"/>
      <c r="DY54" s="552"/>
      <c r="DZ54" s="552"/>
      <c r="EA54" s="552"/>
      <c r="EB54" s="552"/>
      <c r="EC54" s="552"/>
      <c r="ED54" s="552"/>
      <c r="EE54" s="552"/>
      <c r="EF54" s="552"/>
      <c r="EG54" s="552"/>
      <c r="EH54" s="552"/>
      <c r="EI54" s="552"/>
      <c r="EJ54" s="552"/>
      <c r="EK54" s="552"/>
      <c r="EL54" s="552"/>
      <c r="EM54" s="552"/>
      <c r="EN54" s="552"/>
      <c r="EO54" s="552"/>
      <c r="EP54" s="552"/>
      <c r="EQ54" s="552"/>
      <c r="ER54" s="552"/>
      <c r="ES54" s="552"/>
      <c r="ET54" s="552"/>
      <c r="EU54" s="552"/>
      <c r="EV54" s="552"/>
      <c r="EW54" s="552"/>
      <c r="EX54" s="552"/>
      <c r="EY54" s="552"/>
      <c r="EZ54" s="552"/>
      <c r="FA54" s="552"/>
      <c r="FB54" s="552"/>
      <c r="FC54" s="552"/>
      <c r="FD54" s="552"/>
      <c r="FE54" s="552"/>
      <c r="FF54" s="552"/>
      <c r="FG54" s="552"/>
      <c r="FH54" s="552"/>
      <c r="FI54" s="552"/>
      <c r="FJ54" s="552"/>
      <c r="FK54" s="552"/>
      <c r="FL54" s="552"/>
      <c r="FM54" s="552"/>
      <c r="FN54" s="552"/>
      <c r="FO54" s="552"/>
      <c r="FP54" s="552"/>
      <c r="FQ54" s="552"/>
      <c r="FR54" s="552"/>
      <c r="FS54" s="552"/>
      <c r="FT54" s="552"/>
      <c r="FU54" s="552"/>
      <c r="FV54" s="552"/>
      <c r="FW54" s="552"/>
      <c r="FX54" s="552"/>
      <c r="FY54" s="552"/>
      <c r="FZ54" s="552"/>
      <c r="GA54" s="552"/>
      <c r="GB54" s="552"/>
      <c r="GC54" s="552"/>
      <c r="GD54" s="552"/>
      <c r="GE54" s="552"/>
      <c r="GF54" s="552"/>
      <c r="GG54" s="552"/>
      <c r="GH54" s="552"/>
      <c r="GI54" s="552"/>
      <c r="GJ54" s="552"/>
      <c r="GK54" s="552"/>
      <c r="GL54" s="552"/>
      <c r="GM54" s="552"/>
      <c r="GN54" s="552"/>
      <c r="GO54" s="552"/>
      <c r="GP54" s="552"/>
      <c r="GQ54" s="552"/>
      <c r="GR54" s="552"/>
      <c r="GS54" s="552"/>
      <c r="GT54" s="552"/>
      <c r="GU54" s="552"/>
      <c r="GV54" s="552"/>
      <c r="GW54" s="552"/>
      <c r="GX54" s="552"/>
      <c r="GY54" s="552"/>
      <c r="GZ54" s="552"/>
      <c r="HA54" s="552"/>
      <c r="HB54" s="552"/>
      <c r="HC54" s="552"/>
      <c r="HD54" s="552"/>
      <c r="HE54" s="552"/>
      <c r="HF54" s="552"/>
      <c r="HG54" s="552"/>
      <c r="HH54" s="552"/>
      <c r="HI54" s="552"/>
      <c r="HJ54" s="552"/>
      <c r="HK54" s="552"/>
      <c r="HL54" s="552"/>
      <c r="HM54" s="552"/>
      <c r="HN54" s="552"/>
      <c r="HO54" s="552"/>
      <c r="HP54" s="552"/>
      <c r="HQ54" s="552"/>
      <c r="HR54" s="552"/>
      <c r="HS54" s="552"/>
      <c r="HT54" s="552"/>
      <c r="HU54" s="552"/>
      <c r="HV54" s="552"/>
      <c r="HW54" s="552"/>
      <c r="HX54" s="552"/>
      <c r="HY54" s="552"/>
      <c r="HZ54" s="552"/>
      <c r="IA54" s="552"/>
      <c r="IB54" s="552"/>
      <c r="IC54" s="552"/>
      <c r="ID54" s="552"/>
      <c r="IE54" s="552"/>
      <c r="IF54" s="552"/>
      <c r="IG54" s="552"/>
      <c r="IH54" s="552"/>
      <c r="II54" s="552"/>
      <c r="IJ54" s="552"/>
      <c r="IK54" s="552"/>
      <c r="IL54" s="552"/>
      <c r="IM54" s="552"/>
      <c r="IN54" s="552"/>
      <c r="IO54" s="552"/>
      <c r="IP54" s="552"/>
      <c r="IQ54" s="552"/>
      <c r="IR54" s="552"/>
      <c r="IS54" s="552"/>
      <c r="IT54" s="552"/>
      <c r="IU54" s="552"/>
      <c r="IV54" s="552"/>
    </row>
    <row r="55" spans="1:256" s="600" customFormat="1" ht="18" customHeight="1">
      <c r="A55" s="588">
        <v>47</v>
      </c>
      <c r="B55" s="645"/>
      <c r="C55" s="635"/>
      <c r="D55" s="636" t="s">
        <v>198</v>
      </c>
      <c r="E55" s="637"/>
      <c r="F55" s="637"/>
      <c r="G55" s="646"/>
      <c r="H55" s="639"/>
      <c r="I55" s="640">
        <v>53</v>
      </c>
      <c r="J55" s="640"/>
      <c r="K55" s="640">
        <v>10223</v>
      </c>
      <c r="L55" s="640"/>
      <c r="M55" s="640"/>
      <c r="N55" s="650"/>
      <c r="O55" s="643">
        <f>SUM(I55:N55)</f>
        <v>10276</v>
      </c>
      <c r="P55" s="653">
        <v>10730</v>
      </c>
      <c r="Q55" s="552"/>
      <c r="R55" s="552"/>
      <c r="S55" s="552"/>
      <c r="T55" s="552"/>
      <c r="U55" s="552"/>
      <c r="V55" s="552"/>
      <c r="W55" s="552"/>
      <c r="X55" s="552"/>
      <c r="Y55" s="552"/>
      <c r="Z55" s="552"/>
      <c r="AA55" s="552"/>
      <c r="AB55" s="552"/>
      <c r="AC55" s="552"/>
      <c r="AD55" s="552"/>
      <c r="AE55" s="552"/>
      <c r="AF55" s="552"/>
      <c r="AG55" s="552"/>
      <c r="AH55" s="552"/>
      <c r="AI55" s="552"/>
      <c r="AJ55" s="552"/>
      <c r="AK55" s="552"/>
      <c r="AL55" s="552"/>
      <c r="AM55" s="552"/>
      <c r="AN55" s="552"/>
      <c r="AO55" s="552"/>
      <c r="AP55" s="552"/>
      <c r="AQ55" s="552"/>
      <c r="AR55" s="552"/>
      <c r="AS55" s="552"/>
      <c r="AT55" s="552"/>
      <c r="AU55" s="552"/>
      <c r="AV55" s="552"/>
      <c r="AW55" s="552"/>
      <c r="AX55" s="552"/>
      <c r="AY55" s="552"/>
      <c r="AZ55" s="552"/>
      <c r="BA55" s="552"/>
      <c r="BB55" s="552"/>
      <c r="BC55" s="552"/>
      <c r="BD55" s="552"/>
      <c r="BE55" s="552"/>
      <c r="BF55" s="552"/>
      <c r="BG55" s="552"/>
      <c r="BH55" s="552"/>
      <c r="BI55" s="552"/>
      <c r="BJ55" s="552"/>
      <c r="BK55" s="552"/>
      <c r="BL55" s="552"/>
      <c r="BM55" s="552"/>
      <c r="BN55" s="552"/>
      <c r="BO55" s="552"/>
      <c r="BP55" s="552"/>
      <c r="BQ55" s="552"/>
      <c r="BR55" s="552"/>
      <c r="BS55" s="552"/>
      <c r="BT55" s="552"/>
      <c r="BU55" s="552"/>
      <c r="BV55" s="552"/>
      <c r="BW55" s="552"/>
      <c r="BX55" s="552"/>
      <c r="BY55" s="552"/>
      <c r="BZ55" s="552"/>
      <c r="CA55" s="552"/>
      <c r="CB55" s="552"/>
      <c r="CC55" s="552"/>
      <c r="CD55" s="552"/>
      <c r="CE55" s="552"/>
      <c r="CF55" s="552"/>
      <c r="CG55" s="552"/>
      <c r="CH55" s="552"/>
      <c r="CI55" s="552"/>
      <c r="CJ55" s="552"/>
      <c r="CK55" s="552"/>
      <c r="CL55" s="552"/>
      <c r="CM55" s="552"/>
      <c r="CN55" s="552"/>
      <c r="CO55" s="552"/>
      <c r="CP55" s="552"/>
      <c r="CQ55" s="552"/>
      <c r="CR55" s="552"/>
      <c r="CS55" s="552"/>
      <c r="CT55" s="552"/>
      <c r="CU55" s="552"/>
      <c r="CV55" s="552"/>
      <c r="CW55" s="552"/>
      <c r="CX55" s="552"/>
      <c r="CY55" s="552"/>
      <c r="CZ55" s="552"/>
      <c r="DA55" s="552"/>
      <c r="DB55" s="552"/>
      <c r="DC55" s="552"/>
      <c r="DD55" s="552"/>
      <c r="DE55" s="552"/>
      <c r="DF55" s="552"/>
      <c r="DG55" s="552"/>
      <c r="DH55" s="552"/>
      <c r="DI55" s="552"/>
      <c r="DJ55" s="552"/>
      <c r="DK55" s="552"/>
      <c r="DL55" s="552"/>
      <c r="DM55" s="552"/>
      <c r="DN55" s="552"/>
      <c r="DO55" s="552"/>
      <c r="DP55" s="552"/>
      <c r="DQ55" s="552"/>
      <c r="DR55" s="552"/>
      <c r="DS55" s="552"/>
      <c r="DT55" s="552"/>
      <c r="DU55" s="552"/>
      <c r="DV55" s="552"/>
      <c r="DW55" s="552"/>
      <c r="DX55" s="552"/>
      <c r="DY55" s="552"/>
      <c r="DZ55" s="552"/>
      <c r="EA55" s="552"/>
      <c r="EB55" s="552"/>
      <c r="EC55" s="552"/>
      <c r="ED55" s="552"/>
      <c r="EE55" s="552"/>
      <c r="EF55" s="552"/>
      <c r="EG55" s="552"/>
      <c r="EH55" s="552"/>
      <c r="EI55" s="552"/>
      <c r="EJ55" s="552"/>
      <c r="EK55" s="552"/>
      <c r="EL55" s="552"/>
      <c r="EM55" s="552"/>
      <c r="EN55" s="552"/>
      <c r="EO55" s="552"/>
      <c r="EP55" s="552"/>
      <c r="EQ55" s="552"/>
      <c r="ER55" s="552"/>
      <c r="ES55" s="552"/>
      <c r="ET55" s="552"/>
      <c r="EU55" s="552"/>
      <c r="EV55" s="552"/>
      <c r="EW55" s="552"/>
      <c r="EX55" s="552"/>
      <c r="EY55" s="552"/>
      <c r="EZ55" s="552"/>
      <c r="FA55" s="552"/>
      <c r="FB55" s="552"/>
      <c r="FC55" s="552"/>
      <c r="FD55" s="552"/>
      <c r="FE55" s="552"/>
      <c r="FF55" s="552"/>
      <c r="FG55" s="552"/>
      <c r="FH55" s="552"/>
      <c r="FI55" s="552"/>
      <c r="FJ55" s="552"/>
      <c r="FK55" s="552"/>
      <c r="FL55" s="552"/>
      <c r="FM55" s="552"/>
      <c r="FN55" s="552"/>
      <c r="FO55" s="552"/>
      <c r="FP55" s="552"/>
      <c r="FQ55" s="552"/>
      <c r="FR55" s="552"/>
      <c r="FS55" s="552"/>
      <c r="FT55" s="552"/>
      <c r="FU55" s="552"/>
      <c r="FV55" s="552"/>
      <c r="FW55" s="552"/>
      <c r="FX55" s="552"/>
      <c r="FY55" s="552"/>
      <c r="FZ55" s="552"/>
      <c r="GA55" s="552"/>
      <c r="GB55" s="552"/>
      <c r="GC55" s="552"/>
      <c r="GD55" s="552"/>
      <c r="GE55" s="552"/>
      <c r="GF55" s="552"/>
      <c r="GG55" s="552"/>
      <c r="GH55" s="552"/>
      <c r="GI55" s="552"/>
      <c r="GJ55" s="552"/>
      <c r="GK55" s="552"/>
      <c r="GL55" s="552"/>
      <c r="GM55" s="552"/>
      <c r="GN55" s="552"/>
      <c r="GO55" s="552"/>
      <c r="GP55" s="552"/>
      <c r="GQ55" s="552"/>
      <c r="GR55" s="552"/>
      <c r="GS55" s="552"/>
      <c r="GT55" s="552"/>
      <c r="GU55" s="552"/>
      <c r="GV55" s="552"/>
      <c r="GW55" s="552"/>
      <c r="GX55" s="552"/>
      <c r="GY55" s="552"/>
      <c r="GZ55" s="552"/>
      <c r="HA55" s="552"/>
      <c r="HB55" s="552"/>
      <c r="HC55" s="552"/>
      <c r="HD55" s="552"/>
      <c r="HE55" s="552"/>
      <c r="HF55" s="552"/>
      <c r="HG55" s="552"/>
      <c r="HH55" s="552"/>
      <c r="HI55" s="552"/>
      <c r="HJ55" s="552"/>
      <c r="HK55" s="552"/>
      <c r="HL55" s="552"/>
      <c r="HM55" s="552"/>
      <c r="HN55" s="552"/>
      <c r="HO55" s="552"/>
      <c r="HP55" s="552"/>
      <c r="HQ55" s="552"/>
      <c r="HR55" s="552"/>
      <c r="HS55" s="552"/>
      <c r="HT55" s="552"/>
      <c r="HU55" s="552"/>
      <c r="HV55" s="552"/>
      <c r="HW55" s="552"/>
      <c r="HX55" s="552"/>
      <c r="HY55" s="552"/>
      <c r="HZ55" s="552"/>
      <c r="IA55" s="552"/>
      <c r="IB55" s="552"/>
      <c r="IC55" s="552"/>
      <c r="ID55" s="552"/>
      <c r="IE55" s="552"/>
      <c r="IF55" s="552"/>
      <c r="IG55" s="552"/>
      <c r="IH55" s="552"/>
      <c r="II55" s="552"/>
      <c r="IJ55" s="552"/>
      <c r="IK55" s="552"/>
      <c r="IL55" s="552"/>
      <c r="IM55" s="552"/>
      <c r="IN55" s="552"/>
      <c r="IO55" s="552"/>
      <c r="IP55" s="552"/>
      <c r="IQ55" s="552"/>
      <c r="IR55" s="552"/>
      <c r="IS55" s="552"/>
      <c r="IT55" s="552"/>
      <c r="IU55" s="552"/>
      <c r="IV55" s="552"/>
    </row>
    <row r="56" spans="1:256" s="600" customFormat="1" ht="18" customHeight="1">
      <c r="A56" s="588">
        <v>48</v>
      </c>
      <c r="B56" s="645"/>
      <c r="C56" s="635"/>
      <c r="D56" s="617" t="s">
        <v>765</v>
      </c>
      <c r="E56" s="637"/>
      <c r="F56" s="637"/>
      <c r="G56" s="646"/>
      <c r="H56" s="639"/>
      <c r="I56" s="647">
        <v>1323</v>
      </c>
      <c r="J56" s="647">
        <v>283</v>
      </c>
      <c r="K56" s="647">
        <v>4070</v>
      </c>
      <c r="L56" s="647"/>
      <c r="M56" s="647">
        <v>1000</v>
      </c>
      <c r="N56" s="648"/>
      <c r="O56" s="569">
        <f>SUM(I56:N56)</f>
        <v>6676</v>
      </c>
      <c r="P56" s="654"/>
      <c r="Q56" s="552"/>
      <c r="R56" s="552"/>
      <c r="S56" s="552"/>
      <c r="T56" s="552"/>
      <c r="U56" s="552"/>
      <c r="V56" s="552"/>
      <c r="W56" s="552"/>
      <c r="X56" s="552"/>
      <c r="Y56" s="552"/>
      <c r="Z56" s="552"/>
      <c r="AA56" s="552"/>
      <c r="AB56" s="552"/>
      <c r="AC56" s="552"/>
      <c r="AD56" s="552"/>
      <c r="AE56" s="552"/>
      <c r="AF56" s="552"/>
      <c r="AG56" s="552"/>
      <c r="AH56" s="552"/>
      <c r="AI56" s="552"/>
      <c r="AJ56" s="552"/>
      <c r="AK56" s="552"/>
      <c r="AL56" s="552"/>
      <c r="AM56" s="552"/>
      <c r="AN56" s="552"/>
      <c r="AO56" s="552"/>
      <c r="AP56" s="552"/>
      <c r="AQ56" s="552"/>
      <c r="AR56" s="552"/>
      <c r="AS56" s="552"/>
      <c r="AT56" s="552"/>
      <c r="AU56" s="552"/>
      <c r="AV56" s="552"/>
      <c r="AW56" s="552"/>
      <c r="AX56" s="552"/>
      <c r="AY56" s="552"/>
      <c r="AZ56" s="552"/>
      <c r="BA56" s="552"/>
      <c r="BB56" s="552"/>
      <c r="BC56" s="552"/>
      <c r="BD56" s="552"/>
      <c r="BE56" s="552"/>
      <c r="BF56" s="552"/>
      <c r="BG56" s="552"/>
      <c r="BH56" s="552"/>
      <c r="BI56" s="552"/>
      <c r="BJ56" s="552"/>
      <c r="BK56" s="552"/>
      <c r="BL56" s="552"/>
      <c r="BM56" s="552"/>
      <c r="BN56" s="552"/>
      <c r="BO56" s="552"/>
      <c r="BP56" s="552"/>
      <c r="BQ56" s="552"/>
      <c r="BR56" s="552"/>
      <c r="BS56" s="552"/>
      <c r="BT56" s="552"/>
      <c r="BU56" s="552"/>
      <c r="BV56" s="552"/>
      <c r="BW56" s="552"/>
      <c r="BX56" s="552"/>
      <c r="BY56" s="552"/>
      <c r="BZ56" s="552"/>
      <c r="CA56" s="552"/>
      <c r="CB56" s="552"/>
      <c r="CC56" s="552"/>
      <c r="CD56" s="552"/>
      <c r="CE56" s="552"/>
      <c r="CF56" s="552"/>
      <c r="CG56" s="552"/>
      <c r="CH56" s="552"/>
      <c r="CI56" s="552"/>
      <c r="CJ56" s="552"/>
      <c r="CK56" s="552"/>
      <c r="CL56" s="552"/>
      <c r="CM56" s="552"/>
      <c r="CN56" s="552"/>
      <c r="CO56" s="552"/>
      <c r="CP56" s="552"/>
      <c r="CQ56" s="552"/>
      <c r="CR56" s="552"/>
      <c r="CS56" s="552"/>
      <c r="CT56" s="552"/>
      <c r="CU56" s="552"/>
      <c r="CV56" s="552"/>
      <c r="CW56" s="552"/>
      <c r="CX56" s="552"/>
      <c r="CY56" s="552"/>
      <c r="CZ56" s="552"/>
      <c r="DA56" s="552"/>
      <c r="DB56" s="552"/>
      <c r="DC56" s="552"/>
      <c r="DD56" s="552"/>
      <c r="DE56" s="552"/>
      <c r="DF56" s="552"/>
      <c r="DG56" s="552"/>
      <c r="DH56" s="552"/>
      <c r="DI56" s="552"/>
      <c r="DJ56" s="552"/>
      <c r="DK56" s="552"/>
      <c r="DL56" s="552"/>
      <c r="DM56" s="552"/>
      <c r="DN56" s="552"/>
      <c r="DO56" s="552"/>
      <c r="DP56" s="552"/>
      <c r="DQ56" s="552"/>
      <c r="DR56" s="552"/>
      <c r="DS56" s="552"/>
      <c r="DT56" s="552"/>
      <c r="DU56" s="552"/>
      <c r="DV56" s="552"/>
      <c r="DW56" s="552"/>
      <c r="DX56" s="552"/>
      <c r="DY56" s="552"/>
      <c r="DZ56" s="552"/>
      <c r="EA56" s="552"/>
      <c r="EB56" s="552"/>
      <c r="EC56" s="552"/>
      <c r="ED56" s="552"/>
      <c r="EE56" s="552"/>
      <c r="EF56" s="552"/>
      <c r="EG56" s="552"/>
      <c r="EH56" s="552"/>
      <c r="EI56" s="552"/>
      <c r="EJ56" s="552"/>
      <c r="EK56" s="552"/>
      <c r="EL56" s="552"/>
      <c r="EM56" s="552"/>
      <c r="EN56" s="552"/>
      <c r="EO56" s="552"/>
      <c r="EP56" s="552"/>
      <c r="EQ56" s="552"/>
      <c r="ER56" s="552"/>
      <c r="ES56" s="552"/>
      <c r="ET56" s="552"/>
      <c r="EU56" s="552"/>
      <c r="EV56" s="552"/>
      <c r="EW56" s="552"/>
      <c r="EX56" s="552"/>
      <c r="EY56" s="552"/>
      <c r="EZ56" s="552"/>
      <c r="FA56" s="552"/>
      <c r="FB56" s="552"/>
      <c r="FC56" s="552"/>
      <c r="FD56" s="552"/>
      <c r="FE56" s="552"/>
      <c r="FF56" s="552"/>
      <c r="FG56" s="552"/>
      <c r="FH56" s="552"/>
      <c r="FI56" s="552"/>
      <c r="FJ56" s="552"/>
      <c r="FK56" s="552"/>
      <c r="FL56" s="552"/>
      <c r="FM56" s="552"/>
      <c r="FN56" s="552"/>
      <c r="FO56" s="552"/>
      <c r="FP56" s="552"/>
      <c r="FQ56" s="552"/>
      <c r="FR56" s="552"/>
      <c r="FS56" s="552"/>
      <c r="FT56" s="552"/>
      <c r="FU56" s="552"/>
      <c r="FV56" s="552"/>
      <c r="FW56" s="552"/>
      <c r="FX56" s="552"/>
      <c r="FY56" s="552"/>
      <c r="FZ56" s="552"/>
      <c r="GA56" s="552"/>
      <c r="GB56" s="552"/>
      <c r="GC56" s="552"/>
      <c r="GD56" s="552"/>
      <c r="GE56" s="552"/>
      <c r="GF56" s="552"/>
      <c r="GG56" s="552"/>
      <c r="GH56" s="552"/>
      <c r="GI56" s="552"/>
      <c r="GJ56" s="552"/>
      <c r="GK56" s="552"/>
      <c r="GL56" s="552"/>
      <c r="GM56" s="552"/>
      <c r="GN56" s="552"/>
      <c r="GO56" s="552"/>
      <c r="GP56" s="552"/>
      <c r="GQ56" s="552"/>
      <c r="GR56" s="552"/>
      <c r="GS56" s="552"/>
      <c r="GT56" s="552"/>
      <c r="GU56" s="552"/>
      <c r="GV56" s="552"/>
      <c r="GW56" s="552"/>
      <c r="GX56" s="552"/>
      <c r="GY56" s="552"/>
      <c r="GZ56" s="552"/>
      <c r="HA56" s="552"/>
      <c r="HB56" s="552"/>
      <c r="HC56" s="552"/>
      <c r="HD56" s="552"/>
      <c r="HE56" s="552"/>
      <c r="HF56" s="552"/>
      <c r="HG56" s="552"/>
      <c r="HH56" s="552"/>
      <c r="HI56" s="552"/>
      <c r="HJ56" s="552"/>
      <c r="HK56" s="552"/>
      <c r="HL56" s="552"/>
      <c r="HM56" s="552"/>
      <c r="HN56" s="552"/>
      <c r="HO56" s="552"/>
      <c r="HP56" s="552"/>
      <c r="HQ56" s="552"/>
      <c r="HR56" s="552"/>
      <c r="HS56" s="552"/>
      <c r="HT56" s="552"/>
      <c r="HU56" s="552"/>
      <c r="HV56" s="552"/>
      <c r="HW56" s="552"/>
      <c r="HX56" s="552"/>
      <c r="HY56" s="552"/>
      <c r="HZ56" s="552"/>
      <c r="IA56" s="552"/>
      <c r="IB56" s="552"/>
      <c r="IC56" s="552"/>
      <c r="ID56" s="552"/>
      <c r="IE56" s="552"/>
      <c r="IF56" s="552"/>
      <c r="IG56" s="552"/>
      <c r="IH56" s="552"/>
      <c r="II56" s="552"/>
      <c r="IJ56" s="552"/>
      <c r="IK56" s="552"/>
      <c r="IL56" s="552"/>
      <c r="IM56" s="552"/>
      <c r="IN56" s="552"/>
      <c r="IO56" s="552"/>
      <c r="IP56" s="552"/>
      <c r="IQ56" s="552"/>
      <c r="IR56" s="552"/>
      <c r="IS56" s="552"/>
      <c r="IT56" s="552"/>
      <c r="IU56" s="552"/>
      <c r="IV56" s="552"/>
    </row>
    <row r="57" spans="1:256" s="600" customFormat="1" ht="18" customHeight="1">
      <c r="A57" s="588">
        <v>49</v>
      </c>
      <c r="B57" s="645"/>
      <c r="C57" s="635"/>
      <c r="D57" s="620" t="s">
        <v>1021</v>
      </c>
      <c r="E57" s="637"/>
      <c r="F57" s="637"/>
      <c r="G57" s="646"/>
      <c r="H57" s="639"/>
      <c r="I57" s="649">
        <v>761</v>
      </c>
      <c r="J57" s="649">
        <v>276</v>
      </c>
      <c r="K57" s="649">
        <v>2927</v>
      </c>
      <c r="L57" s="640"/>
      <c r="M57" s="649">
        <v>316</v>
      </c>
      <c r="N57" s="650"/>
      <c r="O57" s="562">
        <f>SUM(I57:N57)</f>
        <v>4280</v>
      </c>
      <c r="P57" s="654"/>
      <c r="Q57" s="552"/>
      <c r="R57" s="552"/>
      <c r="S57" s="552"/>
      <c r="T57" s="552"/>
      <c r="U57" s="552"/>
      <c r="V57" s="552"/>
      <c r="W57" s="552"/>
      <c r="X57" s="552"/>
      <c r="Y57" s="552"/>
      <c r="Z57" s="552"/>
      <c r="AA57" s="552"/>
      <c r="AB57" s="552"/>
      <c r="AC57" s="552"/>
      <c r="AD57" s="552"/>
      <c r="AE57" s="552"/>
      <c r="AF57" s="552"/>
      <c r="AG57" s="552"/>
      <c r="AH57" s="552"/>
      <c r="AI57" s="552"/>
      <c r="AJ57" s="552"/>
      <c r="AK57" s="552"/>
      <c r="AL57" s="552"/>
      <c r="AM57" s="552"/>
      <c r="AN57" s="552"/>
      <c r="AO57" s="552"/>
      <c r="AP57" s="552"/>
      <c r="AQ57" s="552"/>
      <c r="AR57" s="552"/>
      <c r="AS57" s="552"/>
      <c r="AT57" s="552"/>
      <c r="AU57" s="552"/>
      <c r="AV57" s="552"/>
      <c r="AW57" s="552"/>
      <c r="AX57" s="552"/>
      <c r="AY57" s="552"/>
      <c r="AZ57" s="552"/>
      <c r="BA57" s="552"/>
      <c r="BB57" s="552"/>
      <c r="BC57" s="552"/>
      <c r="BD57" s="552"/>
      <c r="BE57" s="552"/>
      <c r="BF57" s="552"/>
      <c r="BG57" s="552"/>
      <c r="BH57" s="552"/>
      <c r="BI57" s="552"/>
      <c r="BJ57" s="552"/>
      <c r="BK57" s="552"/>
      <c r="BL57" s="552"/>
      <c r="BM57" s="552"/>
      <c r="BN57" s="552"/>
      <c r="BO57" s="552"/>
      <c r="BP57" s="552"/>
      <c r="BQ57" s="552"/>
      <c r="BR57" s="552"/>
      <c r="BS57" s="552"/>
      <c r="BT57" s="552"/>
      <c r="BU57" s="552"/>
      <c r="BV57" s="552"/>
      <c r="BW57" s="552"/>
      <c r="BX57" s="552"/>
      <c r="BY57" s="552"/>
      <c r="BZ57" s="552"/>
      <c r="CA57" s="552"/>
      <c r="CB57" s="552"/>
      <c r="CC57" s="552"/>
      <c r="CD57" s="552"/>
      <c r="CE57" s="552"/>
      <c r="CF57" s="552"/>
      <c r="CG57" s="552"/>
      <c r="CH57" s="552"/>
      <c r="CI57" s="552"/>
      <c r="CJ57" s="552"/>
      <c r="CK57" s="552"/>
      <c r="CL57" s="552"/>
      <c r="CM57" s="552"/>
      <c r="CN57" s="552"/>
      <c r="CO57" s="552"/>
      <c r="CP57" s="552"/>
      <c r="CQ57" s="552"/>
      <c r="CR57" s="552"/>
      <c r="CS57" s="552"/>
      <c r="CT57" s="552"/>
      <c r="CU57" s="552"/>
      <c r="CV57" s="552"/>
      <c r="CW57" s="552"/>
      <c r="CX57" s="552"/>
      <c r="CY57" s="552"/>
      <c r="CZ57" s="552"/>
      <c r="DA57" s="552"/>
      <c r="DB57" s="552"/>
      <c r="DC57" s="552"/>
      <c r="DD57" s="552"/>
      <c r="DE57" s="552"/>
      <c r="DF57" s="552"/>
      <c r="DG57" s="552"/>
      <c r="DH57" s="552"/>
      <c r="DI57" s="552"/>
      <c r="DJ57" s="552"/>
      <c r="DK57" s="552"/>
      <c r="DL57" s="552"/>
      <c r="DM57" s="552"/>
      <c r="DN57" s="552"/>
      <c r="DO57" s="552"/>
      <c r="DP57" s="552"/>
      <c r="DQ57" s="552"/>
      <c r="DR57" s="552"/>
      <c r="DS57" s="552"/>
      <c r="DT57" s="552"/>
      <c r="DU57" s="552"/>
      <c r="DV57" s="552"/>
      <c r="DW57" s="552"/>
      <c r="DX57" s="552"/>
      <c r="DY57" s="552"/>
      <c r="DZ57" s="552"/>
      <c r="EA57" s="552"/>
      <c r="EB57" s="552"/>
      <c r="EC57" s="552"/>
      <c r="ED57" s="552"/>
      <c r="EE57" s="552"/>
      <c r="EF57" s="552"/>
      <c r="EG57" s="552"/>
      <c r="EH57" s="552"/>
      <c r="EI57" s="552"/>
      <c r="EJ57" s="552"/>
      <c r="EK57" s="552"/>
      <c r="EL57" s="552"/>
      <c r="EM57" s="552"/>
      <c r="EN57" s="552"/>
      <c r="EO57" s="552"/>
      <c r="EP57" s="552"/>
      <c r="EQ57" s="552"/>
      <c r="ER57" s="552"/>
      <c r="ES57" s="552"/>
      <c r="ET57" s="552"/>
      <c r="EU57" s="552"/>
      <c r="EV57" s="552"/>
      <c r="EW57" s="552"/>
      <c r="EX57" s="552"/>
      <c r="EY57" s="552"/>
      <c r="EZ57" s="552"/>
      <c r="FA57" s="552"/>
      <c r="FB57" s="552"/>
      <c r="FC57" s="552"/>
      <c r="FD57" s="552"/>
      <c r="FE57" s="552"/>
      <c r="FF57" s="552"/>
      <c r="FG57" s="552"/>
      <c r="FH57" s="552"/>
      <c r="FI57" s="552"/>
      <c r="FJ57" s="552"/>
      <c r="FK57" s="552"/>
      <c r="FL57" s="552"/>
      <c r="FM57" s="552"/>
      <c r="FN57" s="552"/>
      <c r="FO57" s="552"/>
      <c r="FP57" s="552"/>
      <c r="FQ57" s="552"/>
      <c r="FR57" s="552"/>
      <c r="FS57" s="552"/>
      <c r="FT57" s="552"/>
      <c r="FU57" s="552"/>
      <c r="FV57" s="552"/>
      <c r="FW57" s="552"/>
      <c r="FX57" s="552"/>
      <c r="FY57" s="552"/>
      <c r="FZ57" s="552"/>
      <c r="GA57" s="552"/>
      <c r="GB57" s="552"/>
      <c r="GC57" s="552"/>
      <c r="GD57" s="552"/>
      <c r="GE57" s="552"/>
      <c r="GF57" s="552"/>
      <c r="GG57" s="552"/>
      <c r="GH57" s="552"/>
      <c r="GI57" s="552"/>
      <c r="GJ57" s="552"/>
      <c r="GK57" s="552"/>
      <c r="GL57" s="552"/>
      <c r="GM57" s="552"/>
      <c r="GN57" s="552"/>
      <c r="GO57" s="552"/>
      <c r="GP57" s="552"/>
      <c r="GQ57" s="552"/>
      <c r="GR57" s="552"/>
      <c r="GS57" s="552"/>
      <c r="GT57" s="552"/>
      <c r="GU57" s="552"/>
      <c r="GV57" s="552"/>
      <c r="GW57" s="552"/>
      <c r="GX57" s="552"/>
      <c r="GY57" s="552"/>
      <c r="GZ57" s="552"/>
      <c r="HA57" s="552"/>
      <c r="HB57" s="552"/>
      <c r="HC57" s="552"/>
      <c r="HD57" s="552"/>
      <c r="HE57" s="552"/>
      <c r="HF57" s="552"/>
      <c r="HG57" s="552"/>
      <c r="HH57" s="552"/>
      <c r="HI57" s="552"/>
      <c r="HJ57" s="552"/>
      <c r="HK57" s="552"/>
      <c r="HL57" s="552"/>
      <c r="HM57" s="552"/>
      <c r="HN57" s="552"/>
      <c r="HO57" s="552"/>
      <c r="HP57" s="552"/>
      <c r="HQ57" s="552"/>
      <c r="HR57" s="552"/>
      <c r="HS57" s="552"/>
      <c r="HT57" s="552"/>
      <c r="HU57" s="552"/>
      <c r="HV57" s="552"/>
      <c r="HW57" s="552"/>
      <c r="HX57" s="552"/>
      <c r="HY57" s="552"/>
      <c r="HZ57" s="552"/>
      <c r="IA57" s="552"/>
      <c r="IB57" s="552"/>
      <c r="IC57" s="552"/>
      <c r="ID57" s="552"/>
      <c r="IE57" s="552"/>
      <c r="IF57" s="552"/>
      <c r="IG57" s="552"/>
      <c r="IH57" s="552"/>
      <c r="II57" s="552"/>
      <c r="IJ57" s="552"/>
      <c r="IK57" s="552"/>
      <c r="IL57" s="552"/>
      <c r="IM57" s="552"/>
      <c r="IN57" s="552"/>
      <c r="IO57" s="552"/>
      <c r="IP57" s="552"/>
      <c r="IQ57" s="552"/>
      <c r="IR57" s="552"/>
      <c r="IS57" s="552"/>
      <c r="IT57" s="552"/>
      <c r="IU57" s="552"/>
      <c r="IV57" s="552"/>
    </row>
    <row r="58" spans="1:256" s="600" customFormat="1" ht="22.5" customHeight="1">
      <c r="A58" s="588">
        <v>50</v>
      </c>
      <c r="B58" s="645"/>
      <c r="C58" s="566">
        <v>18</v>
      </c>
      <c r="D58" s="564" t="s">
        <v>251</v>
      </c>
      <c r="E58" s="603">
        <f>F58+G58+P59+13217+O60</f>
        <v>71400</v>
      </c>
      <c r="F58" s="637"/>
      <c r="G58" s="646"/>
      <c r="H58" s="652" t="s">
        <v>231</v>
      </c>
      <c r="I58" s="640"/>
      <c r="J58" s="640"/>
      <c r="K58" s="640"/>
      <c r="L58" s="640"/>
      <c r="M58" s="640"/>
      <c r="N58" s="650"/>
      <c r="O58" s="643"/>
      <c r="P58" s="644"/>
      <c r="Q58" s="552"/>
      <c r="R58" s="552"/>
      <c r="S58" s="552"/>
      <c r="T58" s="552"/>
      <c r="U58" s="552"/>
      <c r="V58" s="552"/>
      <c r="W58" s="552"/>
      <c r="X58" s="552"/>
      <c r="Y58" s="552"/>
      <c r="Z58" s="552"/>
      <c r="AA58" s="552"/>
      <c r="AB58" s="552"/>
      <c r="AC58" s="552"/>
      <c r="AD58" s="552"/>
      <c r="AE58" s="552"/>
      <c r="AF58" s="552"/>
      <c r="AG58" s="552"/>
      <c r="AH58" s="552"/>
      <c r="AI58" s="552"/>
      <c r="AJ58" s="552"/>
      <c r="AK58" s="552"/>
      <c r="AL58" s="552"/>
      <c r="AM58" s="552"/>
      <c r="AN58" s="552"/>
      <c r="AO58" s="552"/>
      <c r="AP58" s="552"/>
      <c r="AQ58" s="552"/>
      <c r="AR58" s="552"/>
      <c r="AS58" s="552"/>
      <c r="AT58" s="552"/>
      <c r="AU58" s="552"/>
      <c r="AV58" s="552"/>
      <c r="AW58" s="552"/>
      <c r="AX58" s="552"/>
      <c r="AY58" s="552"/>
      <c r="AZ58" s="552"/>
      <c r="BA58" s="552"/>
      <c r="BB58" s="552"/>
      <c r="BC58" s="552"/>
      <c r="BD58" s="552"/>
      <c r="BE58" s="552"/>
      <c r="BF58" s="552"/>
      <c r="BG58" s="552"/>
      <c r="BH58" s="552"/>
      <c r="BI58" s="552"/>
      <c r="BJ58" s="552"/>
      <c r="BK58" s="552"/>
      <c r="BL58" s="552"/>
      <c r="BM58" s="552"/>
      <c r="BN58" s="552"/>
      <c r="BO58" s="552"/>
      <c r="BP58" s="552"/>
      <c r="BQ58" s="552"/>
      <c r="BR58" s="552"/>
      <c r="BS58" s="552"/>
      <c r="BT58" s="552"/>
      <c r="BU58" s="552"/>
      <c r="BV58" s="552"/>
      <c r="BW58" s="552"/>
      <c r="BX58" s="552"/>
      <c r="BY58" s="552"/>
      <c r="BZ58" s="552"/>
      <c r="CA58" s="552"/>
      <c r="CB58" s="552"/>
      <c r="CC58" s="552"/>
      <c r="CD58" s="552"/>
      <c r="CE58" s="552"/>
      <c r="CF58" s="552"/>
      <c r="CG58" s="552"/>
      <c r="CH58" s="552"/>
      <c r="CI58" s="552"/>
      <c r="CJ58" s="552"/>
      <c r="CK58" s="552"/>
      <c r="CL58" s="552"/>
      <c r="CM58" s="552"/>
      <c r="CN58" s="552"/>
      <c r="CO58" s="552"/>
      <c r="CP58" s="552"/>
      <c r="CQ58" s="552"/>
      <c r="CR58" s="552"/>
      <c r="CS58" s="552"/>
      <c r="CT58" s="552"/>
      <c r="CU58" s="552"/>
      <c r="CV58" s="552"/>
      <c r="CW58" s="552"/>
      <c r="CX58" s="552"/>
      <c r="CY58" s="552"/>
      <c r="CZ58" s="552"/>
      <c r="DA58" s="552"/>
      <c r="DB58" s="552"/>
      <c r="DC58" s="552"/>
      <c r="DD58" s="552"/>
      <c r="DE58" s="552"/>
      <c r="DF58" s="552"/>
      <c r="DG58" s="552"/>
      <c r="DH58" s="552"/>
      <c r="DI58" s="552"/>
      <c r="DJ58" s="552"/>
      <c r="DK58" s="552"/>
      <c r="DL58" s="552"/>
      <c r="DM58" s="552"/>
      <c r="DN58" s="552"/>
      <c r="DO58" s="552"/>
      <c r="DP58" s="552"/>
      <c r="DQ58" s="552"/>
      <c r="DR58" s="552"/>
      <c r="DS58" s="552"/>
      <c r="DT58" s="552"/>
      <c r="DU58" s="552"/>
      <c r="DV58" s="552"/>
      <c r="DW58" s="552"/>
      <c r="DX58" s="552"/>
      <c r="DY58" s="552"/>
      <c r="DZ58" s="552"/>
      <c r="EA58" s="552"/>
      <c r="EB58" s="552"/>
      <c r="EC58" s="552"/>
      <c r="ED58" s="552"/>
      <c r="EE58" s="552"/>
      <c r="EF58" s="552"/>
      <c r="EG58" s="552"/>
      <c r="EH58" s="552"/>
      <c r="EI58" s="552"/>
      <c r="EJ58" s="552"/>
      <c r="EK58" s="552"/>
      <c r="EL58" s="552"/>
      <c r="EM58" s="552"/>
      <c r="EN58" s="552"/>
      <c r="EO58" s="552"/>
      <c r="EP58" s="552"/>
      <c r="EQ58" s="552"/>
      <c r="ER58" s="552"/>
      <c r="ES58" s="552"/>
      <c r="ET58" s="552"/>
      <c r="EU58" s="552"/>
      <c r="EV58" s="552"/>
      <c r="EW58" s="552"/>
      <c r="EX58" s="552"/>
      <c r="EY58" s="552"/>
      <c r="EZ58" s="552"/>
      <c r="FA58" s="552"/>
      <c r="FB58" s="552"/>
      <c r="FC58" s="552"/>
      <c r="FD58" s="552"/>
      <c r="FE58" s="552"/>
      <c r="FF58" s="552"/>
      <c r="FG58" s="552"/>
      <c r="FH58" s="552"/>
      <c r="FI58" s="552"/>
      <c r="FJ58" s="552"/>
      <c r="FK58" s="552"/>
      <c r="FL58" s="552"/>
      <c r="FM58" s="552"/>
      <c r="FN58" s="552"/>
      <c r="FO58" s="552"/>
      <c r="FP58" s="552"/>
      <c r="FQ58" s="552"/>
      <c r="FR58" s="552"/>
      <c r="FS58" s="552"/>
      <c r="FT58" s="552"/>
      <c r="FU58" s="552"/>
      <c r="FV58" s="552"/>
      <c r="FW58" s="552"/>
      <c r="FX58" s="552"/>
      <c r="FY58" s="552"/>
      <c r="FZ58" s="552"/>
      <c r="GA58" s="552"/>
      <c r="GB58" s="552"/>
      <c r="GC58" s="552"/>
      <c r="GD58" s="552"/>
      <c r="GE58" s="552"/>
      <c r="GF58" s="552"/>
      <c r="GG58" s="552"/>
      <c r="GH58" s="552"/>
      <c r="GI58" s="552"/>
      <c r="GJ58" s="552"/>
      <c r="GK58" s="552"/>
      <c r="GL58" s="552"/>
      <c r="GM58" s="552"/>
      <c r="GN58" s="552"/>
      <c r="GO58" s="552"/>
      <c r="GP58" s="552"/>
      <c r="GQ58" s="552"/>
      <c r="GR58" s="552"/>
      <c r="GS58" s="552"/>
      <c r="GT58" s="552"/>
      <c r="GU58" s="552"/>
      <c r="GV58" s="552"/>
      <c r="GW58" s="552"/>
      <c r="GX58" s="552"/>
      <c r="GY58" s="552"/>
      <c r="GZ58" s="552"/>
      <c r="HA58" s="552"/>
      <c r="HB58" s="552"/>
      <c r="HC58" s="552"/>
      <c r="HD58" s="552"/>
      <c r="HE58" s="552"/>
      <c r="HF58" s="552"/>
      <c r="HG58" s="552"/>
      <c r="HH58" s="552"/>
      <c r="HI58" s="552"/>
      <c r="HJ58" s="552"/>
      <c r="HK58" s="552"/>
      <c r="HL58" s="552"/>
      <c r="HM58" s="552"/>
      <c r="HN58" s="552"/>
      <c r="HO58" s="552"/>
      <c r="HP58" s="552"/>
      <c r="HQ58" s="552"/>
      <c r="HR58" s="552"/>
      <c r="HS58" s="552"/>
      <c r="HT58" s="552"/>
      <c r="HU58" s="552"/>
      <c r="HV58" s="552"/>
      <c r="HW58" s="552"/>
      <c r="HX58" s="552"/>
      <c r="HY58" s="552"/>
      <c r="HZ58" s="552"/>
      <c r="IA58" s="552"/>
      <c r="IB58" s="552"/>
      <c r="IC58" s="552"/>
      <c r="ID58" s="552"/>
      <c r="IE58" s="552"/>
      <c r="IF58" s="552"/>
      <c r="IG58" s="552"/>
      <c r="IH58" s="552"/>
      <c r="II58" s="552"/>
      <c r="IJ58" s="552"/>
      <c r="IK58" s="552"/>
      <c r="IL58" s="552"/>
      <c r="IM58" s="552"/>
      <c r="IN58" s="552"/>
      <c r="IO58" s="552"/>
      <c r="IP58" s="552"/>
      <c r="IQ58" s="552"/>
      <c r="IR58" s="552"/>
      <c r="IS58" s="552"/>
      <c r="IT58" s="552"/>
      <c r="IU58" s="552"/>
      <c r="IV58" s="552"/>
    </row>
    <row r="59" spans="1:256" s="600" customFormat="1" ht="18" customHeight="1">
      <c r="A59" s="588">
        <v>51</v>
      </c>
      <c r="B59" s="645"/>
      <c r="C59" s="635"/>
      <c r="D59" s="636" t="s">
        <v>198</v>
      </c>
      <c r="E59" s="637"/>
      <c r="F59" s="637"/>
      <c r="G59" s="646"/>
      <c r="H59" s="639"/>
      <c r="I59" s="640"/>
      <c r="J59" s="640"/>
      <c r="K59" s="640">
        <v>22029</v>
      </c>
      <c r="L59" s="640"/>
      <c r="M59" s="640"/>
      <c r="N59" s="650"/>
      <c r="O59" s="643">
        <f>SUM(I59:N59)</f>
        <v>22029</v>
      </c>
      <c r="P59" s="653">
        <f>40911+5499</f>
        <v>46410</v>
      </c>
      <c r="Q59" s="552"/>
      <c r="R59" s="552"/>
      <c r="S59" s="552"/>
      <c r="T59" s="552"/>
      <c r="U59" s="552"/>
      <c r="V59" s="552"/>
      <c r="W59" s="552"/>
      <c r="X59" s="552"/>
      <c r="Y59" s="552"/>
      <c r="Z59" s="552"/>
      <c r="AA59" s="552"/>
      <c r="AB59" s="552"/>
      <c r="AC59" s="552"/>
      <c r="AD59" s="552"/>
      <c r="AE59" s="552"/>
      <c r="AF59" s="552"/>
      <c r="AG59" s="552"/>
      <c r="AH59" s="552"/>
      <c r="AI59" s="552"/>
      <c r="AJ59" s="552"/>
      <c r="AK59" s="552"/>
      <c r="AL59" s="552"/>
      <c r="AM59" s="552"/>
      <c r="AN59" s="552"/>
      <c r="AO59" s="552"/>
      <c r="AP59" s="552"/>
      <c r="AQ59" s="552"/>
      <c r="AR59" s="552"/>
      <c r="AS59" s="552"/>
      <c r="AT59" s="552"/>
      <c r="AU59" s="552"/>
      <c r="AV59" s="552"/>
      <c r="AW59" s="552"/>
      <c r="AX59" s="552"/>
      <c r="AY59" s="552"/>
      <c r="AZ59" s="552"/>
      <c r="BA59" s="552"/>
      <c r="BB59" s="552"/>
      <c r="BC59" s="552"/>
      <c r="BD59" s="552"/>
      <c r="BE59" s="552"/>
      <c r="BF59" s="552"/>
      <c r="BG59" s="552"/>
      <c r="BH59" s="552"/>
      <c r="BI59" s="552"/>
      <c r="BJ59" s="552"/>
      <c r="BK59" s="552"/>
      <c r="BL59" s="552"/>
      <c r="BM59" s="552"/>
      <c r="BN59" s="552"/>
      <c r="BO59" s="552"/>
      <c r="BP59" s="552"/>
      <c r="BQ59" s="552"/>
      <c r="BR59" s="552"/>
      <c r="BS59" s="552"/>
      <c r="BT59" s="552"/>
      <c r="BU59" s="552"/>
      <c r="BV59" s="552"/>
      <c r="BW59" s="552"/>
      <c r="BX59" s="552"/>
      <c r="BY59" s="552"/>
      <c r="BZ59" s="552"/>
      <c r="CA59" s="552"/>
      <c r="CB59" s="552"/>
      <c r="CC59" s="552"/>
      <c r="CD59" s="552"/>
      <c r="CE59" s="552"/>
      <c r="CF59" s="552"/>
      <c r="CG59" s="552"/>
      <c r="CH59" s="552"/>
      <c r="CI59" s="552"/>
      <c r="CJ59" s="552"/>
      <c r="CK59" s="552"/>
      <c r="CL59" s="552"/>
      <c r="CM59" s="552"/>
      <c r="CN59" s="552"/>
      <c r="CO59" s="552"/>
      <c r="CP59" s="552"/>
      <c r="CQ59" s="552"/>
      <c r="CR59" s="552"/>
      <c r="CS59" s="552"/>
      <c r="CT59" s="552"/>
      <c r="CU59" s="552"/>
      <c r="CV59" s="552"/>
      <c r="CW59" s="552"/>
      <c r="CX59" s="552"/>
      <c r="CY59" s="552"/>
      <c r="CZ59" s="552"/>
      <c r="DA59" s="552"/>
      <c r="DB59" s="552"/>
      <c r="DC59" s="552"/>
      <c r="DD59" s="552"/>
      <c r="DE59" s="552"/>
      <c r="DF59" s="552"/>
      <c r="DG59" s="552"/>
      <c r="DH59" s="552"/>
      <c r="DI59" s="552"/>
      <c r="DJ59" s="552"/>
      <c r="DK59" s="552"/>
      <c r="DL59" s="552"/>
      <c r="DM59" s="552"/>
      <c r="DN59" s="552"/>
      <c r="DO59" s="552"/>
      <c r="DP59" s="552"/>
      <c r="DQ59" s="552"/>
      <c r="DR59" s="552"/>
      <c r="DS59" s="552"/>
      <c r="DT59" s="552"/>
      <c r="DU59" s="552"/>
      <c r="DV59" s="552"/>
      <c r="DW59" s="552"/>
      <c r="DX59" s="552"/>
      <c r="DY59" s="552"/>
      <c r="DZ59" s="552"/>
      <c r="EA59" s="552"/>
      <c r="EB59" s="552"/>
      <c r="EC59" s="552"/>
      <c r="ED59" s="552"/>
      <c r="EE59" s="552"/>
      <c r="EF59" s="552"/>
      <c r="EG59" s="552"/>
      <c r="EH59" s="552"/>
      <c r="EI59" s="552"/>
      <c r="EJ59" s="552"/>
      <c r="EK59" s="552"/>
      <c r="EL59" s="552"/>
      <c r="EM59" s="552"/>
      <c r="EN59" s="552"/>
      <c r="EO59" s="552"/>
      <c r="EP59" s="552"/>
      <c r="EQ59" s="552"/>
      <c r="ER59" s="552"/>
      <c r="ES59" s="552"/>
      <c r="ET59" s="552"/>
      <c r="EU59" s="552"/>
      <c r="EV59" s="552"/>
      <c r="EW59" s="552"/>
      <c r="EX59" s="552"/>
      <c r="EY59" s="552"/>
      <c r="EZ59" s="552"/>
      <c r="FA59" s="552"/>
      <c r="FB59" s="552"/>
      <c r="FC59" s="552"/>
      <c r="FD59" s="552"/>
      <c r="FE59" s="552"/>
      <c r="FF59" s="552"/>
      <c r="FG59" s="552"/>
      <c r="FH59" s="552"/>
      <c r="FI59" s="552"/>
      <c r="FJ59" s="552"/>
      <c r="FK59" s="552"/>
      <c r="FL59" s="552"/>
      <c r="FM59" s="552"/>
      <c r="FN59" s="552"/>
      <c r="FO59" s="552"/>
      <c r="FP59" s="552"/>
      <c r="FQ59" s="552"/>
      <c r="FR59" s="552"/>
      <c r="FS59" s="552"/>
      <c r="FT59" s="552"/>
      <c r="FU59" s="552"/>
      <c r="FV59" s="552"/>
      <c r="FW59" s="552"/>
      <c r="FX59" s="552"/>
      <c r="FY59" s="552"/>
      <c r="FZ59" s="552"/>
      <c r="GA59" s="552"/>
      <c r="GB59" s="552"/>
      <c r="GC59" s="552"/>
      <c r="GD59" s="552"/>
      <c r="GE59" s="552"/>
      <c r="GF59" s="552"/>
      <c r="GG59" s="552"/>
      <c r="GH59" s="552"/>
      <c r="GI59" s="552"/>
      <c r="GJ59" s="552"/>
      <c r="GK59" s="552"/>
      <c r="GL59" s="552"/>
      <c r="GM59" s="552"/>
      <c r="GN59" s="552"/>
      <c r="GO59" s="552"/>
      <c r="GP59" s="552"/>
      <c r="GQ59" s="552"/>
      <c r="GR59" s="552"/>
      <c r="GS59" s="552"/>
      <c r="GT59" s="552"/>
      <c r="GU59" s="552"/>
      <c r="GV59" s="552"/>
      <c r="GW59" s="552"/>
      <c r="GX59" s="552"/>
      <c r="GY59" s="552"/>
      <c r="GZ59" s="552"/>
      <c r="HA59" s="552"/>
      <c r="HB59" s="552"/>
      <c r="HC59" s="552"/>
      <c r="HD59" s="552"/>
      <c r="HE59" s="552"/>
      <c r="HF59" s="552"/>
      <c r="HG59" s="552"/>
      <c r="HH59" s="552"/>
      <c r="HI59" s="552"/>
      <c r="HJ59" s="552"/>
      <c r="HK59" s="552"/>
      <c r="HL59" s="552"/>
      <c r="HM59" s="552"/>
      <c r="HN59" s="552"/>
      <c r="HO59" s="552"/>
      <c r="HP59" s="552"/>
      <c r="HQ59" s="552"/>
      <c r="HR59" s="552"/>
      <c r="HS59" s="552"/>
      <c r="HT59" s="552"/>
      <c r="HU59" s="552"/>
      <c r="HV59" s="552"/>
      <c r="HW59" s="552"/>
      <c r="HX59" s="552"/>
      <c r="HY59" s="552"/>
      <c r="HZ59" s="552"/>
      <c r="IA59" s="552"/>
      <c r="IB59" s="552"/>
      <c r="IC59" s="552"/>
      <c r="ID59" s="552"/>
      <c r="IE59" s="552"/>
      <c r="IF59" s="552"/>
      <c r="IG59" s="552"/>
      <c r="IH59" s="552"/>
      <c r="II59" s="552"/>
      <c r="IJ59" s="552"/>
      <c r="IK59" s="552"/>
      <c r="IL59" s="552"/>
      <c r="IM59" s="552"/>
      <c r="IN59" s="552"/>
      <c r="IO59" s="552"/>
      <c r="IP59" s="552"/>
      <c r="IQ59" s="552"/>
      <c r="IR59" s="552"/>
      <c r="IS59" s="552"/>
      <c r="IT59" s="552"/>
      <c r="IU59" s="552"/>
      <c r="IV59" s="552"/>
    </row>
    <row r="60" spans="1:256" s="600" customFormat="1" ht="18" customHeight="1">
      <c r="A60" s="588">
        <v>52</v>
      </c>
      <c r="B60" s="645"/>
      <c r="C60" s="635"/>
      <c r="D60" s="617" t="s">
        <v>765</v>
      </c>
      <c r="E60" s="637"/>
      <c r="F60" s="637"/>
      <c r="G60" s="646"/>
      <c r="H60" s="639"/>
      <c r="I60" s="647">
        <v>400</v>
      </c>
      <c r="J60" s="647">
        <v>52</v>
      </c>
      <c r="K60" s="647">
        <v>11221</v>
      </c>
      <c r="L60" s="647"/>
      <c r="M60" s="647">
        <v>100</v>
      </c>
      <c r="N60" s="648"/>
      <c r="O60" s="569">
        <f>SUM(I60:N60)</f>
        <v>11773</v>
      </c>
      <c r="P60" s="654"/>
      <c r="Q60" s="552"/>
      <c r="R60" s="552"/>
      <c r="S60" s="552"/>
      <c r="T60" s="552"/>
      <c r="U60" s="552"/>
      <c r="V60" s="552"/>
      <c r="W60" s="552"/>
      <c r="X60" s="552"/>
      <c r="Y60" s="552"/>
      <c r="Z60" s="552"/>
      <c r="AA60" s="552"/>
      <c r="AB60" s="552"/>
      <c r="AC60" s="552"/>
      <c r="AD60" s="552"/>
      <c r="AE60" s="552"/>
      <c r="AF60" s="552"/>
      <c r="AG60" s="552"/>
      <c r="AH60" s="552"/>
      <c r="AI60" s="552"/>
      <c r="AJ60" s="552"/>
      <c r="AK60" s="552"/>
      <c r="AL60" s="552"/>
      <c r="AM60" s="552"/>
      <c r="AN60" s="552"/>
      <c r="AO60" s="552"/>
      <c r="AP60" s="552"/>
      <c r="AQ60" s="552"/>
      <c r="AR60" s="552"/>
      <c r="AS60" s="552"/>
      <c r="AT60" s="552"/>
      <c r="AU60" s="552"/>
      <c r="AV60" s="552"/>
      <c r="AW60" s="552"/>
      <c r="AX60" s="552"/>
      <c r="AY60" s="552"/>
      <c r="AZ60" s="552"/>
      <c r="BA60" s="552"/>
      <c r="BB60" s="552"/>
      <c r="BC60" s="552"/>
      <c r="BD60" s="552"/>
      <c r="BE60" s="552"/>
      <c r="BF60" s="552"/>
      <c r="BG60" s="552"/>
      <c r="BH60" s="552"/>
      <c r="BI60" s="552"/>
      <c r="BJ60" s="552"/>
      <c r="BK60" s="552"/>
      <c r="BL60" s="552"/>
      <c r="BM60" s="552"/>
      <c r="BN60" s="552"/>
      <c r="BO60" s="552"/>
      <c r="BP60" s="552"/>
      <c r="BQ60" s="552"/>
      <c r="BR60" s="552"/>
      <c r="BS60" s="552"/>
      <c r="BT60" s="552"/>
      <c r="BU60" s="552"/>
      <c r="BV60" s="552"/>
      <c r="BW60" s="552"/>
      <c r="BX60" s="552"/>
      <c r="BY60" s="552"/>
      <c r="BZ60" s="552"/>
      <c r="CA60" s="552"/>
      <c r="CB60" s="552"/>
      <c r="CC60" s="552"/>
      <c r="CD60" s="552"/>
      <c r="CE60" s="552"/>
      <c r="CF60" s="552"/>
      <c r="CG60" s="552"/>
      <c r="CH60" s="552"/>
      <c r="CI60" s="552"/>
      <c r="CJ60" s="552"/>
      <c r="CK60" s="552"/>
      <c r="CL60" s="552"/>
      <c r="CM60" s="552"/>
      <c r="CN60" s="552"/>
      <c r="CO60" s="552"/>
      <c r="CP60" s="552"/>
      <c r="CQ60" s="552"/>
      <c r="CR60" s="552"/>
      <c r="CS60" s="552"/>
      <c r="CT60" s="552"/>
      <c r="CU60" s="552"/>
      <c r="CV60" s="552"/>
      <c r="CW60" s="552"/>
      <c r="CX60" s="552"/>
      <c r="CY60" s="552"/>
      <c r="CZ60" s="552"/>
      <c r="DA60" s="552"/>
      <c r="DB60" s="552"/>
      <c r="DC60" s="552"/>
      <c r="DD60" s="552"/>
      <c r="DE60" s="552"/>
      <c r="DF60" s="552"/>
      <c r="DG60" s="552"/>
      <c r="DH60" s="552"/>
      <c r="DI60" s="552"/>
      <c r="DJ60" s="552"/>
      <c r="DK60" s="552"/>
      <c r="DL60" s="552"/>
      <c r="DM60" s="552"/>
      <c r="DN60" s="552"/>
      <c r="DO60" s="552"/>
      <c r="DP60" s="552"/>
      <c r="DQ60" s="552"/>
      <c r="DR60" s="552"/>
      <c r="DS60" s="552"/>
      <c r="DT60" s="552"/>
      <c r="DU60" s="552"/>
      <c r="DV60" s="552"/>
      <c r="DW60" s="552"/>
      <c r="DX60" s="552"/>
      <c r="DY60" s="552"/>
      <c r="DZ60" s="552"/>
      <c r="EA60" s="552"/>
      <c r="EB60" s="552"/>
      <c r="EC60" s="552"/>
      <c r="ED60" s="552"/>
      <c r="EE60" s="552"/>
      <c r="EF60" s="552"/>
      <c r="EG60" s="552"/>
      <c r="EH60" s="552"/>
      <c r="EI60" s="552"/>
      <c r="EJ60" s="552"/>
      <c r="EK60" s="552"/>
      <c r="EL60" s="552"/>
      <c r="EM60" s="552"/>
      <c r="EN60" s="552"/>
      <c r="EO60" s="552"/>
      <c r="EP60" s="552"/>
      <c r="EQ60" s="552"/>
      <c r="ER60" s="552"/>
      <c r="ES60" s="552"/>
      <c r="ET60" s="552"/>
      <c r="EU60" s="552"/>
      <c r="EV60" s="552"/>
      <c r="EW60" s="552"/>
      <c r="EX60" s="552"/>
      <c r="EY60" s="552"/>
      <c r="EZ60" s="552"/>
      <c r="FA60" s="552"/>
      <c r="FB60" s="552"/>
      <c r="FC60" s="552"/>
      <c r="FD60" s="552"/>
      <c r="FE60" s="552"/>
      <c r="FF60" s="552"/>
      <c r="FG60" s="552"/>
      <c r="FH60" s="552"/>
      <c r="FI60" s="552"/>
      <c r="FJ60" s="552"/>
      <c r="FK60" s="552"/>
      <c r="FL60" s="552"/>
      <c r="FM60" s="552"/>
      <c r="FN60" s="552"/>
      <c r="FO60" s="552"/>
      <c r="FP60" s="552"/>
      <c r="FQ60" s="552"/>
      <c r="FR60" s="552"/>
      <c r="FS60" s="552"/>
      <c r="FT60" s="552"/>
      <c r="FU60" s="552"/>
      <c r="FV60" s="552"/>
      <c r="FW60" s="552"/>
      <c r="FX60" s="552"/>
      <c r="FY60" s="552"/>
      <c r="FZ60" s="552"/>
      <c r="GA60" s="552"/>
      <c r="GB60" s="552"/>
      <c r="GC60" s="552"/>
      <c r="GD60" s="552"/>
      <c r="GE60" s="552"/>
      <c r="GF60" s="552"/>
      <c r="GG60" s="552"/>
      <c r="GH60" s="552"/>
      <c r="GI60" s="552"/>
      <c r="GJ60" s="552"/>
      <c r="GK60" s="552"/>
      <c r="GL60" s="552"/>
      <c r="GM60" s="552"/>
      <c r="GN60" s="552"/>
      <c r="GO60" s="552"/>
      <c r="GP60" s="552"/>
      <c r="GQ60" s="552"/>
      <c r="GR60" s="552"/>
      <c r="GS60" s="552"/>
      <c r="GT60" s="552"/>
      <c r="GU60" s="552"/>
      <c r="GV60" s="552"/>
      <c r="GW60" s="552"/>
      <c r="GX60" s="552"/>
      <c r="GY60" s="552"/>
      <c r="GZ60" s="552"/>
      <c r="HA60" s="552"/>
      <c r="HB60" s="552"/>
      <c r="HC60" s="552"/>
      <c r="HD60" s="552"/>
      <c r="HE60" s="552"/>
      <c r="HF60" s="552"/>
      <c r="HG60" s="552"/>
      <c r="HH60" s="552"/>
      <c r="HI60" s="552"/>
      <c r="HJ60" s="552"/>
      <c r="HK60" s="552"/>
      <c r="HL60" s="552"/>
      <c r="HM60" s="552"/>
      <c r="HN60" s="552"/>
      <c r="HO60" s="552"/>
      <c r="HP60" s="552"/>
      <c r="HQ60" s="552"/>
      <c r="HR60" s="552"/>
      <c r="HS60" s="552"/>
      <c r="HT60" s="552"/>
      <c r="HU60" s="552"/>
      <c r="HV60" s="552"/>
      <c r="HW60" s="552"/>
      <c r="HX60" s="552"/>
      <c r="HY60" s="552"/>
      <c r="HZ60" s="552"/>
      <c r="IA60" s="552"/>
      <c r="IB60" s="552"/>
      <c r="IC60" s="552"/>
      <c r="ID60" s="552"/>
      <c r="IE60" s="552"/>
      <c r="IF60" s="552"/>
      <c r="IG60" s="552"/>
      <c r="IH60" s="552"/>
      <c r="II60" s="552"/>
      <c r="IJ60" s="552"/>
      <c r="IK60" s="552"/>
      <c r="IL60" s="552"/>
      <c r="IM60" s="552"/>
      <c r="IN60" s="552"/>
      <c r="IO60" s="552"/>
      <c r="IP60" s="552"/>
      <c r="IQ60" s="552"/>
      <c r="IR60" s="552"/>
      <c r="IS60" s="552"/>
      <c r="IT60" s="552"/>
      <c r="IU60" s="552"/>
      <c r="IV60" s="552"/>
    </row>
    <row r="61" spans="1:256" s="600" customFormat="1" ht="18" customHeight="1">
      <c r="A61" s="588">
        <v>53</v>
      </c>
      <c r="B61" s="645"/>
      <c r="C61" s="635"/>
      <c r="D61" s="620" t="s">
        <v>1021</v>
      </c>
      <c r="E61" s="637"/>
      <c r="F61" s="637"/>
      <c r="G61" s="646"/>
      <c r="H61" s="639"/>
      <c r="I61" s="649">
        <v>142</v>
      </c>
      <c r="J61" s="649">
        <v>31</v>
      </c>
      <c r="K61" s="649">
        <v>1785</v>
      </c>
      <c r="L61" s="640"/>
      <c r="M61" s="649"/>
      <c r="N61" s="650"/>
      <c r="O61" s="562">
        <f>SUM(I61:N61)</f>
        <v>1958</v>
      </c>
      <c r="P61" s="654"/>
      <c r="Q61" s="552"/>
      <c r="R61" s="552"/>
      <c r="S61" s="552"/>
      <c r="T61" s="552"/>
      <c r="U61" s="552"/>
      <c r="V61" s="552"/>
      <c r="W61" s="552"/>
      <c r="X61" s="552"/>
      <c r="Y61" s="552"/>
      <c r="Z61" s="552"/>
      <c r="AA61" s="552"/>
      <c r="AB61" s="552"/>
      <c r="AC61" s="552"/>
      <c r="AD61" s="552"/>
      <c r="AE61" s="552"/>
      <c r="AF61" s="552"/>
      <c r="AG61" s="552"/>
      <c r="AH61" s="552"/>
      <c r="AI61" s="552"/>
      <c r="AJ61" s="552"/>
      <c r="AK61" s="552"/>
      <c r="AL61" s="552"/>
      <c r="AM61" s="552"/>
      <c r="AN61" s="552"/>
      <c r="AO61" s="552"/>
      <c r="AP61" s="552"/>
      <c r="AQ61" s="552"/>
      <c r="AR61" s="552"/>
      <c r="AS61" s="552"/>
      <c r="AT61" s="552"/>
      <c r="AU61" s="552"/>
      <c r="AV61" s="552"/>
      <c r="AW61" s="552"/>
      <c r="AX61" s="552"/>
      <c r="AY61" s="552"/>
      <c r="AZ61" s="552"/>
      <c r="BA61" s="552"/>
      <c r="BB61" s="552"/>
      <c r="BC61" s="552"/>
      <c r="BD61" s="552"/>
      <c r="BE61" s="552"/>
      <c r="BF61" s="552"/>
      <c r="BG61" s="552"/>
      <c r="BH61" s="552"/>
      <c r="BI61" s="552"/>
      <c r="BJ61" s="552"/>
      <c r="BK61" s="552"/>
      <c r="BL61" s="552"/>
      <c r="BM61" s="552"/>
      <c r="BN61" s="552"/>
      <c r="BO61" s="552"/>
      <c r="BP61" s="552"/>
      <c r="BQ61" s="552"/>
      <c r="BR61" s="552"/>
      <c r="BS61" s="552"/>
      <c r="BT61" s="552"/>
      <c r="BU61" s="552"/>
      <c r="BV61" s="552"/>
      <c r="BW61" s="552"/>
      <c r="BX61" s="552"/>
      <c r="BY61" s="552"/>
      <c r="BZ61" s="552"/>
      <c r="CA61" s="552"/>
      <c r="CB61" s="552"/>
      <c r="CC61" s="552"/>
      <c r="CD61" s="552"/>
      <c r="CE61" s="552"/>
      <c r="CF61" s="552"/>
      <c r="CG61" s="552"/>
      <c r="CH61" s="552"/>
      <c r="CI61" s="552"/>
      <c r="CJ61" s="552"/>
      <c r="CK61" s="552"/>
      <c r="CL61" s="552"/>
      <c r="CM61" s="552"/>
      <c r="CN61" s="552"/>
      <c r="CO61" s="552"/>
      <c r="CP61" s="552"/>
      <c r="CQ61" s="552"/>
      <c r="CR61" s="552"/>
      <c r="CS61" s="552"/>
      <c r="CT61" s="552"/>
      <c r="CU61" s="552"/>
      <c r="CV61" s="552"/>
      <c r="CW61" s="552"/>
      <c r="CX61" s="552"/>
      <c r="CY61" s="552"/>
      <c r="CZ61" s="552"/>
      <c r="DA61" s="552"/>
      <c r="DB61" s="552"/>
      <c r="DC61" s="552"/>
      <c r="DD61" s="552"/>
      <c r="DE61" s="552"/>
      <c r="DF61" s="552"/>
      <c r="DG61" s="552"/>
      <c r="DH61" s="552"/>
      <c r="DI61" s="552"/>
      <c r="DJ61" s="552"/>
      <c r="DK61" s="552"/>
      <c r="DL61" s="552"/>
      <c r="DM61" s="552"/>
      <c r="DN61" s="552"/>
      <c r="DO61" s="552"/>
      <c r="DP61" s="552"/>
      <c r="DQ61" s="552"/>
      <c r="DR61" s="552"/>
      <c r="DS61" s="552"/>
      <c r="DT61" s="552"/>
      <c r="DU61" s="552"/>
      <c r="DV61" s="552"/>
      <c r="DW61" s="552"/>
      <c r="DX61" s="552"/>
      <c r="DY61" s="552"/>
      <c r="DZ61" s="552"/>
      <c r="EA61" s="552"/>
      <c r="EB61" s="552"/>
      <c r="EC61" s="552"/>
      <c r="ED61" s="552"/>
      <c r="EE61" s="552"/>
      <c r="EF61" s="552"/>
      <c r="EG61" s="552"/>
      <c r="EH61" s="552"/>
      <c r="EI61" s="552"/>
      <c r="EJ61" s="552"/>
      <c r="EK61" s="552"/>
      <c r="EL61" s="552"/>
      <c r="EM61" s="552"/>
      <c r="EN61" s="552"/>
      <c r="EO61" s="552"/>
      <c r="EP61" s="552"/>
      <c r="EQ61" s="552"/>
      <c r="ER61" s="552"/>
      <c r="ES61" s="552"/>
      <c r="ET61" s="552"/>
      <c r="EU61" s="552"/>
      <c r="EV61" s="552"/>
      <c r="EW61" s="552"/>
      <c r="EX61" s="552"/>
      <c r="EY61" s="552"/>
      <c r="EZ61" s="552"/>
      <c r="FA61" s="552"/>
      <c r="FB61" s="552"/>
      <c r="FC61" s="552"/>
      <c r="FD61" s="552"/>
      <c r="FE61" s="552"/>
      <c r="FF61" s="552"/>
      <c r="FG61" s="552"/>
      <c r="FH61" s="552"/>
      <c r="FI61" s="552"/>
      <c r="FJ61" s="552"/>
      <c r="FK61" s="552"/>
      <c r="FL61" s="552"/>
      <c r="FM61" s="552"/>
      <c r="FN61" s="552"/>
      <c r="FO61" s="552"/>
      <c r="FP61" s="552"/>
      <c r="FQ61" s="552"/>
      <c r="FR61" s="552"/>
      <c r="FS61" s="552"/>
      <c r="FT61" s="552"/>
      <c r="FU61" s="552"/>
      <c r="FV61" s="552"/>
      <c r="FW61" s="552"/>
      <c r="FX61" s="552"/>
      <c r="FY61" s="552"/>
      <c r="FZ61" s="552"/>
      <c r="GA61" s="552"/>
      <c r="GB61" s="552"/>
      <c r="GC61" s="552"/>
      <c r="GD61" s="552"/>
      <c r="GE61" s="552"/>
      <c r="GF61" s="552"/>
      <c r="GG61" s="552"/>
      <c r="GH61" s="552"/>
      <c r="GI61" s="552"/>
      <c r="GJ61" s="552"/>
      <c r="GK61" s="552"/>
      <c r="GL61" s="552"/>
      <c r="GM61" s="552"/>
      <c r="GN61" s="552"/>
      <c r="GO61" s="552"/>
      <c r="GP61" s="552"/>
      <c r="GQ61" s="552"/>
      <c r="GR61" s="552"/>
      <c r="GS61" s="552"/>
      <c r="GT61" s="552"/>
      <c r="GU61" s="552"/>
      <c r="GV61" s="552"/>
      <c r="GW61" s="552"/>
      <c r="GX61" s="552"/>
      <c r="GY61" s="552"/>
      <c r="GZ61" s="552"/>
      <c r="HA61" s="552"/>
      <c r="HB61" s="552"/>
      <c r="HC61" s="552"/>
      <c r="HD61" s="552"/>
      <c r="HE61" s="552"/>
      <c r="HF61" s="552"/>
      <c r="HG61" s="552"/>
      <c r="HH61" s="552"/>
      <c r="HI61" s="552"/>
      <c r="HJ61" s="552"/>
      <c r="HK61" s="552"/>
      <c r="HL61" s="552"/>
      <c r="HM61" s="552"/>
      <c r="HN61" s="552"/>
      <c r="HO61" s="552"/>
      <c r="HP61" s="552"/>
      <c r="HQ61" s="552"/>
      <c r="HR61" s="552"/>
      <c r="HS61" s="552"/>
      <c r="HT61" s="552"/>
      <c r="HU61" s="552"/>
      <c r="HV61" s="552"/>
      <c r="HW61" s="552"/>
      <c r="HX61" s="552"/>
      <c r="HY61" s="552"/>
      <c r="HZ61" s="552"/>
      <c r="IA61" s="552"/>
      <c r="IB61" s="552"/>
      <c r="IC61" s="552"/>
      <c r="ID61" s="552"/>
      <c r="IE61" s="552"/>
      <c r="IF61" s="552"/>
      <c r="IG61" s="552"/>
      <c r="IH61" s="552"/>
      <c r="II61" s="552"/>
      <c r="IJ61" s="552"/>
      <c r="IK61" s="552"/>
      <c r="IL61" s="552"/>
      <c r="IM61" s="552"/>
      <c r="IN61" s="552"/>
      <c r="IO61" s="552"/>
      <c r="IP61" s="552"/>
      <c r="IQ61" s="552"/>
      <c r="IR61" s="552"/>
      <c r="IS61" s="552"/>
      <c r="IT61" s="552"/>
      <c r="IU61" s="552"/>
      <c r="IV61" s="552"/>
    </row>
    <row r="62" spans="1:256" s="600" customFormat="1" ht="22.5" customHeight="1">
      <c r="A62" s="588">
        <v>54</v>
      </c>
      <c r="B62" s="645"/>
      <c r="C62" s="566">
        <v>19</v>
      </c>
      <c r="D62" s="564" t="s">
        <v>252</v>
      </c>
      <c r="E62" s="603">
        <f>F62+G62+P63+9270+O64</f>
        <v>81765</v>
      </c>
      <c r="F62" s="637"/>
      <c r="G62" s="646"/>
      <c r="H62" s="652" t="s">
        <v>231</v>
      </c>
      <c r="I62" s="640"/>
      <c r="J62" s="640"/>
      <c r="K62" s="640"/>
      <c r="L62" s="640"/>
      <c r="M62" s="640"/>
      <c r="N62" s="650"/>
      <c r="O62" s="643"/>
      <c r="P62" s="644"/>
      <c r="Q62" s="552"/>
      <c r="R62" s="552"/>
      <c r="S62" s="552"/>
      <c r="T62" s="552"/>
      <c r="U62" s="552"/>
      <c r="V62" s="552"/>
      <c r="W62" s="552"/>
      <c r="X62" s="552"/>
      <c r="Y62" s="552"/>
      <c r="Z62" s="552"/>
      <c r="AA62" s="552"/>
      <c r="AB62" s="552"/>
      <c r="AC62" s="552"/>
      <c r="AD62" s="552"/>
      <c r="AE62" s="552"/>
      <c r="AF62" s="552"/>
      <c r="AG62" s="552"/>
      <c r="AH62" s="552"/>
      <c r="AI62" s="552"/>
      <c r="AJ62" s="552"/>
      <c r="AK62" s="552"/>
      <c r="AL62" s="552"/>
      <c r="AM62" s="552"/>
      <c r="AN62" s="552"/>
      <c r="AO62" s="552"/>
      <c r="AP62" s="552"/>
      <c r="AQ62" s="552"/>
      <c r="AR62" s="552"/>
      <c r="AS62" s="552"/>
      <c r="AT62" s="552"/>
      <c r="AU62" s="552"/>
      <c r="AV62" s="552"/>
      <c r="AW62" s="552"/>
      <c r="AX62" s="552"/>
      <c r="AY62" s="552"/>
      <c r="AZ62" s="552"/>
      <c r="BA62" s="552"/>
      <c r="BB62" s="552"/>
      <c r="BC62" s="552"/>
      <c r="BD62" s="552"/>
      <c r="BE62" s="552"/>
      <c r="BF62" s="552"/>
      <c r="BG62" s="552"/>
      <c r="BH62" s="552"/>
      <c r="BI62" s="552"/>
      <c r="BJ62" s="552"/>
      <c r="BK62" s="552"/>
      <c r="BL62" s="552"/>
      <c r="BM62" s="552"/>
      <c r="BN62" s="552"/>
      <c r="BO62" s="552"/>
      <c r="BP62" s="552"/>
      <c r="BQ62" s="552"/>
      <c r="BR62" s="552"/>
      <c r="BS62" s="552"/>
      <c r="BT62" s="552"/>
      <c r="BU62" s="552"/>
      <c r="BV62" s="552"/>
      <c r="BW62" s="552"/>
      <c r="BX62" s="552"/>
      <c r="BY62" s="552"/>
      <c r="BZ62" s="552"/>
      <c r="CA62" s="552"/>
      <c r="CB62" s="552"/>
      <c r="CC62" s="552"/>
      <c r="CD62" s="552"/>
      <c r="CE62" s="552"/>
      <c r="CF62" s="552"/>
      <c r="CG62" s="552"/>
      <c r="CH62" s="552"/>
      <c r="CI62" s="552"/>
      <c r="CJ62" s="552"/>
      <c r="CK62" s="552"/>
      <c r="CL62" s="552"/>
      <c r="CM62" s="552"/>
      <c r="CN62" s="552"/>
      <c r="CO62" s="552"/>
      <c r="CP62" s="552"/>
      <c r="CQ62" s="552"/>
      <c r="CR62" s="552"/>
      <c r="CS62" s="552"/>
      <c r="CT62" s="552"/>
      <c r="CU62" s="552"/>
      <c r="CV62" s="552"/>
      <c r="CW62" s="552"/>
      <c r="CX62" s="552"/>
      <c r="CY62" s="552"/>
      <c r="CZ62" s="552"/>
      <c r="DA62" s="552"/>
      <c r="DB62" s="552"/>
      <c r="DC62" s="552"/>
      <c r="DD62" s="552"/>
      <c r="DE62" s="552"/>
      <c r="DF62" s="552"/>
      <c r="DG62" s="552"/>
      <c r="DH62" s="552"/>
      <c r="DI62" s="552"/>
      <c r="DJ62" s="552"/>
      <c r="DK62" s="552"/>
      <c r="DL62" s="552"/>
      <c r="DM62" s="552"/>
      <c r="DN62" s="552"/>
      <c r="DO62" s="552"/>
      <c r="DP62" s="552"/>
      <c r="DQ62" s="552"/>
      <c r="DR62" s="552"/>
      <c r="DS62" s="552"/>
      <c r="DT62" s="552"/>
      <c r="DU62" s="552"/>
      <c r="DV62" s="552"/>
      <c r="DW62" s="552"/>
      <c r="DX62" s="552"/>
      <c r="DY62" s="552"/>
      <c r="DZ62" s="552"/>
      <c r="EA62" s="552"/>
      <c r="EB62" s="552"/>
      <c r="EC62" s="552"/>
      <c r="ED62" s="552"/>
      <c r="EE62" s="552"/>
      <c r="EF62" s="552"/>
      <c r="EG62" s="552"/>
      <c r="EH62" s="552"/>
      <c r="EI62" s="552"/>
      <c r="EJ62" s="552"/>
      <c r="EK62" s="552"/>
      <c r="EL62" s="552"/>
      <c r="EM62" s="552"/>
      <c r="EN62" s="552"/>
      <c r="EO62" s="552"/>
      <c r="EP62" s="552"/>
      <c r="EQ62" s="552"/>
      <c r="ER62" s="552"/>
      <c r="ES62" s="552"/>
      <c r="ET62" s="552"/>
      <c r="EU62" s="552"/>
      <c r="EV62" s="552"/>
      <c r="EW62" s="552"/>
      <c r="EX62" s="552"/>
      <c r="EY62" s="552"/>
      <c r="EZ62" s="552"/>
      <c r="FA62" s="552"/>
      <c r="FB62" s="552"/>
      <c r="FC62" s="552"/>
      <c r="FD62" s="552"/>
      <c r="FE62" s="552"/>
      <c r="FF62" s="552"/>
      <c r="FG62" s="552"/>
      <c r="FH62" s="552"/>
      <c r="FI62" s="552"/>
      <c r="FJ62" s="552"/>
      <c r="FK62" s="552"/>
      <c r="FL62" s="552"/>
      <c r="FM62" s="552"/>
      <c r="FN62" s="552"/>
      <c r="FO62" s="552"/>
      <c r="FP62" s="552"/>
      <c r="FQ62" s="552"/>
      <c r="FR62" s="552"/>
      <c r="FS62" s="552"/>
      <c r="FT62" s="552"/>
      <c r="FU62" s="552"/>
      <c r="FV62" s="552"/>
      <c r="FW62" s="552"/>
      <c r="FX62" s="552"/>
      <c r="FY62" s="552"/>
      <c r="FZ62" s="552"/>
      <c r="GA62" s="552"/>
      <c r="GB62" s="552"/>
      <c r="GC62" s="552"/>
      <c r="GD62" s="552"/>
      <c r="GE62" s="552"/>
      <c r="GF62" s="552"/>
      <c r="GG62" s="552"/>
      <c r="GH62" s="552"/>
      <c r="GI62" s="552"/>
      <c r="GJ62" s="552"/>
      <c r="GK62" s="552"/>
      <c r="GL62" s="552"/>
      <c r="GM62" s="552"/>
      <c r="GN62" s="552"/>
      <c r="GO62" s="552"/>
      <c r="GP62" s="552"/>
      <c r="GQ62" s="552"/>
      <c r="GR62" s="552"/>
      <c r="GS62" s="552"/>
      <c r="GT62" s="552"/>
      <c r="GU62" s="552"/>
      <c r="GV62" s="552"/>
      <c r="GW62" s="552"/>
      <c r="GX62" s="552"/>
      <c r="GY62" s="552"/>
      <c r="GZ62" s="552"/>
      <c r="HA62" s="552"/>
      <c r="HB62" s="552"/>
      <c r="HC62" s="552"/>
      <c r="HD62" s="552"/>
      <c r="HE62" s="552"/>
      <c r="HF62" s="552"/>
      <c r="HG62" s="552"/>
      <c r="HH62" s="552"/>
      <c r="HI62" s="552"/>
      <c r="HJ62" s="552"/>
      <c r="HK62" s="552"/>
      <c r="HL62" s="552"/>
      <c r="HM62" s="552"/>
      <c r="HN62" s="552"/>
      <c r="HO62" s="552"/>
      <c r="HP62" s="552"/>
      <c r="HQ62" s="552"/>
      <c r="HR62" s="552"/>
      <c r="HS62" s="552"/>
      <c r="HT62" s="552"/>
      <c r="HU62" s="552"/>
      <c r="HV62" s="552"/>
      <c r="HW62" s="552"/>
      <c r="HX62" s="552"/>
      <c r="HY62" s="552"/>
      <c r="HZ62" s="552"/>
      <c r="IA62" s="552"/>
      <c r="IB62" s="552"/>
      <c r="IC62" s="552"/>
      <c r="ID62" s="552"/>
      <c r="IE62" s="552"/>
      <c r="IF62" s="552"/>
      <c r="IG62" s="552"/>
      <c r="IH62" s="552"/>
      <c r="II62" s="552"/>
      <c r="IJ62" s="552"/>
      <c r="IK62" s="552"/>
      <c r="IL62" s="552"/>
      <c r="IM62" s="552"/>
      <c r="IN62" s="552"/>
      <c r="IO62" s="552"/>
      <c r="IP62" s="552"/>
      <c r="IQ62" s="552"/>
      <c r="IR62" s="552"/>
      <c r="IS62" s="552"/>
      <c r="IT62" s="552"/>
      <c r="IU62" s="552"/>
      <c r="IV62" s="552"/>
    </row>
    <row r="63" spans="1:256" s="600" customFormat="1" ht="18" customHeight="1">
      <c r="A63" s="588">
        <v>55</v>
      </c>
      <c r="B63" s="645"/>
      <c r="C63" s="635"/>
      <c r="D63" s="636" t="s">
        <v>198</v>
      </c>
      <c r="E63" s="637"/>
      <c r="F63" s="637"/>
      <c r="G63" s="646"/>
      <c r="H63" s="639"/>
      <c r="I63" s="640"/>
      <c r="J63" s="640"/>
      <c r="K63" s="640">
        <v>18900</v>
      </c>
      <c r="L63" s="640"/>
      <c r="M63" s="640"/>
      <c r="N63" s="650"/>
      <c r="O63" s="643">
        <f>SUM(I63:N63)</f>
        <v>18900</v>
      </c>
      <c r="P63" s="653">
        <f>56700+4624</f>
        <v>61324</v>
      </c>
      <c r="Q63" s="552"/>
      <c r="R63" s="552"/>
      <c r="S63" s="552"/>
      <c r="T63" s="552"/>
      <c r="U63" s="552"/>
      <c r="V63" s="552"/>
      <c r="W63" s="552"/>
      <c r="X63" s="552"/>
      <c r="Y63" s="552"/>
      <c r="Z63" s="552"/>
      <c r="AA63" s="552"/>
      <c r="AB63" s="552"/>
      <c r="AC63" s="552"/>
      <c r="AD63" s="552"/>
      <c r="AE63" s="552"/>
      <c r="AF63" s="552"/>
      <c r="AG63" s="552"/>
      <c r="AH63" s="552"/>
      <c r="AI63" s="552"/>
      <c r="AJ63" s="552"/>
      <c r="AK63" s="552"/>
      <c r="AL63" s="552"/>
      <c r="AM63" s="552"/>
      <c r="AN63" s="552"/>
      <c r="AO63" s="552"/>
      <c r="AP63" s="552"/>
      <c r="AQ63" s="552"/>
      <c r="AR63" s="552"/>
      <c r="AS63" s="552"/>
      <c r="AT63" s="552"/>
      <c r="AU63" s="552"/>
      <c r="AV63" s="552"/>
      <c r="AW63" s="552"/>
      <c r="AX63" s="552"/>
      <c r="AY63" s="552"/>
      <c r="AZ63" s="552"/>
      <c r="BA63" s="552"/>
      <c r="BB63" s="552"/>
      <c r="BC63" s="552"/>
      <c r="BD63" s="552"/>
      <c r="BE63" s="552"/>
      <c r="BF63" s="552"/>
      <c r="BG63" s="552"/>
      <c r="BH63" s="552"/>
      <c r="BI63" s="552"/>
      <c r="BJ63" s="552"/>
      <c r="BK63" s="552"/>
      <c r="BL63" s="552"/>
      <c r="BM63" s="552"/>
      <c r="BN63" s="552"/>
      <c r="BO63" s="552"/>
      <c r="BP63" s="552"/>
      <c r="BQ63" s="552"/>
      <c r="BR63" s="552"/>
      <c r="BS63" s="552"/>
      <c r="BT63" s="552"/>
      <c r="BU63" s="552"/>
      <c r="BV63" s="552"/>
      <c r="BW63" s="552"/>
      <c r="BX63" s="552"/>
      <c r="BY63" s="552"/>
      <c r="BZ63" s="552"/>
      <c r="CA63" s="552"/>
      <c r="CB63" s="552"/>
      <c r="CC63" s="552"/>
      <c r="CD63" s="552"/>
      <c r="CE63" s="552"/>
      <c r="CF63" s="552"/>
      <c r="CG63" s="552"/>
      <c r="CH63" s="552"/>
      <c r="CI63" s="552"/>
      <c r="CJ63" s="552"/>
      <c r="CK63" s="552"/>
      <c r="CL63" s="552"/>
      <c r="CM63" s="552"/>
      <c r="CN63" s="552"/>
      <c r="CO63" s="552"/>
      <c r="CP63" s="552"/>
      <c r="CQ63" s="552"/>
      <c r="CR63" s="552"/>
      <c r="CS63" s="552"/>
      <c r="CT63" s="552"/>
      <c r="CU63" s="552"/>
      <c r="CV63" s="552"/>
      <c r="CW63" s="552"/>
      <c r="CX63" s="552"/>
      <c r="CY63" s="552"/>
      <c r="CZ63" s="552"/>
      <c r="DA63" s="552"/>
      <c r="DB63" s="552"/>
      <c r="DC63" s="552"/>
      <c r="DD63" s="552"/>
      <c r="DE63" s="552"/>
      <c r="DF63" s="552"/>
      <c r="DG63" s="552"/>
      <c r="DH63" s="552"/>
      <c r="DI63" s="552"/>
      <c r="DJ63" s="552"/>
      <c r="DK63" s="552"/>
      <c r="DL63" s="552"/>
      <c r="DM63" s="552"/>
      <c r="DN63" s="552"/>
      <c r="DO63" s="552"/>
      <c r="DP63" s="552"/>
      <c r="DQ63" s="552"/>
      <c r="DR63" s="552"/>
      <c r="DS63" s="552"/>
      <c r="DT63" s="552"/>
      <c r="DU63" s="552"/>
      <c r="DV63" s="552"/>
      <c r="DW63" s="552"/>
      <c r="DX63" s="552"/>
      <c r="DY63" s="552"/>
      <c r="DZ63" s="552"/>
      <c r="EA63" s="552"/>
      <c r="EB63" s="552"/>
      <c r="EC63" s="552"/>
      <c r="ED63" s="552"/>
      <c r="EE63" s="552"/>
      <c r="EF63" s="552"/>
      <c r="EG63" s="552"/>
      <c r="EH63" s="552"/>
      <c r="EI63" s="552"/>
      <c r="EJ63" s="552"/>
      <c r="EK63" s="552"/>
      <c r="EL63" s="552"/>
      <c r="EM63" s="552"/>
      <c r="EN63" s="552"/>
      <c r="EO63" s="552"/>
      <c r="EP63" s="552"/>
      <c r="EQ63" s="552"/>
      <c r="ER63" s="552"/>
      <c r="ES63" s="552"/>
      <c r="ET63" s="552"/>
      <c r="EU63" s="552"/>
      <c r="EV63" s="552"/>
      <c r="EW63" s="552"/>
      <c r="EX63" s="552"/>
      <c r="EY63" s="552"/>
      <c r="EZ63" s="552"/>
      <c r="FA63" s="552"/>
      <c r="FB63" s="552"/>
      <c r="FC63" s="552"/>
      <c r="FD63" s="552"/>
      <c r="FE63" s="552"/>
      <c r="FF63" s="552"/>
      <c r="FG63" s="552"/>
      <c r="FH63" s="552"/>
      <c r="FI63" s="552"/>
      <c r="FJ63" s="552"/>
      <c r="FK63" s="552"/>
      <c r="FL63" s="552"/>
      <c r="FM63" s="552"/>
      <c r="FN63" s="552"/>
      <c r="FO63" s="552"/>
      <c r="FP63" s="552"/>
      <c r="FQ63" s="552"/>
      <c r="FR63" s="552"/>
      <c r="FS63" s="552"/>
      <c r="FT63" s="552"/>
      <c r="FU63" s="552"/>
      <c r="FV63" s="552"/>
      <c r="FW63" s="552"/>
      <c r="FX63" s="552"/>
      <c r="FY63" s="552"/>
      <c r="FZ63" s="552"/>
      <c r="GA63" s="552"/>
      <c r="GB63" s="552"/>
      <c r="GC63" s="552"/>
      <c r="GD63" s="552"/>
      <c r="GE63" s="552"/>
      <c r="GF63" s="552"/>
      <c r="GG63" s="552"/>
      <c r="GH63" s="552"/>
      <c r="GI63" s="552"/>
      <c r="GJ63" s="552"/>
      <c r="GK63" s="552"/>
      <c r="GL63" s="552"/>
      <c r="GM63" s="552"/>
      <c r="GN63" s="552"/>
      <c r="GO63" s="552"/>
      <c r="GP63" s="552"/>
      <c r="GQ63" s="552"/>
      <c r="GR63" s="552"/>
      <c r="GS63" s="552"/>
      <c r="GT63" s="552"/>
      <c r="GU63" s="552"/>
      <c r="GV63" s="552"/>
      <c r="GW63" s="552"/>
      <c r="GX63" s="552"/>
      <c r="GY63" s="552"/>
      <c r="GZ63" s="552"/>
      <c r="HA63" s="552"/>
      <c r="HB63" s="552"/>
      <c r="HC63" s="552"/>
      <c r="HD63" s="552"/>
      <c r="HE63" s="552"/>
      <c r="HF63" s="552"/>
      <c r="HG63" s="552"/>
      <c r="HH63" s="552"/>
      <c r="HI63" s="552"/>
      <c r="HJ63" s="552"/>
      <c r="HK63" s="552"/>
      <c r="HL63" s="552"/>
      <c r="HM63" s="552"/>
      <c r="HN63" s="552"/>
      <c r="HO63" s="552"/>
      <c r="HP63" s="552"/>
      <c r="HQ63" s="552"/>
      <c r="HR63" s="552"/>
      <c r="HS63" s="552"/>
      <c r="HT63" s="552"/>
      <c r="HU63" s="552"/>
      <c r="HV63" s="552"/>
      <c r="HW63" s="552"/>
      <c r="HX63" s="552"/>
      <c r="HY63" s="552"/>
      <c r="HZ63" s="552"/>
      <c r="IA63" s="552"/>
      <c r="IB63" s="552"/>
      <c r="IC63" s="552"/>
      <c r="ID63" s="552"/>
      <c r="IE63" s="552"/>
      <c r="IF63" s="552"/>
      <c r="IG63" s="552"/>
      <c r="IH63" s="552"/>
      <c r="II63" s="552"/>
      <c r="IJ63" s="552"/>
      <c r="IK63" s="552"/>
      <c r="IL63" s="552"/>
      <c r="IM63" s="552"/>
      <c r="IN63" s="552"/>
      <c r="IO63" s="552"/>
      <c r="IP63" s="552"/>
      <c r="IQ63" s="552"/>
      <c r="IR63" s="552"/>
      <c r="IS63" s="552"/>
      <c r="IT63" s="552"/>
      <c r="IU63" s="552"/>
      <c r="IV63" s="552"/>
    </row>
    <row r="64" spans="1:256" s="600" customFormat="1" ht="18" customHeight="1">
      <c r="A64" s="588">
        <v>56</v>
      </c>
      <c r="B64" s="645"/>
      <c r="C64" s="635"/>
      <c r="D64" s="617" t="s">
        <v>765</v>
      </c>
      <c r="E64" s="637"/>
      <c r="F64" s="637"/>
      <c r="G64" s="646"/>
      <c r="H64" s="639"/>
      <c r="I64" s="647">
        <v>400</v>
      </c>
      <c r="J64" s="647">
        <v>52</v>
      </c>
      <c r="K64" s="647">
        <v>10719</v>
      </c>
      <c r="L64" s="647"/>
      <c r="M64" s="647"/>
      <c r="N64" s="648"/>
      <c r="O64" s="569">
        <f>SUM(I64:N64)</f>
        <v>11171</v>
      </c>
      <c r="P64" s="654"/>
      <c r="Q64" s="552"/>
      <c r="R64" s="552"/>
      <c r="S64" s="552"/>
      <c r="T64" s="552"/>
      <c r="U64" s="552"/>
      <c r="V64" s="552"/>
      <c r="W64" s="552"/>
      <c r="X64" s="552"/>
      <c r="Y64" s="552"/>
      <c r="Z64" s="552"/>
      <c r="AA64" s="552"/>
      <c r="AB64" s="552"/>
      <c r="AC64" s="552"/>
      <c r="AD64" s="552"/>
      <c r="AE64" s="552"/>
      <c r="AF64" s="552"/>
      <c r="AG64" s="552"/>
      <c r="AH64" s="552"/>
      <c r="AI64" s="552"/>
      <c r="AJ64" s="552"/>
      <c r="AK64" s="552"/>
      <c r="AL64" s="552"/>
      <c r="AM64" s="552"/>
      <c r="AN64" s="552"/>
      <c r="AO64" s="552"/>
      <c r="AP64" s="552"/>
      <c r="AQ64" s="552"/>
      <c r="AR64" s="552"/>
      <c r="AS64" s="552"/>
      <c r="AT64" s="552"/>
      <c r="AU64" s="552"/>
      <c r="AV64" s="552"/>
      <c r="AW64" s="552"/>
      <c r="AX64" s="552"/>
      <c r="AY64" s="552"/>
      <c r="AZ64" s="552"/>
      <c r="BA64" s="552"/>
      <c r="BB64" s="552"/>
      <c r="BC64" s="552"/>
      <c r="BD64" s="552"/>
      <c r="BE64" s="552"/>
      <c r="BF64" s="552"/>
      <c r="BG64" s="552"/>
      <c r="BH64" s="552"/>
      <c r="BI64" s="552"/>
      <c r="BJ64" s="552"/>
      <c r="BK64" s="552"/>
      <c r="BL64" s="552"/>
      <c r="BM64" s="552"/>
      <c r="BN64" s="552"/>
      <c r="BO64" s="552"/>
      <c r="BP64" s="552"/>
      <c r="BQ64" s="552"/>
      <c r="BR64" s="552"/>
      <c r="BS64" s="552"/>
      <c r="BT64" s="552"/>
      <c r="BU64" s="552"/>
      <c r="BV64" s="552"/>
      <c r="BW64" s="552"/>
      <c r="BX64" s="552"/>
      <c r="BY64" s="552"/>
      <c r="BZ64" s="552"/>
      <c r="CA64" s="552"/>
      <c r="CB64" s="552"/>
      <c r="CC64" s="552"/>
      <c r="CD64" s="552"/>
      <c r="CE64" s="552"/>
      <c r="CF64" s="552"/>
      <c r="CG64" s="552"/>
      <c r="CH64" s="552"/>
      <c r="CI64" s="552"/>
      <c r="CJ64" s="552"/>
      <c r="CK64" s="552"/>
      <c r="CL64" s="552"/>
      <c r="CM64" s="552"/>
      <c r="CN64" s="552"/>
      <c r="CO64" s="552"/>
      <c r="CP64" s="552"/>
      <c r="CQ64" s="552"/>
      <c r="CR64" s="552"/>
      <c r="CS64" s="552"/>
      <c r="CT64" s="552"/>
      <c r="CU64" s="552"/>
      <c r="CV64" s="552"/>
      <c r="CW64" s="552"/>
      <c r="CX64" s="552"/>
      <c r="CY64" s="552"/>
      <c r="CZ64" s="552"/>
      <c r="DA64" s="552"/>
      <c r="DB64" s="552"/>
      <c r="DC64" s="552"/>
      <c r="DD64" s="552"/>
      <c r="DE64" s="552"/>
      <c r="DF64" s="552"/>
      <c r="DG64" s="552"/>
      <c r="DH64" s="552"/>
      <c r="DI64" s="552"/>
      <c r="DJ64" s="552"/>
      <c r="DK64" s="552"/>
      <c r="DL64" s="552"/>
      <c r="DM64" s="552"/>
      <c r="DN64" s="552"/>
      <c r="DO64" s="552"/>
      <c r="DP64" s="552"/>
      <c r="DQ64" s="552"/>
      <c r="DR64" s="552"/>
      <c r="DS64" s="552"/>
      <c r="DT64" s="552"/>
      <c r="DU64" s="552"/>
      <c r="DV64" s="552"/>
      <c r="DW64" s="552"/>
      <c r="DX64" s="552"/>
      <c r="DY64" s="552"/>
      <c r="DZ64" s="552"/>
      <c r="EA64" s="552"/>
      <c r="EB64" s="552"/>
      <c r="EC64" s="552"/>
      <c r="ED64" s="552"/>
      <c r="EE64" s="552"/>
      <c r="EF64" s="552"/>
      <c r="EG64" s="552"/>
      <c r="EH64" s="552"/>
      <c r="EI64" s="552"/>
      <c r="EJ64" s="552"/>
      <c r="EK64" s="552"/>
      <c r="EL64" s="552"/>
      <c r="EM64" s="552"/>
      <c r="EN64" s="552"/>
      <c r="EO64" s="552"/>
      <c r="EP64" s="552"/>
      <c r="EQ64" s="552"/>
      <c r="ER64" s="552"/>
      <c r="ES64" s="552"/>
      <c r="ET64" s="552"/>
      <c r="EU64" s="552"/>
      <c r="EV64" s="552"/>
      <c r="EW64" s="552"/>
      <c r="EX64" s="552"/>
      <c r="EY64" s="552"/>
      <c r="EZ64" s="552"/>
      <c r="FA64" s="552"/>
      <c r="FB64" s="552"/>
      <c r="FC64" s="552"/>
      <c r="FD64" s="552"/>
      <c r="FE64" s="552"/>
      <c r="FF64" s="552"/>
      <c r="FG64" s="552"/>
      <c r="FH64" s="552"/>
      <c r="FI64" s="552"/>
      <c r="FJ64" s="552"/>
      <c r="FK64" s="552"/>
      <c r="FL64" s="552"/>
      <c r="FM64" s="552"/>
      <c r="FN64" s="552"/>
      <c r="FO64" s="552"/>
      <c r="FP64" s="552"/>
      <c r="FQ64" s="552"/>
      <c r="FR64" s="552"/>
      <c r="FS64" s="552"/>
      <c r="FT64" s="552"/>
      <c r="FU64" s="552"/>
      <c r="FV64" s="552"/>
      <c r="FW64" s="552"/>
      <c r="FX64" s="552"/>
      <c r="FY64" s="552"/>
      <c r="FZ64" s="552"/>
      <c r="GA64" s="552"/>
      <c r="GB64" s="552"/>
      <c r="GC64" s="552"/>
      <c r="GD64" s="552"/>
      <c r="GE64" s="552"/>
      <c r="GF64" s="552"/>
      <c r="GG64" s="552"/>
      <c r="GH64" s="552"/>
      <c r="GI64" s="552"/>
      <c r="GJ64" s="552"/>
      <c r="GK64" s="552"/>
      <c r="GL64" s="552"/>
      <c r="GM64" s="552"/>
      <c r="GN64" s="552"/>
      <c r="GO64" s="552"/>
      <c r="GP64" s="552"/>
      <c r="GQ64" s="552"/>
      <c r="GR64" s="552"/>
      <c r="GS64" s="552"/>
      <c r="GT64" s="552"/>
      <c r="GU64" s="552"/>
      <c r="GV64" s="552"/>
      <c r="GW64" s="552"/>
      <c r="GX64" s="552"/>
      <c r="GY64" s="552"/>
      <c r="GZ64" s="552"/>
      <c r="HA64" s="552"/>
      <c r="HB64" s="552"/>
      <c r="HC64" s="552"/>
      <c r="HD64" s="552"/>
      <c r="HE64" s="552"/>
      <c r="HF64" s="552"/>
      <c r="HG64" s="552"/>
      <c r="HH64" s="552"/>
      <c r="HI64" s="552"/>
      <c r="HJ64" s="552"/>
      <c r="HK64" s="552"/>
      <c r="HL64" s="552"/>
      <c r="HM64" s="552"/>
      <c r="HN64" s="552"/>
      <c r="HO64" s="552"/>
      <c r="HP64" s="552"/>
      <c r="HQ64" s="552"/>
      <c r="HR64" s="552"/>
      <c r="HS64" s="552"/>
      <c r="HT64" s="552"/>
      <c r="HU64" s="552"/>
      <c r="HV64" s="552"/>
      <c r="HW64" s="552"/>
      <c r="HX64" s="552"/>
      <c r="HY64" s="552"/>
      <c r="HZ64" s="552"/>
      <c r="IA64" s="552"/>
      <c r="IB64" s="552"/>
      <c r="IC64" s="552"/>
      <c r="ID64" s="552"/>
      <c r="IE64" s="552"/>
      <c r="IF64" s="552"/>
      <c r="IG64" s="552"/>
      <c r="IH64" s="552"/>
      <c r="II64" s="552"/>
      <c r="IJ64" s="552"/>
      <c r="IK64" s="552"/>
      <c r="IL64" s="552"/>
      <c r="IM64" s="552"/>
      <c r="IN64" s="552"/>
      <c r="IO64" s="552"/>
      <c r="IP64" s="552"/>
      <c r="IQ64" s="552"/>
      <c r="IR64" s="552"/>
      <c r="IS64" s="552"/>
      <c r="IT64" s="552"/>
      <c r="IU64" s="552"/>
      <c r="IV64" s="552"/>
    </row>
    <row r="65" spans="1:256" s="600" customFormat="1" ht="18" customHeight="1">
      <c r="A65" s="588">
        <v>57</v>
      </c>
      <c r="B65" s="645"/>
      <c r="C65" s="635"/>
      <c r="D65" s="620" t="s">
        <v>1021</v>
      </c>
      <c r="E65" s="637"/>
      <c r="F65" s="637"/>
      <c r="G65" s="646"/>
      <c r="H65" s="639"/>
      <c r="I65" s="649">
        <v>28</v>
      </c>
      <c r="J65" s="649">
        <v>11</v>
      </c>
      <c r="K65" s="649">
        <v>437</v>
      </c>
      <c r="L65" s="640"/>
      <c r="M65" s="640"/>
      <c r="N65" s="650"/>
      <c r="O65" s="562">
        <f>SUM(I65:N65)</f>
        <v>476</v>
      </c>
      <c r="P65" s="654"/>
      <c r="Q65" s="552"/>
      <c r="R65" s="552"/>
      <c r="S65" s="552"/>
      <c r="T65" s="552"/>
      <c r="U65" s="552"/>
      <c r="V65" s="552"/>
      <c r="W65" s="552"/>
      <c r="X65" s="552"/>
      <c r="Y65" s="552"/>
      <c r="Z65" s="552"/>
      <c r="AA65" s="552"/>
      <c r="AB65" s="552"/>
      <c r="AC65" s="552"/>
      <c r="AD65" s="552"/>
      <c r="AE65" s="552"/>
      <c r="AF65" s="552"/>
      <c r="AG65" s="552"/>
      <c r="AH65" s="552"/>
      <c r="AI65" s="552"/>
      <c r="AJ65" s="552"/>
      <c r="AK65" s="552"/>
      <c r="AL65" s="552"/>
      <c r="AM65" s="552"/>
      <c r="AN65" s="552"/>
      <c r="AO65" s="552"/>
      <c r="AP65" s="552"/>
      <c r="AQ65" s="552"/>
      <c r="AR65" s="552"/>
      <c r="AS65" s="552"/>
      <c r="AT65" s="552"/>
      <c r="AU65" s="552"/>
      <c r="AV65" s="552"/>
      <c r="AW65" s="552"/>
      <c r="AX65" s="552"/>
      <c r="AY65" s="552"/>
      <c r="AZ65" s="552"/>
      <c r="BA65" s="552"/>
      <c r="BB65" s="552"/>
      <c r="BC65" s="552"/>
      <c r="BD65" s="552"/>
      <c r="BE65" s="552"/>
      <c r="BF65" s="552"/>
      <c r="BG65" s="552"/>
      <c r="BH65" s="552"/>
      <c r="BI65" s="552"/>
      <c r="BJ65" s="552"/>
      <c r="BK65" s="552"/>
      <c r="BL65" s="552"/>
      <c r="BM65" s="552"/>
      <c r="BN65" s="552"/>
      <c r="BO65" s="552"/>
      <c r="BP65" s="552"/>
      <c r="BQ65" s="552"/>
      <c r="BR65" s="552"/>
      <c r="BS65" s="552"/>
      <c r="BT65" s="552"/>
      <c r="BU65" s="552"/>
      <c r="BV65" s="552"/>
      <c r="BW65" s="552"/>
      <c r="BX65" s="552"/>
      <c r="BY65" s="552"/>
      <c r="BZ65" s="552"/>
      <c r="CA65" s="552"/>
      <c r="CB65" s="552"/>
      <c r="CC65" s="552"/>
      <c r="CD65" s="552"/>
      <c r="CE65" s="552"/>
      <c r="CF65" s="552"/>
      <c r="CG65" s="552"/>
      <c r="CH65" s="552"/>
      <c r="CI65" s="552"/>
      <c r="CJ65" s="552"/>
      <c r="CK65" s="552"/>
      <c r="CL65" s="552"/>
      <c r="CM65" s="552"/>
      <c r="CN65" s="552"/>
      <c r="CO65" s="552"/>
      <c r="CP65" s="552"/>
      <c r="CQ65" s="552"/>
      <c r="CR65" s="552"/>
      <c r="CS65" s="552"/>
      <c r="CT65" s="552"/>
      <c r="CU65" s="552"/>
      <c r="CV65" s="552"/>
      <c r="CW65" s="552"/>
      <c r="CX65" s="552"/>
      <c r="CY65" s="552"/>
      <c r="CZ65" s="552"/>
      <c r="DA65" s="552"/>
      <c r="DB65" s="552"/>
      <c r="DC65" s="552"/>
      <c r="DD65" s="552"/>
      <c r="DE65" s="552"/>
      <c r="DF65" s="552"/>
      <c r="DG65" s="552"/>
      <c r="DH65" s="552"/>
      <c r="DI65" s="552"/>
      <c r="DJ65" s="552"/>
      <c r="DK65" s="552"/>
      <c r="DL65" s="552"/>
      <c r="DM65" s="552"/>
      <c r="DN65" s="552"/>
      <c r="DO65" s="552"/>
      <c r="DP65" s="552"/>
      <c r="DQ65" s="552"/>
      <c r="DR65" s="552"/>
      <c r="DS65" s="552"/>
      <c r="DT65" s="552"/>
      <c r="DU65" s="552"/>
      <c r="DV65" s="552"/>
      <c r="DW65" s="552"/>
      <c r="DX65" s="552"/>
      <c r="DY65" s="552"/>
      <c r="DZ65" s="552"/>
      <c r="EA65" s="552"/>
      <c r="EB65" s="552"/>
      <c r="EC65" s="552"/>
      <c r="ED65" s="552"/>
      <c r="EE65" s="552"/>
      <c r="EF65" s="552"/>
      <c r="EG65" s="552"/>
      <c r="EH65" s="552"/>
      <c r="EI65" s="552"/>
      <c r="EJ65" s="552"/>
      <c r="EK65" s="552"/>
      <c r="EL65" s="552"/>
      <c r="EM65" s="552"/>
      <c r="EN65" s="552"/>
      <c r="EO65" s="552"/>
      <c r="EP65" s="552"/>
      <c r="EQ65" s="552"/>
      <c r="ER65" s="552"/>
      <c r="ES65" s="552"/>
      <c r="ET65" s="552"/>
      <c r="EU65" s="552"/>
      <c r="EV65" s="552"/>
      <c r="EW65" s="552"/>
      <c r="EX65" s="552"/>
      <c r="EY65" s="552"/>
      <c r="EZ65" s="552"/>
      <c r="FA65" s="552"/>
      <c r="FB65" s="552"/>
      <c r="FC65" s="552"/>
      <c r="FD65" s="552"/>
      <c r="FE65" s="552"/>
      <c r="FF65" s="552"/>
      <c r="FG65" s="552"/>
      <c r="FH65" s="552"/>
      <c r="FI65" s="552"/>
      <c r="FJ65" s="552"/>
      <c r="FK65" s="552"/>
      <c r="FL65" s="552"/>
      <c r="FM65" s="552"/>
      <c r="FN65" s="552"/>
      <c r="FO65" s="552"/>
      <c r="FP65" s="552"/>
      <c r="FQ65" s="552"/>
      <c r="FR65" s="552"/>
      <c r="FS65" s="552"/>
      <c r="FT65" s="552"/>
      <c r="FU65" s="552"/>
      <c r="FV65" s="552"/>
      <c r="FW65" s="552"/>
      <c r="FX65" s="552"/>
      <c r="FY65" s="552"/>
      <c r="FZ65" s="552"/>
      <c r="GA65" s="552"/>
      <c r="GB65" s="552"/>
      <c r="GC65" s="552"/>
      <c r="GD65" s="552"/>
      <c r="GE65" s="552"/>
      <c r="GF65" s="552"/>
      <c r="GG65" s="552"/>
      <c r="GH65" s="552"/>
      <c r="GI65" s="552"/>
      <c r="GJ65" s="552"/>
      <c r="GK65" s="552"/>
      <c r="GL65" s="552"/>
      <c r="GM65" s="552"/>
      <c r="GN65" s="552"/>
      <c r="GO65" s="552"/>
      <c r="GP65" s="552"/>
      <c r="GQ65" s="552"/>
      <c r="GR65" s="552"/>
      <c r="GS65" s="552"/>
      <c r="GT65" s="552"/>
      <c r="GU65" s="552"/>
      <c r="GV65" s="552"/>
      <c r="GW65" s="552"/>
      <c r="GX65" s="552"/>
      <c r="GY65" s="552"/>
      <c r="GZ65" s="552"/>
      <c r="HA65" s="552"/>
      <c r="HB65" s="552"/>
      <c r="HC65" s="552"/>
      <c r="HD65" s="552"/>
      <c r="HE65" s="552"/>
      <c r="HF65" s="552"/>
      <c r="HG65" s="552"/>
      <c r="HH65" s="552"/>
      <c r="HI65" s="552"/>
      <c r="HJ65" s="552"/>
      <c r="HK65" s="552"/>
      <c r="HL65" s="552"/>
      <c r="HM65" s="552"/>
      <c r="HN65" s="552"/>
      <c r="HO65" s="552"/>
      <c r="HP65" s="552"/>
      <c r="HQ65" s="552"/>
      <c r="HR65" s="552"/>
      <c r="HS65" s="552"/>
      <c r="HT65" s="552"/>
      <c r="HU65" s="552"/>
      <c r="HV65" s="552"/>
      <c r="HW65" s="552"/>
      <c r="HX65" s="552"/>
      <c r="HY65" s="552"/>
      <c r="HZ65" s="552"/>
      <c r="IA65" s="552"/>
      <c r="IB65" s="552"/>
      <c r="IC65" s="552"/>
      <c r="ID65" s="552"/>
      <c r="IE65" s="552"/>
      <c r="IF65" s="552"/>
      <c r="IG65" s="552"/>
      <c r="IH65" s="552"/>
      <c r="II65" s="552"/>
      <c r="IJ65" s="552"/>
      <c r="IK65" s="552"/>
      <c r="IL65" s="552"/>
      <c r="IM65" s="552"/>
      <c r="IN65" s="552"/>
      <c r="IO65" s="552"/>
      <c r="IP65" s="552"/>
      <c r="IQ65" s="552"/>
      <c r="IR65" s="552"/>
      <c r="IS65" s="552"/>
      <c r="IT65" s="552"/>
      <c r="IU65" s="552"/>
      <c r="IV65" s="552"/>
    </row>
    <row r="66" spans="1:256" s="600" customFormat="1" ht="22.5" customHeight="1">
      <c r="A66" s="588">
        <v>58</v>
      </c>
      <c r="B66" s="645"/>
      <c r="C66" s="566">
        <v>20</v>
      </c>
      <c r="D66" s="564" t="s">
        <v>663</v>
      </c>
      <c r="E66" s="603">
        <f>F66+G66+P67+O68</f>
        <v>9694</v>
      </c>
      <c r="F66" s="637"/>
      <c r="G66" s="646"/>
      <c r="H66" s="652" t="s">
        <v>231</v>
      </c>
      <c r="I66" s="640"/>
      <c r="J66" s="640"/>
      <c r="K66" s="640"/>
      <c r="L66" s="640"/>
      <c r="M66" s="640"/>
      <c r="N66" s="650"/>
      <c r="O66" s="643"/>
      <c r="P66" s="644"/>
      <c r="Q66" s="552"/>
      <c r="R66" s="552"/>
      <c r="S66" s="552"/>
      <c r="T66" s="552"/>
      <c r="U66" s="552"/>
      <c r="V66" s="552"/>
      <c r="W66" s="552"/>
      <c r="X66" s="552"/>
      <c r="Y66" s="552"/>
      <c r="Z66" s="552"/>
      <c r="AA66" s="552"/>
      <c r="AB66" s="552"/>
      <c r="AC66" s="552"/>
      <c r="AD66" s="552"/>
      <c r="AE66" s="552"/>
      <c r="AF66" s="552"/>
      <c r="AG66" s="552"/>
      <c r="AH66" s="552"/>
      <c r="AI66" s="552"/>
      <c r="AJ66" s="552"/>
      <c r="AK66" s="552"/>
      <c r="AL66" s="552"/>
      <c r="AM66" s="552"/>
      <c r="AN66" s="552"/>
      <c r="AO66" s="552"/>
      <c r="AP66" s="552"/>
      <c r="AQ66" s="552"/>
      <c r="AR66" s="552"/>
      <c r="AS66" s="552"/>
      <c r="AT66" s="552"/>
      <c r="AU66" s="552"/>
      <c r="AV66" s="552"/>
      <c r="AW66" s="552"/>
      <c r="AX66" s="552"/>
      <c r="AY66" s="552"/>
      <c r="AZ66" s="552"/>
      <c r="BA66" s="552"/>
      <c r="BB66" s="552"/>
      <c r="BC66" s="552"/>
      <c r="BD66" s="552"/>
      <c r="BE66" s="552"/>
      <c r="BF66" s="552"/>
      <c r="BG66" s="552"/>
      <c r="BH66" s="552"/>
      <c r="BI66" s="552"/>
      <c r="BJ66" s="552"/>
      <c r="BK66" s="552"/>
      <c r="BL66" s="552"/>
      <c r="BM66" s="552"/>
      <c r="BN66" s="552"/>
      <c r="BO66" s="552"/>
      <c r="BP66" s="552"/>
      <c r="BQ66" s="552"/>
      <c r="BR66" s="552"/>
      <c r="BS66" s="552"/>
      <c r="BT66" s="552"/>
      <c r="BU66" s="552"/>
      <c r="BV66" s="552"/>
      <c r="BW66" s="552"/>
      <c r="BX66" s="552"/>
      <c r="BY66" s="552"/>
      <c r="BZ66" s="552"/>
      <c r="CA66" s="552"/>
      <c r="CB66" s="552"/>
      <c r="CC66" s="552"/>
      <c r="CD66" s="552"/>
      <c r="CE66" s="552"/>
      <c r="CF66" s="552"/>
      <c r="CG66" s="552"/>
      <c r="CH66" s="552"/>
      <c r="CI66" s="552"/>
      <c r="CJ66" s="552"/>
      <c r="CK66" s="552"/>
      <c r="CL66" s="552"/>
      <c r="CM66" s="552"/>
      <c r="CN66" s="552"/>
      <c r="CO66" s="552"/>
      <c r="CP66" s="552"/>
      <c r="CQ66" s="552"/>
      <c r="CR66" s="552"/>
      <c r="CS66" s="552"/>
      <c r="CT66" s="552"/>
      <c r="CU66" s="552"/>
      <c r="CV66" s="552"/>
      <c r="CW66" s="552"/>
      <c r="CX66" s="552"/>
      <c r="CY66" s="552"/>
      <c r="CZ66" s="552"/>
      <c r="DA66" s="552"/>
      <c r="DB66" s="552"/>
      <c r="DC66" s="552"/>
      <c r="DD66" s="552"/>
      <c r="DE66" s="552"/>
      <c r="DF66" s="552"/>
      <c r="DG66" s="552"/>
      <c r="DH66" s="552"/>
      <c r="DI66" s="552"/>
      <c r="DJ66" s="552"/>
      <c r="DK66" s="552"/>
      <c r="DL66" s="552"/>
      <c r="DM66" s="552"/>
      <c r="DN66" s="552"/>
      <c r="DO66" s="552"/>
      <c r="DP66" s="552"/>
      <c r="DQ66" s="552"/>
      <c r="DR66" s="552"/>
      <c r="DS66" s="552"/>
      <c r="DT66" s="552"/>
      <c r="DU66" s="552"/>
      <c r="DV66" s="552"/>
      <c r="DW66" s="552"/>
      <c r="DX66" s="552"/>
      <c r="DY66" s="552"/>
      <c r="DZ66" s="552"/>
      <c r="EA66" s="552"/>
      <c r="EB66" s="552"/>
      <c r="EC66" s="552"/>
      <c r="ED66" s="552"/>
      <c r="EE66" s="552"/>
      <c r="EF66" s="552"/>
      <c r="EG66" s="552"/>
      <c r="EH66" s="552"/>
      <c r="EI66" s="552"/>
      <c r="EJ66" s="552"/>
      <c r="EK66" s="552"/>
      <c r="EL66" s="552"/>
      <c r="EM66" s="552"/>
      <c r="EN66" s="552"/>
      <c r="EO66" s="552"/>
      <c r="EP66" s="552"/>
      <c r="EQ66" s="552"/>
      <c r="ER66" s="552"/>
      <c r="ES66" s="552"/>
      <c r="ET66" s="552"/>
      <c r="EU66" s="552"/>
      <c r="EV66" s="552"/>
      <c r="EW66" s="552"/>
      <c r="EX66" s="552"/>
      <c r="EY66" s="552"/>
      <c r="EZ66" s="552"/>
      <c r="FA66" s="552"/>
      <c r="FB66" s="552"/>
      <c r="FC66" s="552"/>
      <c r="FD66" s="552"/>
      <c r="FE66" s="552"/>
      <c r="FF66" s="552"/>
      <c r="FG66" s="552"/>
      <c r="FH66" s="552"/>
      <c r="FI66" s="552"/>
      <c r="FJ66" s="552"/>
      <c r="FK66" s="552"/>
      <c r="FL66" s="552"/>
      <c r="FM66" s="552"/>
      <c r="FN66" s="552"/>
      <c r="FO66" s="552"/>
      <c r="FP66" s="552"/>
      <c r="FQ66" s="552"/>
      <c r="FR66" s="552"/>
      <c r="FS66" s="552"/>
      <c r="FT66" s="552"/>
      <c r="FU66" s="552"/>
      <c r="FV66" s="552"/>
      <c r="FW66" s="552"/>
      <c r="FX66" s="552"/>
      <c r="FY66" s="552"/>
      <c r="FZ66" s="552"/>
      <c r="GA66" s="552"/>
      <c r="GB66" s="552"/>
      <c r="GC66" s="552"/>
      <c r="GD66" s="552"/>
      <c r="GE66" s="552"/>
      <c r="GF66" s="552"/>
      <c r="GG66" s="552"/>
      <c r="GH66" s="552"/>
      <c r="GI66" s="552"/>
      <c r="GJ66" s="552"/>
      <c r="GK66" s="552"/>
      <c r="GL66" s="552"/>
      <c r="GM66" s="552"/>
      <c r="GN66" s="552"/>
      <c r="GO66" s="552"/>
      <c r="GP66" s="552"/>
      <c r="GQ66" s="552"/>
      <c r="GR66" s="552"/>
      <c r="GS66" s="552"/>
      <c r="GT66" s="552"/>
      <c r="GU66" s="552"/>
      <c r="GV66" s="552"/>
      <c r="GW66" s="552"/>
      <c r="GX66" s="552"/>
      <c r="GY66" s="552"/>
      <c r="GZ66" s="552"/>
      <c r="HA66" s="552"/>
      <c r="HB66" s="552"/>
      <c r="HC66" s="552"/>
      <c r="HD66" s="552"/>
      <c r="HE66" s="552"/>
      <c r="HF66" s="552"/>
      <c r="HG66" s="552"/>
      <c r="HH66" s="552"/>
      <c r="HI66" s="552"/>
      <c r="HJ66" s="552"/>
      <c r="HK66" s="552"/>
      <c r="HL66" s="552"/>
      <c r="HM66" s="552"/>
      <c r="HN66" s="552"/>
      <c r="HO66" s="552"/>
      <c r="HP66" s="552"/>
      <c r="HQ66" s="552"/>
      <c r="HR66" s="552"/>
      <c r="HS66" s="552"/>
      <c r="HT66" s="552"/>
      <c r="HU66" s="552"/>
      <c r="HV66" s="552"/>
      <c r="HW66" s="552"/>
      <c r="HX66" s="552"/>
      <c r="HY66" s="552"/>
      <c r="HZ66" s="552"/>
      <c r="IA66" s="552"/>
      <c r="IB66" s="552"/>
      <c r="IC66" s="552"/>
      <c r="ID66" s="552"/>
      <c r="IE66" s="552"/>
      <c r="IF66" s="552"/>
      <c r="IG66" s="552"/>
      <c r="IH66" s="552"/>
      <c r="II66" s="552"/>
      <c r="IJ66" s="552"/>
      <c r="IK66" s="552"/>
      <c r="IL66" s="552"/>
      <c r="IM66" s="552"/>
      <c r="IN66" s="552"/>
      <c r="IO66" s="552"/>
      <c r="IP66" s="552"/>
      <c r="IQ66" s="552"/>
      <c r="IR66" s="552"/>
      <c r="IS66" s="552"/>
      <c r="IT66" s="552"/>
      <c r="IU66" s="552"/>
      <c r="IV66" s="552"/>
    </row>
    <row r="67" spans="1:256" s="600" customFormat="1" ht="18" customHeight="1">
      <c r="A67" s="588">
        <v>59</v>
      </c>
      <c r="B67" s="645"/>
      <c r="C67" s="635"/>
      <c r="D67" s="636" t="s">
        <v>198</v>
      </c>
      <c r="E67" s="637"/>
      <c r="F67" s="637"/>
      <c r="G67" s="646"/>
      <c r="H67" s="639"/>
      <c r="I67" s="640"/>
      <c r="J67" s="640"/>
      <c r="K67" s="640">
        <v>3694</v>
      </c>
      <c r="L67" s="640"/>
      <c r="M67" s="640"/>
      <c r="N67" s="650"/>
      <c r="O67" s="643">
        <f>SUM(I67:N67)</f>
        <v>3694</v>
      </c>
      <c r="P67" s="653">
        <v>6000</v>
      </c>
      <c r="Q67" s="552"/>
      <c r="R67" s="552"/>
      <c r="S67" s="552"/>
      <c r="T67" s="552"/>
      <c r="U67" s="552"/>
      <c r="V67" s="552"/>
      <c r="W67" s="552"/>
      <c r="X67" s="552"/>
      <c r="Y67" s="552"/>
      <c r="Z67" s="552"/>
      <c r="AA67" s="552"/>
      <c r="AB67" s="552"/>
      <c r="AC67" s="552"/>
      <c r="AD67" s="552"/>
      <c r="AE67" s="552"/>
      <c r="AF67" s="552"/>
      <c r="AG67" s="552"/>
      <c r="AH67" s="552"/>
      <c r="AI67" s="552"/>
      <c r="AJ67" s="552"/>
      <c r="AK67" s="552"/>
      <c r="AL67" s="552"/>
      <c r="AM67" s="552"/>
      <c r="AN67" s="552"/>
      <c r="AO67" s="552"/>
      <c r="AP67" s="552"/>
      <c r="AQ67" s="552"/>
      <c r="AR67" s="552"/>
      <c r="AS67" s="552"/>
      <c r="AT67" s="552"/>
      <c r="AU67" s="552"/>
      <c r="AV67" s="552"/>
      <c r="AW67" s="552"/>
      <c r="AX67" s="552"/>
      <c r="AY67" s="552"/>
      <c r="AZ67" s="552"/>
      <c r="BA67" s="552"/>
      <c r="BB67" s="552"/>
      <c r="BC67" s="552"/>
      <c r="BD67" s="552"/>
      <c r="BE67" s="552"/>
      <c r="BF67" s="552"/>
      <c r="BG67" s="552"/>
      <c r="BH67" s="552"/>
      <c r="BI67" s="552"/>
      <c r="BJ67" s="552"/>
      <c r="BK67" s="552"/>
      <c r="BL67" s="552"/>
      <c r="BM67" s="552"/>
      <c r="BN67" s="552"/>
      <c r="BO67" s="552"/>
      <c r="BP67" s="552"/>
      <c r="BQ67" s="552"/>
      <c r="BR67" s="552"/>
      <c r="BS67" s="552"/>
      <c r="BT67" s="552"/>
      <c r="BU67" s="552"/>
      <c r="BV67" s="552"/>
      <c r="BW67" s="552"/>
      <c r="BX67" s="552"/>
      <c r="BY67" s="552"/>
      <c r="BZ67" s="552"/>
      <c r="CA67" s="552"/>
      <c r="CB67" s="552"/>
      <c r="CC67" s="552"/>
      <c r="CD67" s="552"/>
      <c r="CE67" s="552"/>
      <c r="CF67" s="552"/>
      <c r="CG67" s="552"/>
      <c r="CH67" s="552"/>
      <c r="CI67" s="552"/>
      <c r="CJ67" s="552"/>
      <c r="CK67" s="552"/>
      <c r="CL67" s="552"/>
      <c r="CM67" s="552"/>
      <c r="CN67" s="552"/>
      <c r="CO67" s="552"/>
      <c r="CP67" s="552"/>
      <c r="CQ67" s="552"/>
      <c r="CR67" s="552"/>
      <c r="CS67" s="552"/>
      <c r="CT67" s="552"/>
      <c r="CU67" s="552"/>
      <c r="CV67" s="552"/>
      <c r="CW67" s="552"/>
      <c r="CX67" s="552"/>
      <c r="CY67" s="552"/>
      <c r="CZ67" s="552"/>
      <c r="DA67" s="552"/>
      <c r="DB67" s="552"/>
      <c r="DC67" s="552"/>
      <c r="DD67" s="552"/>
      <c r="DE67" s="552"/>
      <c r="DF67" s="552"/>
      <c r="DG67" s="552"/>
      <c r="DH67" s="552"/>
      <c r="DI67" s="552"/>
      <c r="DJ67" s="552"/>
      <c r="DK67" s="552"/>
      <c r="DL67" s="552"/>
      <c r="DM67" s="552"/>
      <c r="DN67" s="552"/>
      <c r="DO67" s="552"/>
      <c r="DP67" s="552"/>
      <c r="DQ67" s="552"/>
      <c r="DR67" s="552"/>
      <c r="DS67" s="552"/>
      <c r="DT67" s="552"/>
      <c r="DU67" s="552"/>
      <c r="DV67" s="552"/>
      <c r="DW67" s="552"/>
      <c r="DX67" s="552"/>
      <c r="DY67" s="552"/>
      <c r="DZ67" s="552"/>
      <c r="EA67" s="552"/>
      <c r="EB67" s="552"/>
      <c r="EC67" s="552"/>
      <c r="ED67" s="552"/>
      <c r="EE67" s="552"/>
      <c r="EF67" s="552"/>
      <c r="EG67" s="552"/>
      <c r="EH67" s="552"/>
      <c r="EI67" s="552"/>
      <c r="EJ67" s="552"/>
      <c r="EK67" s="552"/>
      <c r="EL67" s="552"/>
      <c r="EM67" s="552"/>
      <c r="EN67" s="552"/>
      <c r="EO67" s="552"/>
      <c r="EP67" s="552"/>
      <c r="EQ67" s="552"/>
      <c r="ER67" s="552"/>
      <c r="ES67" s="552"/>
      <c r="ET67" s="552"/>
      <c r="EU67" s="552"/>
      <c r="EV67" s="552"/>
      <c r="EW67" s="552"/>
      <c r="EX67" s="552"/>
      <c r="EY67" s="552"/>
      <c r="EZ67" s="552"/>
      <c r="FA67" s="552"/>
      <c r="FB67" s="552"/>
      <c r="FC67" s="552"/>
      <c r="FD67" s="552"/>
      <c r="FE67" s="552"/>
      <c r="FF67" s="552"/>
      <c r="FG67" s="552"/>
      <c r="FH67" s="552"/>
      <c r="FI67" s="552"/>
      <c r="FJ67" s="552"/>
      <c r="FK67" s="552"/>
      <c r="FL67" s="552"/>
      <c r="FM67" s="552"/>
      <c r="FN67" s="552"/>
      <c r="FO67" s="552"/>
      <c r="FP67" s="552"/>
      <c r="FQ67" s="552"/>
      <c r="FR67" s="552"/>
      <c r="FS67" s="552"/>
      <c r="FT67" s="552"/>
      <c r="FU67" s="552"/>
      <c r="FV67" s="552"/>
      <c r="FW67" s="552"/>
      <c r="FX67" s="552"/>
      <c r="FY67" s="552"/>
      <c r="FZ67" s="552"/>
      <c r="GA67" s="552"/>
      <c r="GB67" s="552"/>
      <c r="GC67" s="552"/>
      <c r="GD67" s="552"/>
      <c r="GE67" s="552"/>
      <c r="GF67" s="552"/>
      <c r="GG67" s="552"/>
      <c r="GH67" s="552"/>
      <c r="GI67" s="552"/>
      <c r="GJ67" s="552"/>
      <c r="GK67" s="552"/>
      <c r="GL67" s="552"/>
      <c r="GM67" s="552"/>
      <c r="GN67" s="552"/>
      <c r="GO67" s="552"/>
      <c r="GP67" s="552"/>
      <c r="GQ67" s="552"/>
      <c r="GR67" s="552"/>
      <c r="GS67" s="552"/>
      <c r="GT67" s="552"/>
      <c r="GU67" s="552"/>
      <c r="GV67" s="552"/>
      <c r="GW67" s="552"/>
      <c r="GX67" s="552"/>
      <c r="GY67" s="552"/>
      <c r="GZ67" s="552"/>
      <c r="HA67" s="552"/>
      <c r="HB67" s="552"/>
      <c r="HC67" s="552"/>
      <c r="HD67" s="552"/>
      <c r="HE67" s="552"/>
      <c r="HF67" s="552"/>
      <c r="HG67" s="552"/>
      <c r="HH67" s="552"/>
      <c r="HI67" s="552"/>
      <c r="HJ67" s="552"/>
      <c r="HK67" s="552"/>
      <c r="HL67" s="552"/>
      <c r="HM67" s="552"/>
      <c r="HN67" s="552"/>
      <c r="HO67" s="552"/>
      <c r="HP67" s="552"/>
      <c r="HQ67" s="552"/>
      <c r="HR67" s="552"/>
      <c r="HS67" s="552"/>
      <c r="HT67" s="552"/>
      <c r="HU67" s="552"/>
      <c r="HV67" s="552"/>
      <c r="HW67" s="552"/>
      <c r="HX67" s="552"/>
      <c r="HY67" s="552"/>
      <c r="HZ67" s="552"/>
      <c r="IA67" s="552"/>
      <c r="IB67" s="552"/>
      <c r="IC67" s="552"/>
      <c r="ID67" s="552"/>
      <c r="IE67" s="552"/>
      <c r="IF67" s="552"/>
      <c r="IG67" s="552"/>
      <c r="IH67" s="552"/>
      <c r="II67" s="552"/>
      <c r="IJ67" s="552"/>
      <c r="IK67" s="552"/>
      <c r="IL67" s="552"/>
      <c r="IM67" s="552"/>
      <c r="IN67" s="552"/>
      <c r="IO67" s="552"/>
      <c r="IP67" s="552"/>
      <c r="IQ67" s="552"/>
      <c r="IR67" s="552"/>
      <c r="IS67" s="552"/>
      <c r="IT67" s="552"/>
      <c r="IU67" s="552"/>
      <c r="IV67" s="552"/>
    </row>
    <row r="68" spans="1:256" s="600" customFormat="1" ht="18" customHeight="1">
      <c r="A68" s="588">
        <v>60</v>
      </c>
      <c r="B68" s="645"/>
      <c r="C68" s="635"/>
      <c r="D68" s="617" t="s">
        <v>765</v>
      </c>
      <c r="E68" s="637"/>
      <c r="F68" s="637"/>
      <c r="G68" s="646"/>
      <c r="H68" s="639"/>
      <c r="I68" s="640"/>
      <c r="J68" s="640"/>
      <c r="K68" s="647">
        <v>3694</v>
      </c>
      <c r="L68" s="640"/>
      <c r="M68" s="640"/>
      <c r="N68" s="650"/>
      <c r="O68" s="569">
        <f>SUM(I68:N68)</f>
        <v>3694</v>
      </c>
      <c r="P68" s="654"/>
      <c r="Q68" s="552"/>
      <c r="R68" s="552"/>
      <c r="S68" s="552"/>
      <c r="T68" s="552"/>
      <c r="U68" s="552"/>
      <c r="V68" s="552"/>
      <c r="W68" s="552"/>
      <c r="X68" s="552"/>
      <c r="Y68" s="552"/>
      <c r="Z68" s="552"/>
      <c r="AA68" s="552"/>
      <c r="AB68" s="552"/>
      <c r="AC68" s="552"/>
      <c r="AD68" s="552"/>
      <c r="AE68" s="552"/>
      <c r="AF68" s="552"/>
      <c r="AG68" s="552"/>
      <c r="AH68" s="552"/>
      <c r="AI68" s="552"/>
      <c r="AJ68" s="552"/>
      <c r="AK68" s="552"/>
      <c r="AL68" s="552"/>
      <c r="AM68" s="552"/>
      <c r="AN68" s="552"/>
      <c r="AO68" s="552"/>
      <c r="AP68" s="552"/>
      <c r="AQ68" s="552"/>
      <c r="AR68" s="552"/>
      <c r="AS68" s="552"/>
      <c r="AT68" s="552"/>
      <c r="AU68" s="552"/>
      <c r="AV68" s="552"/>
      <c r="AW68" s="552"/>
      <c r="AX68" s="552"/>
      <c r="AY68" s="552"/>
      <c r="AZ68" s="552"/>
      <c r="BA68" s="552"/>
      <c r="BB68" s="552"/>
      <c r="BC68" s="552"/>
      <c r="BD68" s="552"/>
      <c r="BE68" s="552"/>
      <c r="BF68" s="552"/>
      <c r="BG68" s="552"/>
      <c r="BH68" s="552"/>
      <c r="BI68" s="552"/>
      <c r="BJ68" s="552"/>
      <c r="BK68" s="552"/>
      <c r="BL68" s="552"/>
      <c r="BM68" s="552"/>
      <c r="BN68" s="552"/>
      <c r="BO68" s="552"/>
      <c r="BP68" s="552"/>
      <c r="BQ68" s="552"/>
      <c r="BR68" s="552"/>
      <c r="BS68" s="552"/>
      <c r="BT68" s="552"/>
      <c r="BU68" s="552"/>
      <c r="BV68" s="552"/>
      <c r="BW68" s="552"/>
      <c r="BX68" s="552"/>
      <c r="BY68" s="552"/>
      <c r="BZ68" s="552"/>
      <c r="CA68" s="552"/>
      <c r="CB68" s="552"/>
      <c r="CC68" s="552"/>
      <c r="CD68" s="552"/>
      <c r="CE68" s="552"/>
      <c r="CF68" s="552"/>
      <c r="CG68" s="552"/>
      <c r="CH68" s="552"/>
      <c r="CI68" s="552"/>
      <c r="CJ68" s="552"/>
      <c r="CK68" s="552"/>
      <c r="CL68" s="552"/>
      <c r="CM68" s="552"/>
      <c r="CN68" s="552"/>
      <c r="CO68" s="552"/>
      <c r="CP68" s="552"/>
      <c r="CQ68" s="552"/>
      <c r="CR68" s="552"/>
      <c r="CS68" s="552"/>
      <c r="CT68" s="552"/>
      <c r="CU68" s="552"/>
      <c r="CV68" s="552"/>
      <c r="CW68" s="552"/>
      <c r="CX68" s="552"/>
      <c r="CY68" s="552"/>
      <c r="CZ68" s="552"/>
      <c r="DA68" s="552"/>
      <c r="DB68" s="552"/>
      <c r="DC68" s="552"/>
      <c r="DD68" s="552"/>
      <c r="DE68" s="552"/>
      <c r="DF68" s="552"/>
      <c r="DG68" s="552"/>
      <c r="DH68" s="552"/>
      <c r="DI68" s="552"/>
      <c r="DJ68" s="552"/>
      <c r="DK68" s="552"/>
      <c r="DL68" s="552"/>
      <c r="DM68" s="552"/>
      <c r="DN68" s="552"/>
      <c r="DO68" s="552"/>
      <c r="DP68" s="552"/>
      <c r="DQ68" s="552"/>
      <c r="DR68" s="552"/>
      <c r="DS68" s="552"/>
      <c r="DT68" s="552"/>
      <c r="DU68" s="552"/>
      <c r="DV68" s="552"/>
      <c r="DW68" s="552"/>
      <c r="DX68" s="552"/>
      <c r="DY68" s="552"/>
      <c r="DZ68" s="552"/>
      <c r="EA68" s="552"/>
      <c r="EB68" s="552"/>
      <c r="EC68" s="552"/>
      <c r="ED68" s="552"/>
      <c r="EE68" s="552"/>
      <c r="EF68" s="552"/>
      <c r="EG68" s="552"/>
      <c r="EH68" s="552"/>
      <c r="EI68" s="552"/>
      <c r="EJ68" s="552"/>
      <c r="EK68" s="552"/>
      <c r="EL68" s="552"/>
      <c r="EM68" s="552"/>
      <c r="EN68" s="552"/>
      <c r="EO68" s="552"/>
      <c r="EP68" s="552"/>
      <c r="EQ68" s="552"/>
      <c r="ER68" s="552"/>
      <c r="ES68" s="552"/>
      <c r="ET68" s="552"/>
      <c r="EU68" s="552"/>
      <c r="EV68" s="552"/>
      <c r="EW68" s="552"/>
      <c r="EX68" s="552"/>
      <c r="EY68" s="552"/>
      <c r="EZ68" s="552"/>
      <c r="FA68" s="552"/>
      <c r="FB68" s="552"/>
      <c r="FC68" s="552"/>
      <c r="FD68" s="552"/>
      <c r="FE68" s="552"/>
      <c r="FF68" s="552"/>
      <c r="FG68" s="552"/>
      <c r="FH68" s="552"/>
      <c r="FI68" s="552"/>
      <c r="FJ68" s="552"/>
      <c r="FK68" s="552"/>
      <c r="FL68" s="552"/>
      <c r="FM68" s="552"/>
      <c r="FN68" s="552"/>
      <c r="FO68" s="552"/>
      <c r="FP68" s="552"/>
      <c r="FQ68" s="552"/>
      <c r="FR68" s="552"/>
      <c r="FS68" s="552"/>
      <c r="FT68" s="552"/>
      <c r="FU68" s="552"/>
      <c r="FV68" s="552"/>
      <c r="FW68" s="552"/>
      <c r="FX68" s="552"/>
      <c r="FY68" s="552"/>
      <c r="FZ68" s="552"/>
      <c r="GA68" s="552"/>
      <c r="GB68" s="552"/>
      <c r="GC68" s="552"/>
      <c r="GD68" s="552"/>
      <c r="GE68" s="552"/>
      <c r="GF68" s="552"/>
      <c r="GG68" s="552"/>
      <c r="GH68" s="552"/>
      <c r="GI68" s="552"/>
      <c r="GJ68" s="552"/>
      <c r="GK68" s="552"/>
      <c r="GL68" s="552"/>
      <c r="GM68" s="552"/>
      <c r="GN68" s="552"/>
      <c r="GO68" s="552"/>
      <c r="GP68" s="552"/>
      <c r="GQ68" s="552"/>
      <c r="GR68" s="552"/>
      <c r="GS68" s="552"/>
      <c r="GT68" s="552"/>
      <c r="GU68" s="552"/>
      <c r="GV68" s="552"/>
      <c r="GW68" s="552"/>
      <c r="GX68" s="552"/>
      <c r="GY68" s="552"/>
      <c r="GZ68" s="552"/>
      <c r="HA68" s="552"/>
      <c r="HB68" s="552"/>
      <c r="HC68" s="552"/>
      <c r="HD68" s="552"/>
      <c r="HE68" s="552"/>
      <c r="HF68" s="552"/>
      <c r="HG68" s="552"/>
      <c r="HH68" s="552"/>
      <c r="HI68" s="552"/>
      <c r="HJ68" s="552"/>
      <c r="HK68" s="552"/>
      <c r="HL68" s="552"/>
      <c r="HM68" s="552"/>
      <c r="HN68" s="552"/>
      <c r="HO68" s="552"/>
      <c r="HP68" s="552"/>
      <c r="HQ68" s="552"/>
      <c r="HR68" s="552"/>
      <c r="HS68" s="552"/>
      <c r="HT68" s="552"/>
      <c r="HU68" s="552"/>
      <c r="HV68" s="552"/>
      <c r="HW68" s="552"/>
      <c r="HX68" s="552"/>
      <c r="HY68" s="552"/>
      <c r="HZ68" s="552"/>
      <c r="IA68" s="552"/>
      <c r="IB68" s="552"/>
      <c r="IC68" s="552"/>
      <c r="ID68" s="552"/>
      <c r="IE68" s="552"/>
      <c r="IF68" s="552"/>
      <c r="IG68" s="552"/>
      <c r="IH68" s="552"/>
      <c r="II68" s="552"/>
      <c r="IJ68" s="552"/>
      <c r="IK68" s="552"/>
      <c r="IL68" s="552"/>
      <c r="IM68" s="552"/>
      <c r="IN68" s="552"/>
      <c r="IO68" s="552"/>
      <c r="IP68" s="552"/>
      <c r="IQ68" s="552"/>
      <c r="IR68" s="552"/>
      <c r="IS68" s="552"/>
      <c r="IT68" s="552"/>
      <c r="IU68" s="552"/>
      <c r="IV68" s="552"/>
    </row>
    <row r="69" spans="1:256" s="600" customFormat="1" ht="18" customHeight="1">
      <c r="A69" s="588">
        <v>61</v>
      </c>
      <c r="B69" s="645"/>
      <c r="C69" s="635"/>
      <c r="D69" s="620" t="s">
        <v>1022</v>
      </c>
      <c r="E69" s="637"/>
      <c r="F69" s="637"/>
      <c r="G69" s="646"/>
      <c r="H69" s="639"/>
      <c r="I69" s="640"/>
      <c r="J69" s="640"/>
      <c r="K69" s="640"/>
      <c r="L69" s="640"/>
      <c r="M69" s="640"/>
      <c r="N69" s="650"/>
      <c r="O69" s="562">
        <f>SUM(I69:N69)</f>
        <v>0</v>
      </c>
      <c r="P69" s="654"/>
      <c r="Q69" s="552"/>
      <c r="R69" s="552"/>
      <c r="S69" s="552"/>
      <c r="T69" s="552"/>
      <c r="U69" s="552"/>
      <c r="V69" s="552"/>
      <c r="W69" s="552"/>
      <c r="X69" s="552"/>
      <c r="Y69" s="552"/>
      <c r="Z69" s="552"/>
      <c r="AA69" s="552"/>
      <c r="AB69" s="552"/>
      <c r="AC69" s="552"/>
      <c r="AD69" s="552"/>
      <c r="AE69" s="552"/>
      <c r="AF69" s="552"/>
      <c r="AG69" s="552"/>
      <c r="AH69" s="552"/>
      <c r="AI69" s="552"/>
      <c r="AJ69" s="552"/>
      <c r="AK69" s="552"/>
      <c r="AL69" s="552"/>
      <c r="AM69" s="552"/>
      <c r="AN69" s="552"/>
      <c r="AO69" s="552"/>
      <c r="AP69" s="552"/>
      <c r="AQ69" s="552"/>
      <c r="AR69" s="552"/>
      <c r="AS69" s="552"/>
      <c r="AT69" s="552"/>
      <c r="AU69" s="552"/>
      <c r="AV69" s="552"/>
      <c r="AW69" s="552"/>
      <c r="AX69" s="552"/>
      <c r="AY69" s="552"/>
      <c r="AZ69" s="552"/>
      <c r="BA69" s="552"/>
      <c r="BB69" s="552"/>
      <c r="BC69" s="552"/>
      <c r="BD69" s="552"/>
      <c r="BE69" s="552"/>
      <c r="BF69" s="552"/>
      <c r="BG69" s="552"/>
      <c r="BH69" s="552"/>
      <c r="BI69" s="552"/>
      <c r="BJ69" s="552"/>
      <c r="BK69" s="552"/>
      <c r="BL69" s="552"/>
      <c r="BM69" s="552"/>
      <c r="BN69" s="552"/>
      <c r="BO69" s="552"/>
      <c r="BP69" s="552"/>
      <c r="BQ69" s="552"/>
      <c r="BR69" s="552"/>
      <c r="BS69" s="552"/>
      <c r="BT69" s="552"/>
      <c r="BU69" s="552"/>
      <c r="BV69" s="552"/>
      <c r="BW69" s="552"/>
      <c r="BX69" s="552"/>
      <c r="BY69" s="552"/>
      <c r="BZ69" s="552"/>
      <c r="CA69" s="552"/>
      <c r="CB69" s="552"/>
      <c r="CC69" s="552"/>
      <c r="CD69" s="552"/>
      <c r="CE69" s="552"/>
      <c r="CF69" s="552"/>
      <c r="CG69" s="552"/>
      <c r="CH69" s="552"/>
      <c r="CI69" s="552"/>
      <c r="CJ69" s="552"/>
      <c r="CK69" s="552"/>
      <c r="CL69" s="552"/>
      <c r="CM69" s="552"/>
      <c r="CN69" s="552"/>
      <c r="CO69" s="552"/>
      <c r="CP69" s="552"/>
      <c r="CQ69" s="552"/>
      <c r="CR69" s="552"/>
      <c r="CS69" s="552"/>
      <c r="CT69" s="552"/>
      <c r="CU69" s="552"/>
      <c r="CV69" s="552"/>
      <c r="CW69" s="552"/>
      <c r="CX69" s="552"/>
      <c r="CY69" s="552"/>
      <c r="CZ69" s="552"/>
      <c r="DA69" s="552"/>
      <c r="DB69" s="552"/>
      <c r="DC69" s="552"/>
      <c r="DD69" s="552"/>
      <c r="DE69" s="552"/>
      <c r="DF69" s="552"/>
      <c r="DG69" s="552"/>
      <c r="DH69" s="552"/>
      <c r="DI69" s="552"/>
      <c r="DJ69" s="552"/>
      <c r="DK69" s="552"/>
      <c r="DL69" s="552"/>
      <c r="DM69" s="552"/>
      <c r="DN69" s="552"/>
      <c r="DO69" s="552"/>
      <c r="DP69" s="552"/>
      <c r="DQ69" s="552"/>
      <c r="DR69" s="552"/>
      <c r="DS69" s="552"/>
      <c r="DT69" s="552"/>
      <c r="DU69" s="552"/>
      <c r="DV69" s="552"/>
      <c r="DW69" s="552"/>
      <c r="DX69" s="552"/>
      <c r="DY69" s="552"/>
      <c r="DZ69" s="552"/>
      <c r="EA69" s="552"/>
      <c r="EB69" s="552"/>
      <c r="EC69" s="552"/>
      <c r="ED69" s="552"/>
      <c r="EE69" s="552"/>
      <c r="EF69" s="552"/>
      <c r="EG69" s="552"/>
      <c r="EH69" s="552"/>
      <c r="EI69" s="552"/>
      <c r="EJ69" s="552"/>
      <c r="EK69" s="552"/>
      <c r="EL69" s="552"/>
      <c r="EM69" s="552"/>
      <c r="EN69" s="552"/>
      <c r="EO69" s="552"/>
      <c r="EP69" s="552"/>
      <c r="EQ69" s="552"/>
      <c r="ER69" s="552"/>
      <c r="ES69" s="552"/>
      <c r="ET69" s="552"/>
      <c r="EU69" s="552"/>
      <c r="EV69" s="552"/>
      <c r="EW69" s="552"/>
      <c r="EX69" s="552"/>
      <c r="EY69" s="552"/>
      <c r="EZ69" s="552"/>
      <c r="FA69" s="552"/>
      <c r="FB69" s="552"/>
      <c r="FC69" s="552"/>
      <c r="FD69" s="552"/>
      <c r="FE69" s="552"/>
      <c r="FF69" s="552"/>
      <c r="FG69" s="552"/>
      <c r="FH69" s="552"/>
      <c r="FI69" s="552"/>
      <c r="FJ69" s="552"/>
      <c r="FK69" s="552"/>
      <c r="FL69" s="552"/>
      <c r="FM69" s="552"/>
      <c r="FN69" s="552"/>
      <c r="FO69" s="552"/>
      <c r="FP69" s="552"/>
      <c r="FQ69" s="552"/>
      <c r="FR69" s="552"/>
      <c r="FS69" s="552"/>
      <c r="FT69" s="552"/>
      <c r="FU69" s="552"/>
      <c r="FV69" s="552"/>
      <c r="FW69" s="552"/>
      <c r="FX69" s="552"/>
      <c r="FY69" s="552"/>
      <c r="FZ69" s="552"/>
      <c r="GA69" s="552"/>
      <c r="GB69" s="552"/>
      <c r="GC69" s="552"/>
      <c r="GD69" s="552"/>
      <c r="GE69" s="552"/>
      <c r="GF69" s="552"/>
      <c r="GG69" s="552"/>
      <c r="GH69" s="552"/>
      <c r="GI69" s="552"/>
      <c r="GJ69" s="552"/>
      <c r="GK69" s="552"/>
      <c r="GL69" s="552"/>
      <c r="GM69" s="552"/>
      <c r="GN69" s="552"/>
      <c r="GO69" s="552"/>
      <c r="GP69" s="552"/>
      <c r="GQ69" s="552"/>
      <c r="GR69" s="552"/>
      <c r="GS69" s="552"/>
      <c r="GT69" s="552"/>
      <c r="GU69" s="552"/>
      <c r="GV69" s="552"/>
      <c r="GW69" s="552"/>
      <c r="GX69" s="552"/>
      <c r="GY69" s="552"/>
      <c r="GZ69" s="552"/>
      <c r="HA69" s="552"/>
      <c r="HB69" s="552"/>
      <c r="HC69" s="552"/>
      <c r="HD69" s="552"/>
      <c r="HE69" s="552"/>
      <c r="HF69" s="552"/>
      <c r="HG69" s="552"/>
      <c r="HH69" s="552"/>
      <c r="HI69" s="552"/>
      <c r="HJ69" s="552"/>
      <c r="HK69" s="552"/>
      <c r="HL69" s="552"/>
      <c r="HM69" s="552"/>
      <c r="HN69" s="552"/>
      <c r="HO69" s="552"/>
      <c r="HP69" s="552"/>
      <c r="HQ69" s="552"/>
      <c r="HR69" s="552"/>
      <c r="HS69" s="552"/>
      <c r="HT69" s="552"/>
      <c r="HU69" s="552"/>
      <c r="HV69" s="552"/>
      <c r="HW69" s="552"/>
      <c r="HX69" s="552"/>
      <c r="HY69" s="552"/>
      <c r="HZ69" s="552"/>
      <c r="IA69" s="552"/>
      <c r="IB69" s="552"/>
      <c r="IC69" s="552"/>
      <c r="ID69" s="552"/>
      <c r="IE69" s="552"/>
      <c r="IF69" s="552"/>
      <c r="IG69" s="552"/>
      <c r="IH69" s="552"/>
      <c r="II69" s="552"/>
      <c r="IJ69" s="552"/>
      <c r="IK69" s="552"/>
      <c r="IL69" s="552"/>
      <c r="IM69" s="552"/>
      <c r="IN69" s="552"/>
      <c r="IO69" s="552"/>
      <c r="IP69" s="552"/>
      <c r="IQ69" s="552"/>
      <c r="IR69" s="552"/>
      <c r="IS69" s="552"/>
      <c r="IT69" s="552"/>
      <c r="IU69" s="552"/>
      <c r="IV69" s="552"/>
    </row>
    <row r="70" spans="1:256" s="600" customFormat="1" ht="22.5" customHeight="1">
      <c r="A70" s="588">
        <v>62</v>
      </c>
      <c r="B70" s="645"/>
      <c r="C70" s="566">
        <v>21</v>
      </c>
      <c r="D70" s="564" t="s">
        <v>664</v>
      </c>
      <c r="E70" s="603">
        <f>F70+G70+P71+O72</f>
        <v>0</v>
      </c>
      <c r="F70" s="637"/>
      <c r="G70" s="646"/>
      <c r="H70" s="652" t="s">
        <v>231</v>
      </c>
      <c r="I70" s="640"/>
      <c r="J70" s="640"/>
      <c r="K70" s="640"/>
      <c r="L70" s="640"/>
      <c r="M70" s="640"/>
      <c r="N70" s="650"/>
      <c r="O70" s="643"/>
      <c r="P70" s="644"/>
      <c r="Q70" s="552"/>
      <c r="R70" s="552"/>
      <c r="S70" s="552"/>
      <c r="T70" s="552"/>
      <c r="U70" s="552"/>
      <c r="V70" s="552"/>
      <c r="W70" s="552"/>
      <c r="X70" s="552"/>
      <c r="Y70" s="552"/>
      <c r="Z70" s="552"/>
      <c r="AA70" s="552"/>
      <c r="AB70" s="552"/>
      <c r="AC70" s="552"/>
      <c r="AD70" s="552"/>
      <c r="AE70" s="552"/>
      <c r="AF70" s="552"/>
      <c r="AG70" s="552"/>
      <c r="AH70" s="552"/>
      <c r="AI70" s="552"/>
      <c r="AJ70" s="552"/>
      <c r="AK70" s="552"/>
      <c r="AL70" s="552"/>
      <c r="AM70" s="552"/>
      <c r="AN70" s="552"/>
      <c r="AO70" s="552"/>
      <c r="AP70" s="552"/>
      <c r="AQ70" s="552"/>
      <c r="AR70" s="552"/>
      <c r="AS70" s="552"/>
      <c r="AT70" s="552"/>
      <c r="AU70" s="552"/>
      <c r="AV70" s="552"/>
      <c r="AW70" s="552"/>
      <c r="AX70" s="552"/>
      <c r="AY70" s="552"/>
      <c r="AZ70" s="552"/>
      <c r="BA70" s="552"/>
      <c r="BB70" s="552"/>
      <c r="BC70" s="552"/>
      <c r="BD70" s="552"/>
      <c r="BE70" s="552"/>
      <c r="BF70" s="552"/>
      <c r="BG70" s="552"/>
      <c r="BH70" s="552"/>
      <c r="BI70" s="552"/>
      <c r="BJ70" s="552"/>
      <c r="BK70" s="552"/>
      <c r="BL70" s="552"/>
      <c r="BM70" s="552"/>
      <c r="BN70" s="552"/>
      <c r="BO70" s="552"/>
      <c r="BP70" s="552"/>
      <c r="BQ70" s="552"/>
      <c r="BR70" s="552"/>
      <c r="BS70" s="552"/>
      <c r="BT70" s="552"/>
      <c r="BU70" s="552"/>
      <c r="BV70" s="552"/>
      <c r="BW70" s="552"/>
      <c r="BX70" s="552"/>
      <c r="BY70" s="552"/>
      <c r="BZ70" s="552"/>
      <c r="CA70" s="552"/>
      <c r="CB70" s="552"/>
      <c r="CC70" s="552"/>
      <c r="CD70" s="552"/>
      <c r="CE70" s="552"/>
      <c r="CF70" s="552"/>
      <c r="CG70" s="552"/>
      <c r="CH70" s="552"/>
      <c r="CI70" s="552"/>
      <c r="CJ70" s="552"/>
      <c r="CK70" s="552"/>
      <c r="CL70" s="552"/>
      <c r="CM70" s="552"/>
      <c r="CN70" s="552"/>
      <c r="CO70" s="552"/>
      <c r="CP70" s="552"/>
      <c r="CQ70" s="552"/>
      <c r="CR70" s="552"/>
      <c r="CS70" s="552"/>
      <c r="CT70" s="552"/>
      <c r="CU70" s="552"/>
      <c r="CV70" s="552"/>
      <c r="CW70" s="552"/>
      <c r="CX70" s="552"/>
      <c r="CY70" s="552"/>
      <c r="CZ70" s="552"/>
      <c r="DA70" s="552"/>
      <c r="DB70" s="552"/>
      <c r="DC70" s="552"/>
      <c r="DD70" s="552"/>
      <c r="DE70" s="552"/>
      <c r="DF70" s="552"/>
      <c r="DG70" s="552"/>
      <c r="DH70" s="552"/>
      <c r="DI70" s="552"/>
      <c r="DJ70" s="552"/>
      <c r="DK70" s="552"/>
      <c r="DL70" s="552"/>
      <c r="DM70" s="552"/>
      <c r="DN70" s="552"/>
      <c r="DO70" s="552"/>
      <c r="DP70" s="552"/>
      <c r="DQ70" s="552"/>
      <c r="DR70" s="552"/>
      <c r="DS70" s="552"/>
      <c r="DT70" s="552"/>
      <c r="DU70" s="552"/>
      <c r="DV70" s="552"/>
      <c r="DW70" s="552"/>
      <c r="DX70" s="552"/>
      <c r="DY70" s="552"/>
      <c r="DZ70" s="552"/>
      <c r="EA70" s="552"/>
      <c r="EB70" s="552"/>
      <c r="EC70" s="552"/>
      <c r="ED70" s="552"/>
      <c r="EE70" s="552"/>
      <c r="EF70" s="552"/>
      <c r="EG70" s="552"/>
      <c r="EH70" s="552"/>
      <c r="EI70" s="552"/>
      <c r="EJ70" s="552"/>
      <c r="EK70" s="552"/>
      <c r="EL70" s="552"/>
      <c r="EM70" s="552"/>
      <c r="EN70" s="552"/>
      <c r="EO70" s="552"/>
      <c r="EP70" s="552"/>
      <c r="EQ70" s="552"/>
      <c r="ER70" s="552"/>
      <c r="ES70" s="552"/>
      <c r="ET70" s="552"/>
      <c r="EU70" s="552"/>
      <c r="EV70" s="552"/>
      <c r="EW70" s="552"/>
      <c r="EX70" s="552"/>
      <c r="EY70" s="552"/>
      <c r="EZ70" s="552"/>
      <c r="FA70" s="552"/>
      <c r="FB70" s="552"/>
      <c r="FC70" s="552"/>
      <c r="FD70" s="552"/>
      <c r="FE70" s="552"/>
      <c r="FF70" s="552"/>
      <c r="FG70" s="552"/>
      <c r="FH70" s="552"/>
      <c r="FI70" s="552"/>
      <c r="FJ70" s="552"/>
      <c r="FK70" s="552"/>
      <c r="FL70" s="552"/>
      <c r="FM70" s="552"/>
      <c r="FN70" s="552"/>
      <c r="FO70" s="552"/>
      <c r="FP70" s="552"/>
      <c r="FQ70" s="552"/>
      <c r="FR70" s="552"/>
      <c r="FS70" s="552"/>
      <c r="FT70" s="552"/>
      <c r="FU70" s="552"/>
      <c r="FV70" s="552"/>
      <c r="FW70" s="552"/>
      <c r="FX70" s="552"/>
      <c r="FY70" s="552"/>
      <c r="FZ70" s="552"/>
      <c r="GA70" s="552"/>
      <c r="GB70" s="552"/>
      <c r="GC70" s="552"/>
      <c r="GD70" s="552"/>
      <c r="GE70" s="552"/>
      <c r="GF70" s="552"/>
      <c r="GG70" s="552"/>
      <c r="GH70" s="552"/>
      <c r="GI70" s="552"/>
      <c r="GJ70" s="552"/>
      <c r="GK70" s="552"/>
      <c r="GL70" s="552"/>
      <c r="GM70" s="552"/>
      <c r="GN70" s="552"/>
      <c r="GO70" s="552"/>
      <c r="GP70" s="552"/>
      <c r="GQ70" s="552"/>
      <c r="GR70" s="552"/>
      <c r="GS70" s="552"/>
      <c r="GT70" s="552"/>
      <c r="GU70" s="552"/>
      <c r="GV70" s="552"/>
      <c r="GW70" s="552"/>
      <c r="GX70" s="552"/>
      <c r="GY70" s="552"/>
      <c r="GZ70" s="552"/>
      <c r="HA70" s="552"/>
      <c r="HB70" s="552"/>
      <c r="HC70" s="552"/>
      <c r="HD70" s="552"/>
      <c r="HE70" s="552"/>
      <c r="HF70" s="552"/>
      <c r="HG70" s="552"/>
      <c r="HH70" s="552"/>
      <c r="HI70" s="552"/>
      <c r="HJ70" s="552"/>
      <c r="HK70" s="552"/>
      <c r="HL70" s="552"/>
      <c r="HM70" s="552"/>
      <c r="HN70" s="552"/>
      <c r="HO70" s="552"/>
      <c r="HP70" s="552"/>
      <c r="HQ70" s="552"/>
      <c r="HR70" s="552"/>
      <c r="HS70" s="552"/>
      <c r="HT70" s="552"/>
      <c r="HU70" s="552"/>
      <c r="HV70" s="552"/>
      <c r="HW70" s="552"/>
      <c r="HX70" s="552"/>
      <c r="HY70" s="552"/>
      <c r="HZ70" s="552"/>
      <c r="IA70" s="552"/>
      <c r="IB70" s="552"/>
      <c r="IC70" s="552"/>
      <c r="ID70" s="552"/>
      <c r="IE70" s="552"/>
      <c r="IF70" s="552"/>
      <c r="IG70" s="552"/>
      <c r="IH70" s="552"/>
      <c r="II70" s="552"/>
      <c r="IJ70" s="552"/>
      <c r="IK70" s="552"/>
      <c r="IL70" s="552"/>
      <c r="IM70" s="552"/>
      <c r="IN70" s="552"/>
      <c r="IO70" s="552"/>
      <c r="IP70" s="552"/>
      <c r="IQ70" s="552"/>
      <c r="IR70" s="552"/>
      <c r="IS70" s="552"/>
      <c r="IT70" s="552"/>
      <c r="IU70" s="552"/>
      <c r="IV70" s="552"/>
    </row>
    <row r="71" spans="1:256" s="600" customFormat="1" ht="18" customHeight="1">
      <c r="A71" s="588">
        <v>63</v>
      </c>
      <c r="B71" s="645"/>
      <c r="C71" s="635"/>
      <c r="D71" s="636" t="s">
        <v>198</v>
      </c>
      <c r="E71" s="637"/>
      <c r="F71" s="637"/>
      <c r="G71" s="646"/>
      <c r="H71" s="639"/>
      <c r="I71" s="640"/>
      <c r="J71" s="640"/>
      <c r="K71" s="640">
        <v>500</v>
      </c>
      <c r="L71" s="640"/>
      <c r="M71" s="640"/>
      <c r="N71" s="650"/>
      <c r="O71" s="643">
        <f>SUM(I71:N71)</f>
        <v>500</v>
      </c>
      <c r="P71" s="655"/>
      <c r="Q71" s="552"/>
      <c r="R71" s="552"/>
      <c r="S71" s="552"/>
      <c r="T71" s="552"/>
      <c r="U71" s="552"/>
      <c r="V71" s="552"/>
      <c r="W71" s="552"/>
      <c r="X71" s="552"/>
      <c r="Y71" s="552"/>
      <c r="Z71" s="552"/>
      <c r="AA71" s="552"/>
      <c r="AB71" s="552"/>
      <c r="AC71" s="552"/>
      <c r="AD71" s="552"/>
      <c r="AE71" s="552"/>
      <c r="AF71" s="552"/>
      <c r="AG71" s="552"/>
      <c r="AH71" s="552"/>
      <c r="AI71" s="552"/>
      <c r="AJ71" s="552"/>
      <c r="AK71" s="552"/>
      <c r="AL71" s="552"/>
      <c r="AM71" s="552"/>
      <c r="AN71" s="552"/>
      <c r="AO71" s="552"/>
      <c r="AP71" s="552"/>
      <c r="AQ71" s="552"/>
      <c r="AR71" s="552"/>
      <c r="AS71" s="552"/>
      <c r="AT71" s="552"/>
      <c r="AU71" s="552"/>
      <c r="AV71" s="552"/>
      <c r="AW71" s="552"/>
      <c r="AX71" s="552"/>
      <c r="AY71" s="552"/>
      <c r="AZ71" s="552"/>
      <c r="BA71" s="552"/>
      <c r="BB71" s="552"/>
      <c r="BC71" s="552"/>
      <c r="BD71" s="552"/>
      <c r="BE71" s="552"/>
      <c r="BF71" s="552"/>
      <c r="BG71" s="552"/>
      <c r="BH71" s="552"/>
      <c r="BI71" s="552"/>
      <c r="BJ71" s="552"/>
      <c r="BK71" s="552"/>
      <c r="BL71" s="552"/>
      <c r="BM71" s="552"/>
      <c r="BN71" s="552"/>
      <c r="BO71" s="552"/>
      <c r="BP71" s="552"/>
      <c r="BQ71" s="552"/>
      <c r="BR71" s="552"/>
      <c r="BS71" s="552"/>
      <c r="BT71" s="552"/>
      <c r="BU71" s="552"/>
      <c r="BV71" s="552"/>
      <c r="BW71" s="552"/>
      <c r="BX71" s="552"/>
      <c r="BY71" s="552"/>
      <c r="BZ71" s="552"/>
      <c r="CA71" s="552"/>
      <c r="CB71" s="552"/>
      <c r="CC71" s="552"/>
      <c r="CD71" s="552"/>
      <c r="CE71" s="552"/>
      <c r="CF71" s="552"/>
      <c r="CG71" s="552"/>
      <c r="CH71" s="552"/>
      <c r="CI71" s="552"/>
      <c r="CJ71" s="552"/>
      <c r="CK71" s="552"/>
      <c r="CL71" s="552"/>
      <c r="CM71" s="552"/>
      <c r="CN71" s="552"/>
      <c r="CO71" s="552"/>
      <c r="CP71" s="552"/>
      <c r="CQ71" s="552"/>
      <c r="CR71" s="552"/>
      <c r="CS71" s="552"/>
      <c r="CT71" s="552"/>
      <c r="CU71" s="552"/>
      <c r="CV71" s="552"/>
      <c r="CW71" s="552"/>
      <c r="CX71" s="552"/>
      <c r="CY71" s="552"/>
      <c r="CZ71" s="552"/>
      <c r="DA71" s="552"/>
      <c r="DB71" s="552"/>
      <c r="DC71" s="552"/>
      <c r="DD71" s="552"/>
      <c r="DE71" s="552"/>
      <c r="DF71" s="552"/>
      <c r="DG71" s="552"/>
      <c r="DH71" s="552"/>
      <c r="DI71" s="552"/>
      <c r="DJ71" s="552"/>
      <c r="DK71" s="552"/>
      <c r="DL71" s="552"/>
      <c r="DM71" s="552"/>
      <c r="DN71" s="552"/>
      <c r="DO71" s="552"/>
      <c r="DP71" s="552"/>
      <c r="DQ71" s="552"/>
      <c r="DR71" s="552"/>
      <c r="DS71" s="552"/>
      <c r="DT71" s="552"/>
      <c r="DU71" s="552"/>
      <c r="DV71" s="552"/>
      <c r="DW71" s="552"/>
      <c r="DX71" s="552"/>
      <c r="DY71" s="552"/>
      <c r="DZ71" s="552"/>
      <c r="EA71" s="552"/>
      <c r="EB71" s="552"/>
      <c r="EC71" s="552"/>
      <c r="ED71" s="552"/>
      <c r="EE71" s="552"/>
      <c r="EF71" s="552"/>
      <c r="EG71" s="552"/>
      <c r="EH71" s="552"/>
      <c r="EI71" s="552"/>
      <c r="EJ71" s="552"/>
      <c r="EK71" s="552"/>
      <c r="EL71" s="552"/>
      <c r="EM71" s="552"/>
      <c r="EN71" s="552"/>
      <c r="EO71" s="552"/>
      <c r="EP71" s="552"/>
      <c r="EQ71" s="552"/>
      <c r="ER71" s="552"/>
      <c r="ES71" s="552"/>
      <c r="ET71" s="552"/>
      <c r="EU71" s="552"/>
      <c r="EV71" s="552"/>
      <c r="EW71" s="552"/>
      <c r="EX71" s="552"/>
      <c r="EY71" s="552"/>
      <c r="EZ71" s="552"/>
      <c r="FA71" s="552"/>
      <c r="FB71" s="552"/>
      <c r="FC71" s="552"/>
      <c r="FD71" s="552"/>
      <c r="FE71" s="552"/>
      <c r="FF71" s="552"/>
      <c r="FG71" s="552"/>
      <c r="FH71" s="552"/>
      <c r="FI71" s="552"/>
      <c r="FJ71" s="552"/>
      <c r="FK71" s="552"/>
      <c r="FL71" s="552"/>
      <c r="FM71" s="552"/>
      <c r="FN71" s="552"/>
      <c r="FO71" s="552"/>
      <c r="FP71" s="552"/>
      <c r="FQ71" s="552"/>
      <c r="FR71" s="552"/>
      <c r="FS71" s="552"/>
      <c r="FT71" s="552"/>
      <c r="FU71" s="552"/>
      <c r="FV71" s="552"/>
      <c r="FW71" s="552"/>
      <c r="FX71" s="552"/>
      <c r="FY71" s="552"/>
      <c r="FZ71" s="552"/>
      <c r="GA71" s="552"/>
      <c r="GB71" s="552"/>
      <c r="GC71" s="552"/>
      <c r="GD71" s="552"/>
      <c r="GE71" s="552"/>
      <c r="GF71" s="552"/>
      <c r="GG71" s="552"/>
      <c r="GH71" s="552"/>
      <c r="GI71" s="552"/>
      <c r="GJ71" s="552"/>
      <c r="GK71" s="552"/>
      <c r="GL71" s="552"/>
      <c r="GM71" s="552"/>
      <c r="GN71" s="552"/>
      <c r="GO71" s="552"/>
      <c r="GP71" s="552"/>
      <c r="GQ71" s="552"/>
      <c r="GR71" s="552"/>
      <c r="GS71" s="552"/>
      <c r="GT71" s="552"/>
      <c r="GU71" s="552"/>
      <c r="GV71" s="552"/>
      <c r="GW71" s="552"/>
      <c r="GX71" s="552"/>
      <c r="GY71" s="552"/>
      <c r="GZ71" s="552"/>
      <c r="HA71" s="552"/>
      <c r="HB71" s="552"/>
      <c r="HC71" s="552"/>
      <c r="HD71" s="552"/>
      <c r="HE71" s="552"/>
      <c r="HF71" s="552"/>
      <c r="HG71" s="552"/>
      <c r="HH71" s="552"/>
      <c r="HI71" s="552"/>
      <c r="HJ71" s="552"/>
      <c r="HK71" s="552"/>
      <c r="HL71" s="552"/>
      <c r="HM71" s="552"/>
      <c r="HN71" s="552"/>
      <c r="HO71" s="552"/>
      <c r="HP71" s="552"/>
      <c r="HQ71" s="552"/>
      <c r="HR71" s="552"/>
      <c r="HS71" s="552"/>
      <c r="HT71" s="552"/>
      <c r="HU71" s="552"/>
      <c r="HV71" s="552"/>
      <c r="HW71" s="552"/>
      <c r="HX71" s="552"/>
      <c r="HY71" s="552"/>
      <c r="HZ71" s="552"/>
      <c r="IA71" s="552"/>
      <c r="IB71" s="552"/>
      <c r="IC71" s="552"/>
      <c r="ID71" s="552"/>
      <c r="IE71" s="552"/>
      <c r="IF71" s="552"/>
      <c r="IG71" s="552"/>
      <c r="IH71" s="552"/>
      <c r="II71" s="552"/>
      <c r="IJ71" s="552"/>
      <c r="IK71" s="552"/>
      <c r="IL71" s="552"/>
      <c r="IM71" s="552"/>
      <c r="IN71" s="552"/>
      <c r="IO71" s="552"/>
      <c r="IP71" s="552"/>
      <c r="IQ71" s="552"/>
      <c r="IR71" s="552"/>
      <c r="IS71" s="552"/>
      <c r="IT71" s="552"/>
      <c r="IU71" s="552"/>
      <c r="IV71" s="552"/>
    </row>
    <row r="72" spans="1:256" s="600" customFormat="1" ht="18" customHeight="1">
      <c r="A72" s="588">
        <v>64</v>
      </c>
      <c r="B72" s="645"/>
      <c r="C72" s="635"/>
      <c r="D72" s="617" t="s">
        <v>765</v>
      </c>
      <c r="E72" s="637"/>
      <c r="F72" s="637"/>
      <c r="G72" s="646"/>
      <c r="H72" s="639"/>
      <c r="I72" s="647"/>
      <c r="J72" s="647"/>
      <c r="K72" s="647">
        <v>0</v>
      </c>
      <c r="L72" s="647"/>
      <c r="M72" s="647"/>
      <c r="N72" s="648"/>
      <c r="O72" s="569">
        <f>SUM(I72:N72)</f>
        <v>0</v>
      </c>
      <c r="P72" s="655"/>
      <c r="Q72" s="552"/>
      <c r="R72" s="552"/>
      <c r="S72" s="552"/>
      <c r="T72" s="552"/>
      <c r="U72" s="552"/>
      <c r="V72" s="552"/>
      <c r="W72" s="552"/>
      <c r="X72" s="552"/>
      <c r="Y72" s="552"/>
      <c r="Z72" s="552"/>
      <c r="AA72" s="552"/>
      <c r="AB72" s="552"/>
      <c r="AC72" s="552"/>
      <c r="AD72" s="552"/>
      <c r="AE72" s="552"/>
      <c r="AF72" s="552"/>
      <c r="AG72" s="552"/>
      <c r="AH72" s="552"/>
      <c r="AI72" s="552"/>
      <c r="AJ72" s="552"/>
      <c r="AK72" s="552"/>
      <c r="AL72" s="552"/>
      <c r="AM72" s="552"/>
      <c r="AN72" s="552"/>
      <c r="AO72" s="552"/>
      <c r="AP72" s="552"/>
      <c r="AQ72" s="552"/>
      <c r="AR72" s="552"/>
      <c r="AS72" s="552"/>
      <c r="AT72" s="552"/>
      <c r="AU72" s="552"/>
      <c r="AV72" s="552"/>
      <c r="AW72" s="552"/>
      <c r="AX72" s="552"/>
      <c r="AY72" s="552"/>
      <c r="AZ72" s="552"/>
      <c r="BA72" s="552"/>
      <c r="BB72" s="552"/>
      <c r="BC72" s="552"/>
      <c r="BD72" s="552"/>
      <c r="BE72" s="552"/>
      <c r="BF72" s="552"/>
      <c r="BG72" s="552"/>
      <c r="BH72" s="552"/>
      <c r="BI72" s="552"/>
      <c r="BJ72" s="552"/>
      <c r="BK72" s="552"/>
      <c r="BL72" s="552"/>
      <c r="BM72" s="552"/>
      <c r="BN72" s="552"/>
      <c r="BO72" s="552"/>
      <c r="BP72" s="552"/>
      <c r="BQ72" s="552"/>
      <c r="BR72" s="552"/>
      <c r="BS72" s="552"/>
      <c r="BT72" s="552"/>
      <c r="BU72" s="552"/>
      <c r="BV72" s="552"/>
      <c r="BW72" s="552"/>
      <c r="BX72" s="552"/>
      <c r="BY72" s="552"/>
      <c r="BZ72" s="552"/>
      <c r="CA72" s="552"/>
      <c r="CB72" s="552"/>
      <c r="CC72" s="552"/>
      <c r="CD72" s="552"/>
      <c r="CE72" s="552"/>
      <c r="CF72" s="552"/>
      <c r="CG72" s="552"/>
      <c r="CH72" s="552"/>
      <c r="CI72" s="552"/>
      <c r="CJ72" s="552"/>
      <c r="CK72" s="552"/>
      <c r="CL72" s="552"/>
      <c r="CM72" s="552"/>
      <c r="CN72" s="552"/>
      <c r="CO72" s="552"/>
      <c r="CP72" s="552"/>
      <c r="CQ72" s="552"/>
      <c r="CR72" s="552"/>
      <c r="CS72" s="552"/>
      <c r="CT72" s="552"/>
      <c r="CU72" s="552"/>
      <c r="CV72" s="552"/>
      <c r="CW72" s="552"/>
      <c r="CX72" s="552"/>
      <c r="CY72" s="552"/>
      <c r="CZ72" s="552"/>
      <c r="DA72" s="552"/>
      <c r="DB72" s="552"/>
      <c r="DC72" s="552"/>
      <c r="DD72" s="552"/>
      <c r="DE72" s="552"/>
      <c r="DF72" s="552"/>
      <c r="DG72" s="552"/>
      <c r="DH72" s="552"/>
      <c r="DI72" s="552"/>
      <c r="DJ72" s="552"/>
      <c r="DK72" s="552"/>
      <c r="DL72" s="552"/>
      <c r="DM72" s="552"/>
      <c r="DN72" s="552"/>
      <c r="DO72" s="552"/>
      <c r="DP72" s="552"/>
      <c r="DQ72" s="552"/>
      <c r="DR72" s="552"/>
      <c r="DS72" s="552"/>
      <c r="DT72" s="552"/>
      <c r="DU72" s="552"/>
      <c r="DV72" s="552"/>
      <c r="DW72" s="552"/>
      <c r="DX72" s="552"/>
      <c r="DY72" s="552"/>
      <c r="DZ72" s="552"/>
      <c r="EA72" s="552"/>
      <c r="EB72" s="552"/>
      <c r="EC72" s="552"/>
      <c r="ED72" s="552"/>
      <c r="EE72" s="552"/>
      <c r="EF72" s="552"/>
      <c r="EG72" s="552"/>
      <c r="EH72" s="552"/>
      <c r="EI72" s="552"/>
      <c r="EJ72" s="552"/>
      <c r="EK72" s="552"/>
      <c r="EL72" s="552"/>
      <c r="EM72" s="552"/>
      <c r="EN72" s="552"/>
      <c r="EO72" s="552"/>
      <c r="EP72" s="552"/>
      <c r="EQ72" s="552"/>
      <c r="ER72" s="552"/>
      <c r="ES72" s="552"/>
      <c r="ET72" s="552"/>
      <c r="EU72" s="552"/>
      <c r="EV72" s="552"/>
      <c r="EW72" s="552"/>
      <c r="EX72" s="552"/>
      <c r="EY72" s="552"/>
      <c r="EZ72" s="552"/>
      <c r="FA72" s="552"/>
      <c r="FB72" s="552"/>
      <c r="FC72" s="552"/>
      <c r="FD72" s="552"/>
      <c r="FE72" s="552"/>
      <c r="FF72" s="552"/>
      <c r="FG72" s="552"/>
      <c r="FH72" s="552"/>
      <c r="FI72" s="552"/>
      <c r="FJ72" s="552"/>
      <c r="FK72" s="552"/>
      <c r="FL72" s="552"/>
      <c r="FM72" s="552"/>
      <c r="FN72" s="552"/>
      <c r="FO72" s="552"/>
      <c r="FP72" s="552"/>
      <c r="FQ72" s="552"/>
      <c r="FR72" s="552"/>
      <c r="FS72" s="552"/>
      <c r="FT72" s="552"/>
      <c r="FU72" s="552"/>
      <c r="FV72" s="552"/>
      <c r="FW72" s="552"/>
      <c r="FX72" s="552"/>
      <c r="FY72" s="552"/>
      <c r="FZ72" s="552"/>
      <c r="GA72" s="552"/>
      <c r="GB72" s="552"/>
      <c r="GC72" s="552"/>
      <c r="GD72" s="552"/>
      <c r="GE72" s="552"/>
      <c r="GF72" s="552"/>
      <c r="GG72" s="552"/>
      <c r="GH72" s="552"/>
      <c r="GI72" s="552"/>
      <c r="GJ72" s="552"/>
      <c r="GK72" s="552"/>
      <c r="GL72" s="552"/>
      <c r="GM72" s="552"/>
      <c r="GN72" s="552"/>
      <c r="GO72" s="552"/>
      <c r="GP72" s="552"/>
      <c r="GQ72" s="552"/>
      <c r="GR72" s="552"/>
      <c r="GS72" s="552"/>
      <c r="GT72" s="552"/>
      <c r="GU72" s="552"/>
      <c r="GV72" s="552"/>
      <c r="GW72" s="552"/>
      <c r="GX72" s="552"/>
      <c r="GY72" s="552"/>
      <c r="GZ72" s="552"/>
      <c r="HA72" s="552"/>
      <c r="HB72" s="552"/>
      <c r="HC72" s="552"/>
      <c r="HD72" s="552"/>
      <c r="HE72" s="552"/>
      <c r="HF72" s="552"/>
      <c r="HG72" s="552"/>
      <c r="HH72" s="552"/>
      <c r="HI72" s="552"/>
      <c r="HJ72" s="552"/>
      <c r="HK72" s="552"/>
      <c r="HL72" s="552"/>
      <c r="HM72" s="552"/>
      <c r="HN72" s="552"/>
      <c r="HO72" s="552"/>
      <c r="HP72" s="552"/>
      <c r="HQ72" s="552"/>
      <c r="HR72" s="552"/>
      <c r="HS72" s="552"/>
      <c r="HT72" s="552"/>
      <c r="HU72" s="552"/>
      <c r="HV72" s="552"/>
      <c r="HW72" s="552"/>
      <c r="HX72" s="552"/>
      <c r="HY72" s="552"/>
      <c r="HZ72" s="552"/>
      <c r="IA72" s="552"/>
      <c r="IB72" s="552"/>
      <c r="IC72" s="552"/>
      <c r="ID72" s="552"/>
      <c r="IE72" s="552"/>
      <c r="IF72" s="552"/>
      <c r="IG72" s="552"/>
      <c r="IH72" s="552"/>
      <c r="II72" s="552"/>
      <c r="IJ72" s="552"/>
      <c r="IK72" s="552"/>
      <c r="IL72" s="552"/>
      <c r="IM72" s="552"/>
      <c r="IN72" s="552"/>
      <c r="IO72" s="552"/>
      <c r="IP72" s="552"/>
      <c r="IQ72" s="552"/>
      <c r="IR72" s="552"/>
      <c r="IS72" s="552"/>
      <c r="IT72" s="552"/>
      <c r="IU72" s="552"/>
      <c r="IV72" s="552"/>
    </row>
    <row r="73" spans="1:256" s="600" customFormat="1" ht="18" customHeight="1">
      <c r="A73" s="588">
        <v>65</v>
      </c>
      <c r="B73" s="601"/>
      <c r="C73" s="556"/>
      <c r="D73" s="576" t="s">
        <v>1022</v>
      </c>
      <c r="E73" s="604"/>
      <c r="F73" s="604"/>
      <c r="G73" s="656"/>
      <c r="H73" s="615"/>
      <c r="I73" s="607"/>
      <c r="J73" s="607"/>
      <c r="K73" s="657"/>
      <c r="L73" s="607"/>
      <c r="M73" s="607"/>
      <c r="N73" s="658"/>
      <c r="O73" s="562">
        <f>SUM(I73:N73)</f>
        <v>0</v>
      </c>
      <c r="P73" s="659"/>
      <c r="Q73" s="552"/>
      <c r="R73" s="552"/>
      <c r="S73" s="552"/>
      <c r="T73" s="552"/>
      <c r="U73" s="552"/>
      <c r="V73" s="552"/>
      <c r="W73" s="552"/>
      <c r="X73" s="552"/>
      <c r="Y73" s="552"/>
      <c r="Z73" s="552"/>
      <c r="AA73" s="552"/>
      <c r="AB73" s="552"/>
      <c r="AC73" s="552"/>
      <c r="AD73" s="552"/>
      <c r="AE73" s="552"/>
      <c r="AF73" s="552"/>
      <c r="AG73" s="552"/>
      <c r="AH73" s="552"/>
      <c r="AI73" s="552"/>
      <c r="AJ73" s="552"/>
      <c r="AK73" s="552"/>
      <c r="AL73" s="552"/>
      <c r="AM73" s="552"/>
      <c r="AN73" s="552"/>
      <c r="AO73" s="552"/>
      <c r="AP73" s="552"/>
      <c r="AQ73" s="552"/>
      <c r="AR73" s="552"/>
      <c r="AS73" s="552"/>
      <c r="AT73" s="552"/>
      <c r="AU73" s="552"/>
      <c r="AV73" s="552"/>
      <c r="AW73" s="552"/>
      <c r="AX73" s="552"/>
      <c r="AY73" s="552"/>
      <c r="AZ73" s="552"/>
      <c r="BA73" s="552"/>
      <c r="BB73" s="552"/>
      <c r="BC73" s="552"/>
      <c r="BD73" s="552"/>
      <c r="BE73" s="552"/>
      <c r="BF73" s="552"/>
      <c r="BG73" s="552"/>
      <c r="BH73" s="552"/>
      <c r="BI73" s="552"/>
      <c r="BJ73" s="552"/>
      <c r="BK73" s="552"/>
      <c r="BL73" s="552"/>
      <c r="BM73" s="552"/>
      <c r="BN73" s="552"/>
      <c r="BO73" s="552"/>
      <c r="BP73" s="552"/>
      <c r="BQ73" s="552"/>
      <c r="BR73" s="552"/>
      <c r="BS73" s="552"/>
      <c r="BT73" s="552"/>
      <c r="BU73" s="552"/>
      <c r="BV73" s="552"/>
      <c r="BW73" s="552"/>
      <c r="BX73" s="552"/>
      <c r="BY73" s="552"/>
      <c r="BZ73" s="552"/>
      <c r="CA73" s="552"/>
      <c r="CB73" s="552"/>
      <c r="CC73" s="552"/>
      <c r="CD73" s="552"/>
      <c r="CE73" s="552"/>
      <c r="CF73" s="552"/>
      <c r="CG73" s="552"/>
      <c r="CH73" s="552"/>
      <c r="CI73" s="552"/>
      <c r="CJ73" s="552"/>
      <c r="CK73" s="552"/>
      <c r="CL73" s="552"/>
      <c r="CM73" s="552"/>
      <c r="CN73" s="552"/>
      <c r="CO73" s="552"/>
      <c r="CP73" s="552"/>
      <c r="CQ73" s="552"/>
      <c r="CR73" s="552"/>
      <c r="CS73" s="552"/>
      <c r="CT73" s="552"/>
      <c r="CU73" s="552"/>
      <c r="CV73" s="552"/>
      <c r="CW73" s="552"/>
      <c r="CX73" s="552"/>
      <c r="CY73" s="552"/>
      <c r="CZ73" s="552"/>
      <c r="DA73" s="552"/>
      <c r="DB73" s="552"/>
      <c r="DC73" s="552"/>
      <c r="DD73" s="552"/>
      <c r="DE73" s="552"/>
      <c r="DF73" s="552"/>
      <c r="DG73" s="552"/>
      <c r="DH73" s="552"/>
      <c r="DI73" s="552"/>
      <c r="DJ73" s="552"/>
      <c r="DK73" s="552"/>
      <c r="DL73" s="552"/>
      <c r="DM73" s="552"/>
      <c r="DN73" s="552"/>
      <c r="DO73" s="552"/>
      <c r="DP73" s="552"/>
      <c r="DQ73" s="552"/>
      <c r="DR73" s="552"/>
      <c r="DS73" s="552"/>
      <c r="DT73" s="552"/>
      <c r="DU73" s="552"/>
      <c r="DV73" s="552"/>
      <c r="DW73" s="552"/>
      <c r="DX73" s="552"/>
      <c r="DY73" s="552"/>
      <c r="DZ73" s="552"/>
      <c r="EA73" s="552"/>
      <c r="EB73" s="552"/>
      <c r="EC73" s="552"/>
      <c r="ED73" s="552"/>
      <c r="EE73" s="552"/>
      <c r="EF73" s="552"/>
      <c r="EG73" s="552"/>
      <c r="EH73" s="552"/>
      <c r="EI73" s="552"/>
      <c r="EJ73" s="552"/>
      <c r="EK73" s="552"/>
      <c r="EL73" s="552"/>
      <c r="EM73" s="552"/>
      <c r="EN73" s="552"/>
      <c r="EO73" s="552"/>
      <c r="EP73" s="552"/>
      <c r="EQ73" s="552"/>
      <c r="ER73" s="552"/>
      <c r="ES73" s="552"/>
      <c r="ET73" s="552"/>
      <c r="EU73" s="552"/>
      <c r="EV73" s="552"/>
      <c r="EW73" s="552"/>
      <c r="EX73" s="552"/>
      <c r="EY73" s="552"/>
      <c r="EZ73" s="552"/>
      <c r="FA73" s="552"/>
      <c r="FB73" s="552"/>
      <c r="FC73" s="552"/>
      <c r="FD73" s="552"/>
      <c r="FE73" s="552"/>
      <c r="FF73" s="552"/>
      <c r="FG73" s="552"/>
      <c r="FH73" s="552"/>
      <c r="FI73" s="552"/>
      <c r="FJ73" s="552"/>
      <c r="FK73" s="552"/>
      <c r="FL73" s="552"/>
      <c r="FM73" s="552"/>
      <c r="FN73" s="552"/>
      <c r="FO73" s="552"/>
      <c r="FP73" s="552"/>
      <c r="FQ73" s="552"/>
      <c r="FR73" s="552"/>
      <c r="FS73" s="552"/>
      <c r="FT73" s="552"/>
      <c r="FU73" s="552"/>
      <c r="FV73" s="552"/>
      <c r="FW73" s="552"/>
      <c r="FX73" s="552"/>
      <c r="FY73" s="552"/>
      <c r="FZ73" s="552"/>
      <c r="GA73" s="552"/>
      <c r="GB73" s="552"/>
      <c r="GC73" s="552"/>
      <c r="GD73" s="552"/>
      <c r="GE73" s="552"/>
      <c r="GF73" s="552"/>
      <c r="GG73" s="552"/>
      <c r="GH73" s="552"/>
      <c r="GI73" s="552"/>
      <c r="GJ73" s="552"/>
      <c r="GK73" s="552"/>
      <c r="GL73" s="552"/>
      <c r="GM73" s="552"/>
      <c r="GN73" s="552"/>
      <c r="GO73" s="552"/>
      <c r="GP73" s="552"/>
      <c r="GQ73" s="552"/>
      <c r="GR73" s="552"/>
      <c r="GS73" s="552"/>
      <c r="GT73" s="552"/>
      <c r="GU73" s="552"/>
      <c r="GV73" s="552"/>
      <c r="GW73" s="552"/>
      <c r="GX73" s="552"/>
      <c r="GY73" s="552"/>
      <c r="GZ73" s="552"/>
      <c r="HA73" s="552"/>
      <c r="HB73" s="552"/>
      <c r="HC73" s="552"/>
      <c r="HD73" s="552"/>
      <c r="HE73" s="552"/>
      <c r="HF73" s="552"/>
      <c r="HG73" s="552"/>
      <c r="HH73" s="552"/>
      <c r="HI73" s="552"/>
      <c r="HJ73" s="552"/>
      <c r="HK73" s="552"/>
      <c r="HL73" s="552"/>
      <c r="HM73" s="552"/>
      <c r="HN73" s="552"/>
      <c r="HO73" s="552"/>
      <c r="HP73" s="552"/>
      <c r="HQ73" s="552"/>
      <c r="HR73" s="552"/>
      <c r="HS73" s="552"/>
      <c r="HT73" s="552"/>
      <c r="HU73" s="552"/>
      <c r="HV73" s="552"/>
      <c r="HW73" s="552"/>
      <c r="HX73" s="552"/>
      <c r="HY73" s="552"/>
      <c r="HZ73" s="552"/>
      <c r="IA73" s="552"/>
      <c r="IB73" s="552"/>
      <c r="IC73" s="552"/>
      <c r="ID73" s="552"/>
      <c r="IE73" s="552"/>
      <c r="IF73" s="552"/>
      <c r="IG73" s="552"/>
      <c r="IH73" s="552"/>
      <c r="II73" s="552"/>
      <c r="IJ73" s="552"/>
      <c r="IK73" s="552"/>
      <c r="IL73" s="552"/>
      <c r="IM73" s="552"/>
      <c r="IN73" s="552"/>
      <c r="IO73" s="552"/>
      <c r="IP73" s="552"/>
      <c r="IQ73" s="552"/>
      <c r="IR73" s="552"/>
      <c r="IS73" s="552"/>
      <c r="IT73" s="552"/>
      <c r="IU73" s="552"/>
      <c r="IV73" s="552"/>
    </row>
    <row r="74" spans="1:256" s="600" customFormat="1" ht="22.5" customHeight="1">
      <c r="A74" s="588">
        <v>66</v>
      </c>
      <c r="B74" s="660"/>
      <c r="C74" s="556">
        <v>22</v>
      </c>
      <c r="D74" s="661" t="s">
        <v>665</v>
      </c>
      <c r="E74" s="656">
        <f>F74+G74+O75</f>
        <v>19296</v>
      </c>
      <c r="F74" s="604"/>
      <c r="G74" s="656"/>
      <c r="H74" s="615" t="s">
        <v>231</v>
      </c>
      <c r="I74" s="607"/>
      <c r="J74" s="607"/>
      <c r="K74" s="618"/>
      <c r="L74" s="607"/>
      <c r="M74" s="607"/>
      <c r="N74" s="658"/>
      <c r="O74" s="563"/>
      <c r="P74" s="659"/>
      <c r="Q74" s="552"/>
      <c r="R74" s="552"/>
      <c r="S74" s="552"/>
      <c r="T74" s="552"/>
      <c r="U74" s="552"/>
      <c r="V74" s="552"/>
      <c r="W74" s="552"/>
      <c r="X74" s="552"/>
      <c r="Y74" s="552"/>
      <c r="Z74" s="552"/>
      <c r="AA74" s="552"/>
      <c r="AB74" s="552"/>
      <c r="AC74" s="552"/>
      <c r="AD74" s="552"/>
      <c r="AE74" s="552"/>
      <c r="AF74" s="552"/>
      <c r="AG74" s="552"/>
      <c r="AH74" s="552"/>
      <c r="AI74" s="552"/>
      <c r="AJ74" s="552"/>
      <c r="AK74" s="552"/>
      <c r="AL74" s="552"/>
      <c r="AM74" s="552"/>
      <c r="AN74" s="552"/>
      <c r="AO74" s="552"/>
      <c r="AP74" s="552"/>
      <c r="AQ74" s="552"/>
      <c r="AR74" s="552"/>
      <c r="AS74" s="552"/>
      <c r="AT74" s="552"/>
      <c r="AU74" s="552"/>
      <c r="AV74" s="552"/>
      <c r="AW74" s="552"/>
      <c r="AX74" s="552"/>
      <c r="AY74" s="552"/>
      <c r="AZ74" s="552"/>
      <c r="BA74" s="552"/>
      <c r="BB74" s="552"/>
      <c r="BC74" s="552"/>
      <c r="BD74" s="552"/>
      <c r="BE74" s="552"/>
      <c r="BF74" s="552"/>
      <c r="BG74" s="552"/>
      <c r="BH74" s="552"/>
      <c r="BI74" s="552"/>
      <c r="BJ74" s="552"/>
      <c r="BK74" s="552"/>
      <c r="BL74" s="552"/>
      <c r="BM74" s="552"/>
      <c r="BN74" s="552"/>
      <c r="BO74" s="552"/>
      <c r="BP74" s="552"/>
      <c r="BQ74" s="552"/>
      <c r="BR74" s="552"/>
      <c r="BS74" s="552"/>
      <c r="BT74" s="552"/>
      <c r="BU74" s="552"/>
      <c r="BV74" s="552"/>
      <c r="BW74" s="552"/>
      <c r="BX74" s="552"/>
      <c r="BY74" s="552"/>
      <c r="BZ74" s="552"/>
      <c r="CA74" s="552"/>
      <c r="CB74" s="552"/>
      <c r="CC74" s="552"/>
      <c r="CD74" s="552"/>
      <c r="CE74" s="552"/>
      <c r="CF74" s="552"/>
      <c r="CG74" s="552"/>
      <c r="CH74" s="552"/>
      <c r="CI74" s="552"/>
      <c r="CJ74" s="552"/>
      <c r="CK74" s="552"/>
      <c r="CL74" s="552"/>
      <c r="CM74" s="552"/>
      <c r="CN74" s="552"/>
      <c r="CO74" s="552"/>
      <c r="CP74" s="552"/>
      <c r="CQ74" s="552"/>
      <c r="CR74" s="552"/>
      <c r="CS74" s="552"/>
      <c r="CT74" s="552"/>
      <c r="CU74" s="552"/>
      <c r="CV74" s="552"/>
      <c r="CW74" s="552"/>
      <c r="CX74" s="552"/>
      <c r="CY74" s="552"/>
      <c r="CZ74" s="552"/>
      <c r="DA74" s="552"/>
      <c r="DB74" s="552"/>
      <c r="DC74" s="552"/>
      <c r="DD74" s="552"/>
      <c r="DE74" s="552"/>
      <c r="DF74" s="552"/>
      <c r="DG74" s="552"/>
      <c r="DH74" s="552"/>
      <c r="DI74" s="552"/>
      <c r="DJ74" s="552"/>
      <c r="DK74" s="552"/>
      <c r="DL74" s="552"/>
      <c r="DM74" s="552"/>
      <c r="DN74" s="552"/>
      <c r="DO74" s="552"/>
      <c r="DP74" s="552"/>
      <c r="DQ74" s="552"/>
      <c r="DR74" s="552"/>
      <c r="DS74" s="552"/>
      <c r="DT74" s="552"/>
      <c r="DU74" s="552"/>
      <c r="DV74" s="552"/>
      <c r="DW74" s="552"/>
      <c r="DX74" s="552"/>
      <c r="DY74" s="552"/>
      <c r="DZ74" s="552"/>
      <c r="EA74" s="552"/>
      <c r="EB74" s="552"/>
      <c r="EC74" s="552"/>
      <c r="ED74" s="552"/>
      <c r="EE74" s="552"/>
      <c r="EF74" s="552"/>
      <c r="EG74" s="552"/>
      <c r="EH74" s="552"/>
      <c r="EI74" s="552"/>
      <c r="EJ74" s="552"/>
      <c r="EK74" s="552"/>
      <c r="EL74" s="552"/>
      <c r="EM74" s="552"/>
      <c r="EN74" s="552"/>
      <c r="EO74" s="552"/>
      <c r="EP74" s="552"/>
      <c r="EQ74" s="552"/>
      <c r="ER74" s="552"/>
      <c r="ES74" s="552"/>
      <c r="ET74" s="552"/>
      <c r="EU74" s="552"/>
      <c r="EV74" s="552"/>
      <c r="EW74" s="552"/>
      <c r="EX74" s="552"/>
      <c r="EY74" s="552"/>
      <c r="EZ74" s="552"/>
      <c r="FA74" s="552"/>
      <c r="FB74" s="552"/>
      <c r="FC74" s="552"/>
      <c r="FD74" s="552"/>
      <c r="FE74" s="552"/>
      <c r="FF74" s="552"/>
      <c r="FG74" s="552"/>
      <c r="FH74" s="552"/>
      <c r="FI74" s="552"/>
      <c r="FJ74" s="552"/>
      <c r="FK74" s="552"/>
      <c r="FL74" s="552"/>
      <c r="FM74" s="552"/>
      <c r="FN74" s="552"/>
      <c r="FO74" s="552"/>
      <c r="FP74" s="552"/>
      <c r="FQ74" s="552"/>
      <c r="FR74" s="552"/>
      <c r="FS74" s="552"/>
      <c r="FT74" s="552"/>
      <c r="FU74" s="552"/>
      <c r="FV74" s="552"/>
      <c r="FW74" s="552"/>
      <c r="FX74" s="552"/>
      <c r="FY74" s="552"/>
      <c r="FZ74" s="552"/>
      <c r="GA74" s="552"/>
      <c r="GB74" s="552"/>
      <c r="GC74" s="552"/>
      <c r="GD74" s="552"/>
      <c r="GE74" s="552"/>
      <c r="GF74" s="552"/>
      <c r="GG74" s="552"/>
      <c r="GH74" s="552"/>
      <c r="GI74" s="552"/>
      <c r="GJ74" s="552"/>
      <c r="GK74" s="552"/>
      <c r="GL74" s="552"/>
      <c r="GM74" s="552"/>
      <c r="GN74" s="552"/>
      <c r="GO74" s="552"/>
      <c r="GP74" s="552"/>
      <c r="GQ74" s="552"/>
      <c r="GR74" s="552"/>
      <c r="GS74" s="552"/>
      <c r="GT74" s="552"/>
      <c r="GU74" s="552"/>
      <c r="GV74" s="552"/>
      <c r="GW74" s="552"/>
      <c r="GX74" s="552"/>
      <c r="GY74" s="552"/>
      <c r="GZ74" s="552"/>
      <c r="HA74" s="552"/>
      <c r="HB74" s="552"/>
      <c r="HC74" s="552"/>
      <c r="HD74" s="552"/>
      <c r="HE74" s="552"/>
      <c r="HF74" s="552"/>
      <c r="HG74" s="552"/>
      <c r="HH74" s="552"/>
      <c r="HI74" s="552"/>
      <c r="HJ74" s="552"/>
      <c r="HK74" s="552"/>
      <c r="HL74" s="552"/>
      <c r="HM74" s="552"/>
      <c r="HN74" s="552"/>
      <c r="HO74" s="552"/>
      <c r="HP74" s="552"/>
      <c r="HQ74" s="552"/>
      <c r="HR74" s="552"/>
      <c r="HS74" s="552"/>
      <c r="HT74" s="552"/>
      <c r="HU74" s="552"/>
      <c r="HV74" s="552"/>
      <c r="HW74" s="552"/>
      <c r="HX74" s="552"/>
      <c r="HY74" s="552"/>
      <c r="HZ74" s="552"/>
      <c r="IA74" s="552"/>
      <c r="IB74" s="552"/>
      <c r="IC74" s="552"/>
      <c r="ID74" s="552"/>
      <c r="IE74" s="552"/>
      <c r="IF74" s="552"/>
      <c r="IG74" s="552"/>
      <c r="IH74" s="552"/>
      <c r="II74" s="552"/>
      <c r="IJ74" s="552"/>
      <c r="IK74" s="552"/>
      <c r="IL74" s="552"/>
      <c r="IM74" s="552"/>
      <c r="IN74" s="552"/>
      <c r="IO74" s="552"/>
      <c r="IP74" s="552"/>
      <c r="IQ74" s="552"/>
      <c r="IR74" s="552"/>
      <c r="IS74" s="552"/>
      <c r="IT74" s="552"/>
      <c r="IU74" s="552"/>
      <c r="IV74" s="552"/>
    </row>
    <row r="75" spans="1:256" s="600" customFormat="1" ht="18" customHeight="1">
      <c r="A75" s="588">
        <v>67</v>
      </c>
      <c r="B75" s="660"/>
      <c r="C75" s="556"/>
      <c r="D75" s="570" t="s">
        <v>765</v>
      </c>
      <c r="E75" s="656"/>
      <c r="F75" s="604"/>
      <c r="G75" s="656"/>
      <c r="H75" s="615"/>
      <c r="I75" s="607"/>
      <c r="J75" s="607"/>
      <c r="K75" s="618">
        <v>19296</v>
      </c>
      <c r="L75" s="607"/>
      <c r="M75" s="607"/>
      <c r="N75" s="658"/>
      <c r="O75" s="569">
        <f>SUM(I75:N75)</f>
        <v>19296</v>
      </c>
      <c r="P75" s="659"/>
      <c r="Q75" s="552"/>
      <c r="R75" s="552"/>
      <c r="S75" s="552"/>
      <c r="T75" s="552"/>
      <c r="U75" s="552"/>
      <c r="V75" s="552"/>
      <c r="W75" s="552"/>
      <c r="X75" s="552"/>
      <c r="Y75" s="552"/>
      <c r="Z75" s="552"/>
      <c r="AA75" s="552"/>
      <c r="AB75" s="552"/>
      <c r="AC75" s="552"/>
      <c r="AD75" s="552"/>
      <c r="AE75" s="552"/>
      <c r="AF75" s="552"/>
      <c r="AG75" s="552"/>
      <c r="AH75" s="552"/>
      <c r="AI75" s="552"/>
      <c r="AJ75" s="552"/>
      <c r="AK75" s="552"/>
      <c r="AL75" s="552"/>
      <c r="AM75" s="552"/>
      <c r="AN75" s="552"/>
      <c r="AO75" s="552"/>
      <c r="AP75" s="552"/>
      <c r="AQ75" s="552"/>
      <c r="AR75" s="552"/>
      <c r="AS75" s="552"/>
      <c r="AT75" s="552"/>
      <c r="AU75" s="552"/>
      <c r="AV75" s="552"/>
      <c r="AW75" s="552"/>
      <c r="AX75" s="552"/>
      <c r="AY75" s="552"/>
      <c r="AZ75" s="552"/>
      <c r="BA75" s="552"/>
      <c r="BB75" s="552"/>
      <c r="BC75" s="552"/>
      <c r="BD75" s="552"/>
      <c r="BE75" s="552"/>
      <c r="BF75" s="552"/>
      <c r="BG75" s="552"/>
      <c r="BH75" s="552"/>
      <c r="BI75" s="552"/>
      <c r="BJ75" s="552"/>
      <c r="BK75" s="552"/>
      <c r="BL75" s="552"/>
      <c r="BM75" s="552"/>
      <c r="BN75" s="552"/>
      <c r="BO75" s="552"/>
      <c r="BP75" s="552"/>
      <c r="BQ75" s="552"/>
      <c r="BR75" s="552"/>
      <c r="BS75" s="552"/>
      <c r="BT75" s="552"/>
      <c r="BU75" s="552"/>
      <c r="BV75" s="552"/>
      <c r="BW75" s="552"/>
      <c r="BX75" s="552"/>
      <c r="BY75" s="552"/>
      <c r="BZ75" s="552"/>
      <c r="CA75" s="552"/>
      <c r="CB75" s="552"/>
      <c r="CC75" s="552"/>
      <c r="CD75" s="552"/>
      <c r="CE75" s="552"/>
      <c r="CF75" s="552"/>
      <c r="CG75" s="552"/>
      <c r="CH75" s="552"/>
      <c r="CI75" s="552"/>
      <c r="CJ75" s="552"/>
      <c r="CK75" s="552"/>
      <c r="CL75" s="552"/>
      <c r="CM75" s="552"/>
      <c r="CN75" s="552"/>
      <c r="CO75" s="552"/>
      <c r="CP75" s="552"/>
      <c r="CQ75" s="552"/>
      <c r="CR75" s="552"/>
      <c r="CS75" s="552"/>
      <c r="CT75" s="552"/>
      <c r="CU75" s="552"/>
      <c r="CV75" s="552"/>
      <c r="CW75" s="552"/>
      <c r="CX75" s="552"/>
      <c r="CY75" s="552"/>
      <c r="CZ75" s="552"/>
      <c r="DA75" s="552"/>
      <c r="DB75" s="552"/>
      <c r="DC75" s="552"/>
      <c r="DD75" s="552"/>
      <c r="DE75" s="552"/>
      <c r="DF75" s="552"/>
      <c r="DG75" s="552"/>
      <c r="DH75" s="552"/>
      <c r="DI75" s="552"/>
      <c r="DJ75" s="552"/>
      <c r="DK75" s="552"/>
      <c r="DL75" s="552"/>
      <c r="DM75" s="552"/>
      <c r="DN75" s="552"/>
      <c r="DO75" s="552"/>
      <c r="DP75" s="552"/>
      <c r="DQ75" s="552"/>
      <c r="DR75" s="552"/>
      <c r="DS75" s="552"/>
      <c r="DT75" s="552"/>
      <c r="DU75" s="552"/>
      <c r="DV75" s="552"/>
      <c r="DW75" s="552"/>
      <c r="DX75" s="552"/>
      <c r="DY75" s="552"/>
      <c r="DZ75" s="552"/>
      <c r="EA75" s="552"/>
      <c r="EB75" s="552"/>
      <c r="EC75" s="552"/>
      <c r="ED75" s="552"/>
      <c r="EE75" s="552"/>
      <c r="EF75" s="552"/>
      <c r="EG75" s="552"/>
      <c r="EH75" s="552"/>
      <c r="EI75" s="552"/>
      <c r="EJ75" s="552"/>
      <c r="EK75" s="552"/>
      <c r="EL75" s="552"/>
      <c r="EM75" s="552"/>
      <c r="EN75" s="552"/>
      <c r="EO75" s="552"/>
      <c r="EP75" s="552"/>
      <c r="EQ75" s="552"/>
      <c r="ER75" s="552"/>
      <c r="ES75" s="552"/>
      <c r="ET75" s="552"/>
      <c r="EU75" s="552"/>
      <c r="EV75" s="552"/>
      <c r="EW75" s="552"/>
      <c r="EX75" s="552"/>
      <c r="EY75" s="552"/>
      <c r="EZ75" s="552"/>
      <c r="FA75" s="552"/>
      <c r="FB75" s="552"/>
      <c r="FC75" s="552"/>
      <c r="FD75" s="552"/>
      <c r="FE75" s="552"/>
      <c r="FF75" s="552"/>
      <c r="FG75" s="552"/>
      <c r="FH75" s="552"/>
      <c r="FI75" s="552"/>
      <c r="FJ75" s="552"/>
      <c r="FK75" s="552"/>
      <c r="FL75" s="552"/>
      <c r="FM75" s="552"/>
      <c r="FN75" s="552"/>
      <c r="FO75" s="552"/>
      <c r="FP75" s="552"/>
      <c r="FQ75" s="552"/>
      <c r="FR75" s="552"/>
      <c r="FS75" s="552"/>
      <c r="FT75" s="552"/>
      <c r="FU75" s="552"/>
      <c r="FV75" s="552"/>
      <c r="FW75" s="552"/>
      <c r="FX75" s="552"/>
      <c r="FY75" s="552"/>
      <c r="FZ75" s="552"/>
      <c r="GA75" s="552"/>
      <c r="GB75" s="552"/>
      <c r="GC75" s="552"/>
      <c r="GD75" s="552"/>
      <c r="GE75" s="552"/>
      <c r="GF75" s="552"/>
      <c r="GG75" s="552"/>
      <c r="GH75" s="552"/>
      <c r="GI75" s="552"/>
      <c r="GJ75" s="552"/>
      <c r="GK75" s="552"/>
      <c r="GL75" s="552"/>
      <c r="GM75" s="552"/>
      <c r="GN75" s="552"/>
      <c r="GO75" s="552"/>
      <c r="GP75" s="552"/>
      <c r="GQ75" s="552"/>
      <c r="GR75" s="552"/>
      <c r="GS75" s="552"/>
      <c r="GT75" s="552"/>
      <c r="GU75" s="552"/>
      <c r="GV75" s="552"/>
      <c r="GW75" s="552"/>
      <c r="GX75" s="552"/>
      <c r="GY75" s="552"/>
      <c r="GZ75" s="552"/>
      <c r="HA75" s="552"/>
      <c r="HB75" s="552"/>
      <c r="HC75" s="552"/>
      <c r="HD75" s="552"/>
      <c r="HE75" s="552"/>
      <c r="HF75" s="552"/>
      <c r="HG75" s="552"/>
      <c r="HH75" s="552"/>
      <c r="HI75" s="552"/>
      <c r="HJ75" s="552"/>
      <c r="HK75" s="552"/>
      <c r="HL75" s="552"/>
      <c r="HM75" s="552"/>
      <c r="HN75" s="552"/>
      <c r="HO75" s="552"/>
      <c r="HP75" s="552"/>
      <c r="HQ75" s="552"/>
      <c r="HR75" s="552"/>
      <c r="HS75" s="552"/>
      <c r="HT75" s="552"/>
      <c r="HU75" s="552"/>
      <c r="HV75" s="552"/>
      <c r="HW75" s="552"/>
      <c r="HX75" s="552"/>
      <c r="HY75" s="552"/>
      <c r="HZ75" s="552"/>
      <c r="IA75" s="552"/>
      <c r="IB75" s="552"/>
      <c r="IC75" s="552"/>
      <c r="ID75" s="552"/>
      <c r="IE75" s="552"/>
      <c r="IF75" s="552"/>
      <c r="IG75" s="552"/>
      <c r="IH75" s="552"/>
      <c r="II75" s="552"/>
      <c r="IJ75" s="552"/>
      <c r="IK75" s="552"/>
      <c r="IL75" s="552"/>
      <c r="IM75" s="552"/>
      <c r="IN75" s="552"/>
      <c r="IO75" s="552"/>
      <c r="IP75" s="552"/>
      <c r="IQ75" s="552"/>
      <c r="IR75" s="552"/>
      <c r="IS75" s="552"/>
      <c r="IT75" s="552"/>
      <c r="IU75" s="552"/>
      <c r="IV75" s="552"/>
    </row>
    <row r="76" spans="1:256" s="600" customFormat="1" ht="18" customHeight="1">
      <c r="A76" s="588">
        <v>68</v>
      </c>
      <c r="B76" s="660"/>
      <c r="C76" s="556"/>
      <c r="D76" s="576" t="s">
        <v>1022</v>
      </c>
      <c r="E76" s="604"/>
      <c r="F76" s="604"/>
      <c r="G76" s="656"/>
      <c r="H76" s="615"/>
      <c r="I76" s="607"/>
      <c r="J76" s="607"/>
      <c r="K76" s="657"/>
      <c r="L76" s="607"/>
      <c r="M76" s="607"/>
      <c r="N76" s="658"/>
      <c r="O76" s="562">
        <f>SUM(I76:N76)</f>
        <v>0</v>
      </c>
      <c r="P76" s="659"/>
      <c r="Q76" s="552"/>
      <c r="R76" s="552"/>
      <c r="S76" s="552"/>
      <c r="T76" s="552"/>
      <c r="U76" s="552"/>
      <c r="V76" s="552"/>
      <c r="W76" s="552"/>
      <c r="X76" s="552"/>
      <c r="Y76" s="552"/>
      <c r="Z76" s="552"/>
      <c r="AA76" s="552"/>
      <c r="AB76" s="552"/>
      <c r="AC76" s="552"/>
      <c r="AD76" s="552"/>
      <c r="AE76" s="552"/>
      <c r="AF76" s="552"/>
      <c r="AG76" s="552"/>
      <c r="AH76" s="552"/>
      <c r="AI76" s="552"/>
      <c r="AJ76" s="552"/>
      <c r="AK76" s="552"/>
      <c r="AL76" s="552"/>
      <c r="AM76" s="552"/>
      <c r="AN76" s="552"/>
      <c r="AO76" s="552"/>
      <c r="AP76" s="552"/>
      <c r="AQ76" s="552"/>
      <c r="AR76" s="552"/>
      <c r="AS76" s="552"/>
      <c r="AT76" s="552"/>
      <c r="AU76" s="552"/>
      <c r="AV76" s="552"/>
      <c r="AW76" s="552"/>
      <c r="AX76" s="552"/>
      <c r="AY76" s="552"/>
      <c r="AZ76" s="552"/>
      <c r="BA76" s="552"/>
      <c r="BB76" s="552"/>
      <c r="BC76" s="552"/>
      <c r="BD76" s="552"/>
      <c r="BE76" s="552"/>
      <c r="BF76" s="552"/>
      <c r="BG76" s="552"/>
      <c r="BH76" s="552"/>
      <c r="BI76" s="552"/>
      <c r="BJ76" s="552"/>
      <c r="BK76" s="552"/>
      <c r="BL76" s="552"/>
      <c r="BM76" s="552"/>
      <c r="BN76" s="552"/>
      <c r="BO76" s="552"/>
      <c r="BP76" s="552"/>
      <c r="BQ76" s="552"/>
      <c r="BR76" s="552"/>
      <c r="BS76" s="552"/>
      <c r="BT76" s="552"/>
      <c r="BU76" s="552"/>
      <c r="BV76" s="552"/>
      <c r="BW76" s="552"/>
      <c r="BX76" s="552"/>
      <c r="BY76" s="552"/>
      <c r="BZ76" s="552"/>
      <c r="CA76" s="552"/>
      <c r="CB76" s="552"/>
      <c r="CC76" s="552"/>
      <c r="CD76" s="552"/>
      <c r="CE76" s="552"/>
      <c r="CF76" s="552"/>
      <c r="CG76" s="552"/>
      <c r="CH76" s="552"/>
      <c r="CI76" s="552"/>
      <c r="CJ76" s="552"/>
      <c r="CK76" s="552"/>
      <c r="CL76" s="552"/>
      <c r="CM76" s="552"/>
      <c r="CN76" s="552"/>
      <c r="CO76" s="552"/>
      <c r="CP76" s="552"/>
      <c r="CQ76" s="552"/>
      <c r="CR76" s="552"/>
      <c r="CS76" s="552"/>
      <c r="CT76" s="552"/>
      <c r="CU76" s="552"/>
      <c r="CV76" s="552"/>
      <c r="CW76" s="552"/>
      <c r="CX76" s="552"/>
      <c r="CY76" s="552"/>
      <c r="CZ76" s="552"/>
      <c r="DA76" s="552"/>
      <c r="DB76" s="552"/>
      <c r="DC76" s="552"/>
      <c r="DD76" s="552"/>
      <c r="DE76" s="552"/>
      <c r="DF76" s="552"/>
      <c r="DG76" s="552"/>
      <c r="DH76" s="552"/>
      <c r="DI76" s="552"/>
      <c r="DJ76" s="552"/>
      <c r="DK76" s="552"/>
      <c r="DL76" s="552"/>
      <c r="DM76" s="552"/>
      <c r="DN76" s="552"/>
      <c r="DO76" s="552"/>
      <c r="DP76" s="552"/>
      <c r="DQ76" s="552"/>
      <c r="DR76" s="552"/>
      <c r="DS76" s="552"/>
      <c r="DT76" s="552"/>
      <c r="DU76" s="552"/>
      <c r="DV76" s="552"/>
      <c r="DW76" s="552"/>
      <c r="DX76" s="552"/>
      <c r="DY76" s="552"/>
      <c r="DZ76" s="552"/>
      <c r="EA76" s="552"/>
      <c r="EB76" s="552"/>
      <c r="EC76" s="552"/>
      <c r="ED76" s="552"/>
      <c r="EE76" s="552"/>
      <c r="EF76" s="552"/>
      <c r="EG76" s="552"/>
      <c r="EH76" s="552"/>
      <c r="EI76" s="552"/>
      <c r="EJ76" s="552"/>
      <c r="EK76" s="552"/>
      <c r="EL76" s="552"/>
      <c r="EM76" s="552"/>
      <c r="EN76" s="552"/>
      <c r="EO76" s="552"/>
      <c r="EP76" s="552"/>
      <c r="EQ76" s="552"/>
      <c r="ER76" s="552"/>
      <c r="ES76" s="552"/>
      <c r="ET76" s="552"/>
      <c r="EU76" s="552"/>
      <c r="EV76" s="552"/>
      <c r="EW76" s="552"/>
      <c r="EX76" s="552"/>
      <c r="EY76" s="552"/>
      <c r="EZ76" s="552"/>
      <c r="FA76" s="552"/>
      <c r="FB76" s="552"/>
      <c r="FC76" s="552"/>
      <c r="FD76" s="552"/>
      <c r="FE76" s="552"/>
      <c r="FF76" s="552"/>
      <c r="FG76" s="552"/>
      <c r="FH76" s="552"/>
      <c r="FI76" s="552"/>
      <c r="FJ76" s="552"/>
      <c r="FK76" s="552"/>
      <c r="FL76" s="552"/>
      <c r="FM76" s="552"/>
      <c r="FN76" s="552"/>
      <c r="FO76" s="552"/>
      <c r="FP76" s="552"/>
      <c r="FQ76" s="552"/>
      <c r="FR76" s="552"/>
      <c r="FS76" s="552"/>
      <c r="FT76" s="552"/>
      <c r="FU76" s="552"/>
      <c r="FV76" s="552"/>
      <c r="FW76" s="552"/>
      <c r="FX76" s="552"/>
      <c r="FY76" s="552"/>
      <c r="FZ76" s="552"/>
      <c r="GA76" s="552"/>
      <c r="GB76" s="552"/>
      <c r="GC76" s="552"/>
      <c r="GD76" s="552"/>
      <c r="GE76" s="552"/>
      <c r="GF76" s="552"/>
      <c r="GG76" s="552"/>
      <c r="GH76" s="552"/>
      <c r="GI76" s="552"/>
      <c r="GJ76" s="552"/>
      <c r="GK76" s="552"/>
      <c r="GL76" s="552"/>
      <c r="GM76" s="552"/>
      <c r="GN76" s="552"/>
      <c r="GO76" s="552"/>
      <c r="GP76" s="552"/>
      <c r="GQ76" s="552"/>
      <c r="GR76" s="552"/>
      <c r="GS76" s="552"/>
      <c r="GT76" s="552"/>
      <c r="GU76" s="552"/>
      <c r="GV76" s="552"/>
      <c r="GW76" s="552"/>
      <c r="GX76" s="552"/>
      <c r="GY76" s="552"/>
      <c r="GZ76" s="552"/>
      <c r="HA76" s="552"/>
      <c r="HB76" s="552"/>
      <c r="HC76" s="552"/>
      <c r="HD76" s="552"/>
      <c r="HE76" s="552"/>
      <c r="HF76" s="552"/>
      <c r="HG76" s="552"/>
      <c r="HH76" s="552"/>
      <c r="HI76" s="552"/>
      <c r="HJ76" s="552"/>
      <c r="HK76" s="552"/>
      <c r="HL76" s="552"/>
      <c r="HM76" s="552"/>
      <c r="HN76" s="552"/>
      <c r="HO76" s="552"/>
      <c r="HP76" s="552"/>
      <c r="HQ76" s="552"/>
      <c r="HR76" s="552"/>
      <c r="HS76" s="552"/>
      <c r="HT76" s="552"/>
      <c r="HU76" s="552"/>
      <c r="HV76" s="552"/>
      <c r="HW76" s="552"/>
      <c r="HX76" s="552"/>
      <c r="HY76" s="552"/>
      <c r="HZ76" s="552"/>
      <c r="IA76" s="552"/>
      <c r="IB76" s="552"/>
      <c r="IC76" s="552"/>
      <c r="ID76" s="552"/>
      <c r="IE76" s="552"/>
      <c r="IF76" s="552"/>
      <c r="IG76" s="552"/>
      <c r="IH76" s="552"/>
      <c r="II76" s="552"/>
      <c r="IJ76" s="552"/>
      <c r="IK76" s="552"/>
      <c r="IL76" s="552"/>
      <c r="IM76" s="552"/>
      <c r="IN76" s="552"/>
      <c r="IO76" s="552"/>
      <c r="IP76" s="552"/>
      <c r="IQ76" s="552"/>
      <c r="IR76" s="552"/>
      <c r="IS76" s="552"/>
      <c r="IT76" s="552"/>
      <c r="IU76" s="552"/>
      <c r="IV76" s="552"/>
    </row>
    <row r="77" spans="1:256" s="600" customFormat="1" ht="35.25" customHeight="1">
      <c r="A77" s="588">
        <v>69</v>
      </c>
      <c r="B77" s="645"/>
      <c r="C77" s="635">
        <v>23</v>
      </c>
      <c r="D77" s="661" t="s">
        <v>5</v>
      </c>
      <c r="E77" s="662">
        <f>F77+G77+O78</f>
        <v>227212</v>
      </c>
      <c r="F77" s="637"/>
      <c r="G77" s="646"/>
      <c r="H77" s="652" t="s">
        <v>231</v>
      </c>
      <c r="I77" s="640"/>
      <c r="J77" s="640"/>
      <c r="K77" s="647"/>
      <c r="L77" s="640"/>
      <c r="M77" s="640"/>
      <c r="N77" s="650"/>
      <c r="O77" s="569"/>
      <c r="P77" s="655"/>
      <c r="Q77" s="552"/>
      <c r="R77" s="552"/>
      <c r="S77" s="552"/>
      <c r="T77" s="552"/>
      <c r="U77" s="552"/>
      <c r="V77" s="552"/>
      <c r="W77" s="552"/>
      <c r="X77" s="552"/>
      <c r="Y77" s="552"/>
      <c r="Z77" s="552"/>
      <c r="AA77" s="552"/>
      <c r="AB77" s="552"/>
      <c r="AC77" s="552"/>
      <c r="AD77" s="552"/>
      <c r="AE77" s="552"/>
      <c r="AF77" s="552"/>
      <c r="AG77" s="552"/>
      <c r="AH77" s="552"/>
      <c r="AI77" s="552"/>
      <c r="AJ77" s="552"/>
      <c r="AK77" s="552"/>
      <c r="AL77" s="552"/>
      <c r="AM77" s="552"/>
      <c r="AN77" s="552"/>
      <c r="AO77" s="552"/>
      <c r="AP77" s="552"/>
      <c r="AQ77" s="552"/>
      <c r="AR77" s="552"/>
      <c r="AS77" s="552"/>
      <c r="AT77" s="552"/>
      <c r="AU77" s="552"/>
      <c r="AV77" s="552"/>
      <c r="AW77" s="552"/>
      <c r="AX77" s="552"/>
      <c r="AY77" s="552"/>
      <c r="AZ77" s="552"/>
      <c r="BA77" s="552"/>
      <c r="BB77" s="552"/>
      <c r="BC77" s="552"/>
      <c r="BD77" s="552"/>
      <c r="BE77" s="552"/>
      <c r="BF77" s="552"/>
      <c r="BG77" s="552"/>
      <c r="BH77" s="552"/>
      <c r="BI77" s="552"/>
      <c r="BJ77" s="552"/>
      <c r="BK77" s="552"/>
      <c r="BL77" s="552"/>
      <c r="BM77" s="552"/>
      <c r="BN77" s="552"/>
      <c r="BO77" s="552"/>
      <c r="BP77" s="552"/>
      <c r="BQ77" s="552"/>
      <c r="BR77" s="552"/>
      <c r="BS77" s="552"/>
      <c r="BT77" s="552"/>
      <c r="BU77" s="552"/>
      <c r="BV77" s="552"/>
      <c r="BW77" s="552"/>
      <c r="BX77" s="552"/>
      <c r="BY77" s="552"/>
      <c r="BZ77" s="552"/>
      <c r="CA77" s="552"/>
      <c r="CB77" s="552"/>
      <c r="CC77" s="552"/>
      <c r="CD77" s="552"/>
      <c r="CE77" s="552"/>
      <c r="CF77" s="552"/>
      <c r="CG77" s="552"/>
      <c r="CH77" s="552"/>
      <c r="CI77" s="552"/>
      <c r="CJ77" s="552"/>
      <c r="CK77" s="552"/>
      <c r="CL77" s="552"/>
      <c r="CM77" s="552"/>
      <c r="CN77" s="552"/>
      <c r="CO77" s="552"/>
      <c r="CP77" s="552"/>
      <c r="CQ77" s="552"/>
      <c r="CR77" s="552"/>
      <c r="CS77" s="552"/>
      <c r="CT77" s="552"/>
      <c r="CU77" s="552"/>
      <c r="CV77" s="552"/>
      <c r="CW77" s="552"/>
      <c r="CX77" s="552"/>
      <c r="CY77" s="552"/>
      <c r="CZ77" s="552"/>
      <c r="DA77" s="552"/>
      <c r="DB77" s="552"/>
      <c r="DC77" s="552"/>
      <c r="DD77" s="552"/>
      <c r="DE77" s="552"/>
      <c r="DF77" s="552"/>
      <c r="DG77" s="552"/>
      <c r="DH77" s="552"/>
      <c r="DI77" s="552"/>
      <c r="DJ77" s="552"/>
      <c r="DK77" s="552"/>
      <c r="DL77" s="552"/>
      <c r="DM77" s="552"/>
      <c r="DN77" s="552"/>
      <c r="DO77" s="552"/>
      <c r="DP77" s="552"/>
      <c r="DQ77" s="552"/>
      <c r="DR77" s="552"/>
      <c r="DS77" s="552"/>
      <c r="DT77" s="552"/>
      <c r="DU77" s="552"/>
      <c r="DV77" s="552"/>
      <c r="DW77" s="552"/>
      <c r="DX77" s="552"/>
      <c r="DY77" s="552"/>
      <c r="DZ77" s="552"/>
      <c r="EA77" s="552"/>
      <c r="EB77" s="552"/>
      <c r="EC77" s="552"/>
      <c r="ED77" s="552"/>
      <c r="EE77" s="552"/>
      <c r="EF77" s="552"/>
      <c r="EG77" s="552"/>
      <c r="EH77" s="552"/>
      <c r="EI77" s="552"/>
      <c r="EJ77" s="552"/>
      <c r="EK77" s="552"/>
      <c r="EL77" s="552"/>
      <c r="EM77" s="552"/>
      <c r="EN77" s="552"/>
      <c r="EO77" s="552"/>
      <c r="EP77" s="552"/>
      <c r="EQ77" s="552"/>
      <c r="ER77" s="552"/>
      <c r="ES77" s="552"/>
      <c r="ET77" s="552"/>
      <c r="EU77" s="552"/>
      <c r="EV77" s="552"/>
      <c r="EW77" s="552"/>
      <c r="EX77" s="552"/>
      <c r="EY77" s="552"/>
      <c r="EZ77" s="552"/>
      <c r="FA77" s="552"/>
      <c r="FB77" s="552"/>
      <c r="FC77" s="552"/>
      <c r="FD77" s="552"/>
      <c r="FE77" s="552"/>
      <c r="FF77" s="552"/>
      <c r="FG77" s="552"/>
      <c r="FH77" s="552"/>
      <c r="FI77" s="552"/>
      <c r="FJ77" s="552"/>
      <c r="FK77" s="552"/>
      <c r="FL77" s="552"/>
      <c r="FM77" s="552"/>
      <c r="FN77" s="552"/>
      <c r="FO77" s="552"/>
      <c r="FP77" s="552"/>
      <c r="FQ77" s="552"/>
      <c r="FR77" s="552"/>
      <c r="FS77" s="552"/>
      <c r="FT77" s="552"/>
      <c r="FU77" s="552"/>
      <c r="FV77" s="552"/>
      <c r="FW77" s="552"/>
      <c r="FX77" s="552"/>
      <c r="FY77" s="552"/>
      <c r="FZ77" s="552"/>
      <c r="GA77" s="552"/>
      <c r="GB77" s="552"/>
      <c r="GC77" s="552"/>
      <c r="GD77" s="552"/>
      <c r="GE77" s="552"/>
      <c r="GF77" s="552"/>
      <c r="GG77" s="552"/>
      <c r="GH77" s="552"/>
      <c r="GI77" s="552"/>
      <c r="GJ77" s="552"/>
      <c r="GK77" s="552"/>
      <c r="GL77" s="552"/>
      <c r="GM77" s="552"/>
      <c r="GN77" s="552"/>
      <c r="GO77" s="552"/>
      <c r="GP77" s="552"/>
      <c r="GQ77" s="552"/>
      <c r="GR77" s="552"/>
      <c r="GS77" s="552"/>
      <c r="GT77" s="552"/>
      <c r="GU77" s="552"/>
      <c r="GV77" s="552"/>
      <c r="GW77" s="552"/>
      <c r="GX77" s="552"/>
      <c r="GY77" s="552"/>
      <c r="GZ77" s="552"/>
      <c r="HA77" s="552"/>
      <c r="HB77" s="552"/>
      <c r="HC77" s="552"/>
      <c r="HD77" s="552"/>
      <c r="HE77" s="552"/>
      <c r="HF77" s="552"/>
      <c r="HG77" s="552"/>
      <c r="HH77" s="552"/>
      <c r="HI77" s="552"/>
      <c r="HJ77" s="552"/>
      <c r="HK77" s="552"/>
      <c r="HL77" s="552"/>
      <c r="HM77" s="552"/>
      <c r="HN77" s="552"/>
      <c r="HO77" s="552"/>
      <c r="HP77" s="552"/>
      <c r="HQ77" s="552"/>
      <c r="HR77" s="552"/>
      <c r="HS77" s="552"/>
      <c r="HT77" s="552"/>
      <c r="HU77" s="552"/>
      <c r="HV77" s="552"/>
      <c r="HW77" s="552"/>
      <c r="HX77" s="552"/>
      <c r="HY77" s="552"/>
      <c r="HZ77" s="552"/>
      <c r="IA77" s="552"/>
      <c r="IB77" s="552"/>
      <c r="IC77" s="552"/>
      <c r="ID77" s="552"/>
      <c r="IE77" s="552"/>
      <c r="IF77" s="552"/>
      <c r="IG77" s="552"/>
      <c r="IH77" s="552"/>
      <c r="II77" s="552"/>
      <c r="IJ77" s="552"/>
      <c r="IK77" s="552"/>
      <c r="IL77" s="552"/>
      <c r="IM77" s="552"/>
      <c r="IN77" s="552"/>
      <c r="IO77" s="552"/>
      <c r="IP77" s="552"/>
      <c r="IQ77" s="552"/>
      <c r="IR77" s="552"/>
      <c r="IS77" s="552"/>
      <c r="IT77" s="552"/>
      <c r="IU77" s="552"/>
      <c r="IV77" s="552"/>
    </row>
    <row r="78" spans="1:256" s="600" customFormat="1" ht="18" customHeight="1">
      <c r="A78" s="588">
        <v>70</v>
      </c>
      <c r="B78" s="645"/>
      <c r="C78" s="635"/>
      <c r="D78" s="570" t="s">
        <v>765</v>
      </c>
      <c r="E78" s="662"/>
      <c r="F78" s="637"/>
      <c r="G78" s="646"/>
      <c r="H78" s="652"/>
      <c r="I78" s="640"/>
      <c r="J78" s="640"/>
      <c r="K78" s="647">
        <v>1800</v>
      </c>
      <c r="L78" s="640"/>
      <c r="M78" s="647">
        <v>225412</v>
      </c>
      <c r="N78" s="650"/>
      <c r="O78" s="569">
        <f>SUM(I78:N78)</f>
        <v>227212</v>
      </c>
      <c r="P78" s="655"/>
      <c r="Q78" s="552"/>
      <c r="R78" s="552"/>
      <c r="S78" s="552"/>
      <c r="T78" s="552"/>
      <c r="U78" s="552"/>
      <c r="V78" s="552"/>
      <c r="W78" s="552"/>
      <c r="X78" s="552"/>
      <c r="Y78" s="552"/>
      <c r="Z78" s="552"/>
      <c r="AA78" s="552"/>
      <c r="AB78" s="552"/>
      <c r="AC78" s="552"/>
      <c r="AD78" s="552"/>
      <c r="AE78" s="552"/>
      <c r="AF78" s="552"/>
      <c r="AG78" s="552"/>
      <c r="AH78" s="552"/>
      <c r="AI78" s="552"/>
      <c r="AJ78" s="552"/>
      <c r="AK78" s="552"/>
      <c r="AL78" s="552"/>
      <c r="AM78" s="552"/>
      <c r="AN78" s="552"/>
      <c r="AO78" s="552"/>
      <c r="AP78" s="552"/>
      <c r="AQ78" s="552"/>
      <c r="AR78" s="552"/>
      <c r="AS78" s="552"/>
      <c r="AT78" s="552"/>
      <c r="AU78" s="552"/>
      <c r="AV78" s="552"/>
      <c r="AW78" s="552"/>
      <c r="AX78" s="552"/>
      <c r="AY78" s="552"/>
      <c r="AZ78" s="552"/>
      <c r="BA78" s="552"/>
      <c r="BB78" s="552"/>
      <c r="BC78" s="552"/>
      <c r="BD78" s="552"/>
      <c r="BE78" s="552"/>
      <c r="BF78" s="552"/>
      <c r="BG78" s="552"/>
      <c r="BH78" s="552"/>
      <c r="BI78" s="552"/>
      <c r="BJ78" s="552"/>
      <c r="BK78" s="552"/>
      <c r="BL78" s="552"/>
      <c r="BM78" s="552"/>
      <c r="BN78" s="552"/>
      <c r="BO78" s="552"/>
      <c r="BP78" s="552"/>
      <c r="BQ78" s="552"/>
      <c r="BR78" s="552"/>
      <c r="BS78" s="552"/>
      <c r="BT78" s="552"/>
      <c r="BU78" s="552"/>
      <c r="BV78" s="552"/>
      <c r="BW78" s="552"/>
      <c r="BX78" s="552"/>
      <c r="BY78" s="552"/>
      <c r="BZ78" s="552"/>
      <c r="CA78" s="552"/>
      <c r="CB78" s="552"/>
      <c r="CC78" s="552"/>
      <c r="CD78" s="552"/>
      <c r="CE78" s="552"/>
      <c r="CF78" s="552"/>
      <c r="CG78" s="552"/>
      <c r="CH78" s="552"/>
      <c r="CI78" s="552"/>
      <c r="CJ78" s="552"/>
      <c r="CK78" s="552"/>
      <c r="CL78" s="552"/>
      <c r="CM78" s="552"/>
      <c r="CN78" s="552"/>
      <c r="CO78" s="552"/>
      <c r="CP78" s="552"/>
      <c r="CQ78" s="552"/>
      <c r="CR78" s="552"/>
      <c r="CS78" s="552"/>
      <c r="CT78" s="552"/>
      <c r="CU78" s="552"/>
      <c r="CV78" s="552"/>
      <c r="CW78" s="552"/>
      <c r="CX78" s="552"/>
      <c r="CY78" s="552"/>
      <c r="CZ78" s="552"/>
      <c r="DA78" s="552"/>
      <c r="DB78" s="552"/>
      <c r="DC78" s="552"/>
      <c r="DD78" s="552"/>
      <c r="DE78" s="552"/>
      <c r="DF78" s="552"/>
      <c r="DG78" s="552"/>
      <c r="DH78" s="552"/>
      <c r="DI78" s="552"/>
      <c r="DJ78" s="552"/>
      <c r="DK78" s="552"/>
      <c r="DL78" s="552"/>
      <c r="DM78" s="552"/>
      <c r="DN78" s="552"/>
      <c r="DO78" s="552"/>
      <c r="DP78" s="552"/>
      <c r="DQ78" s="552"/>
      <c r="DR78" s="552"/>
      <c r="DS78" s="552"/>
      <c r="DT78" s="552"/>
      <c r="DU78" s="552"/>
      <c r="DV78" s="552"/>
      <c r="DW78" s="552"/>
      <c r="DX78" s="552"/>
      <c r="DY78" s="552"/>
      <c r="DZ78" s="552"/>
      <c r="EA78" s="552"/>
      <c r="EB78" s="552"/>
      <c r="EC78" s="552"/>
      <c r="ED78" s="552"/>
      <c r="EE78" s="552"/>
      <c r="EF78" s="552"/>
      <c r="EG78" s="552"/>
      <c r="EH78" s="552"/>
      <c r="EI78" s="552"/>
      <c r="EJ78" s="552"/>
      <c r="EK78" s="552"/>
      <c r="EL78" s="552"/>
      <c r="EM78" s="552"/>
      <c r="EN78" s="552"/>
      <c r="EO78" s="552"/>
      <c r="EP78" s="552"/>
      <c r="EQ78" s="552"/>
      <c r="ER78" s="552"/>
      <c r="ES78" s="552"/>
      <c r="ET78" s="552"/>
      <c r="EU78" s="552"/>
      <c r="EV78" s="552"/>
      <c r="EW78" s="552"/>
      <c r="EX78" s="552"/>
      <c r="EY78" s="552"/>
      <c r="EZ78" s="552"/>
      <c r="FA78" s="552"/>
      <c r="FB78" s="552"/>
      <c r="FC78" s="552"/>
      <c r="FD78" s="552"/>
      <c r="FE78" s="552"/>
      <c r="FF78" s="552"/>
      <c r="FG78" s="552"/>
      <c r="FH78" s="552"/>
      <c r="FI78" s="552"/>
      <c r="FJ78" s="552"/>
      <c r="FK78" s="552"/>
      <c r="FL78" s="552"/>
      <c r="FM78" s="552"/>
      <c r="FN78" s="552"/>
      <c r="FO78" s="552"/>
      <c r="FP78" s="552"/>
      <c r="FQ78" s="552"/>
      <c r="FR78" s="552"/>
      <c r="FS78" s="552"/>
      <c r="FT78" s="552"/>
      <c r="FU78" s="552"/>
      <c r="FV78" s="552"/>
      <c r="FW78" s="552"/>
      <c r="FX78" s="552"/>
      <c r="FY78" s="552"/>
      <c r="FZ78" s="552"/>
      <c r="GA78" s="552"/>
      <c r="GB78" s="552"/>
      <c r="GC78" s="552"/>
      <c r="GD78" s="552"/>
      <c r="GE78" s="552"/>
      <c r="GF78" s="552"/>
      <c r="GG78" s="552"/>
      <c r="GH78" s="552"/>
      <c r="GI78" s="552"/>
      <c r="GJ78" s="552"/>
      <c r="GK78" s="552"/>
      <c r="GL78" s="552"/>
      <c r="GM78" s="552"/>
      <c r="GN78" s="552"/>
      <c r="GO78" s="552"/>
      <c r="GP78" s="552"/>
      <c r="GQ78" s="552"/>
      <c r="GR78" s="552"/>
      <c r="GS78" s="552"/>
      <c r="GT78" s="552"/>
      <c r="GU78" s="552"/>
      <c r="GV78" s="552"/>
      <c r="GW78" s="552"/>
      <c r="GX78" s="552"/>
      <c r="GY78" s="552"/>
      <c r="GZ78" s="552"/>
      <c r="HA78" s="552"/>
      <c r="HB78" s="552"/>
      <c r="HC78" s="552"/>
      <c r="HD78" s="552"/>
      <c r="HE78" s="552"/>
      <c r="HF78" s="552"/>
      <c r="HG78" s="552"/>
      <c r="HH78" s="552"/>
      <c r="HI78" s="552"/>
      <c r="HJ78" s="552"/>
      <c r="HK78" s="552"/>
      <c r="HL78" s="552"/>
      <c r="HM78" s="552"/>
      <c r="HN78" s="552"/>
      <c r="HO78" s="552"/>
      <c r="HP78" s="552"/>
      <c r="HQ78" s="552"/>
      <c r="HR78" s="552"/>
      <c r="HS78" s="552"/>
      <c r="HT78" s="552"/>
      <c r="HU78" s="552"/>
      <c r="HV78" s="552"/>
      <c r="HW78" s="552"/>
      <c r="HX78" s="552"/>
      <c r="HY78" s="552"/>
      <c r="HZ78" s="552"/>
      <c r="IA78" s="552"/>
      <c r="IB78" s="552"/>
      <c r="IC78" s="552"/>
      <c r="ID78" s="552"/>
      <c r="IE78" s="552"/>
      <c r="IF78" s="552"/>
      <c r="IG78" s="552"/>
      <c r="IH78" s="552"/>
      <c r="II78" s="552"/>
      <c r="IJ78" s="552"/>
      <c r="IK78" s="552"/>
      <c r="IL78" s="552"/>
      <c r="IM78" s="552"/>
      <c r="IN78" s="552"/>
      <c r="IO78" s="552"/>
      <c r="IP78" s="552"/>
      <c r="IQ78" s="552"/>
      <c r="IR78" s="552"/>
      <c r="IS78" s="552"/>
      <c r="IT78" s="552"/>
      <c r="IU78" s="552"/>
      <c r="IV78" s="552"/>
    </row>
    <row r="79" spans="1:256" s="600" customFormat="1" ht="18" customHeight="1" thickBot="1">
      <c r="A79" s="588">
        <v>71</v>
      </c>
      <c r="B79" s="660"/>
      <c r="C79" s="556"/>
      <c r="D79" s="576" t="s">
        <v>1022</v>
      </c>
      <c r="E79" s="604"/>
      <c r="F79" s="604"/>
      <c r="G79" s="656"/>
      <c r="H79" s="615"/>
      <c r="I79" s="607"/>
      <c r="J79" s="607"/>
      <c r="K79" s="657"/>
      <c r="L79" s="657"/>
      <c r="M79" s="657"/>
      <c r="N79" s="658"/>
      <c r="O79" s="562">
        <f>SUM(I79:N79)</f>
        <v>0</v>
      </c>
      <c r="P79" s="659"/>
      <c r="Q79" s="552"/>
      <c r="R79" s="552"/>
      <c r="S79" s="552"/>
      <c r="T79" s="552"/>
      <c r="U79" s="552"/>
      <c r="V79" s="552"/>
      <c r="W79" s="552"/>
      <c r="X79" s="552"/>
      <c r="Y79" s="552"/>
      <c r="Z79" s="552"/>
      <c r="AA79" s="552"/>
      <c r="AB79" s="552"/>
      <c r="AC79" s="552"/>
      <c r="AD79" s="552"/>
      <c r="AE79" s="552"/>
      <c r="AF79" s="552"/>
      <c r="AG79" s="552"/>
      <c r="AH79" s="552"/>
      <c r="AI79" s="552"/>
      <c r="AJ79" s="552"/>
      <c r="AK79" s="552"/>
      <c r="AL79" s="552"/>
      <c r="AM79" s="552"/>
      <c r="AN79" s="552"/>
      <c r="AO79" s="552"/>
      <c r="AP79" s="552"/>
      <c r="AQ79" s="552"/>
      <c r="AR79" s="552"/>
      <c r="AS79" s="552"/>
      <c r="AT79" s="552"/>
      <c r="AU79" s="552"/>
      <c r="AV79" s="552"/>
      <c r="AW79" s="552"/>
      <c r="AX79" s="552"/>
      <c r="AY79" s="552"/>
      <c r="AZ79" s="552"/>
      <c r="BA79" s="552"/>
      <c r="BB79" s="552"/>
      <c r="BC79" s="552"/>
      <c r="BD79" s="552"/>
      <c r="BE79" s="552"/>
      <c r="BF79" s="552"/>
      <c r="BG79" s="552"/>
      <c r="BH79" s="552"/>
      <c r="BI79" s="552"/>
      <c r="BJ79" s="552"/>
      <c r="BK79" s="552"/>
      <c r="BL79" s="552"/>
      <c r="BM79" s="552"/>
      <c r="BN79" s="552"/>
      <c r="BO79" s="552"/>
      <c r="BP79" s="552"/>
      <c r="BQ79" s="552"/>
      <c r="BR79" s="552"/>
      <c r="BS79" s="552"/>
      <c r="BT79" s="552"/>
      <c r="BU79" s="552"/>
      <c r="BV79" s="552"/>
      <c r="BW79" s="552"/>
      <c r="BX79" s="552"/>
      <c r="BY79" s="552"/>
      <c r="BZ79" s="552"/>
      <c r="CA79" s="552"/>
      <c r="CB79" s="552"/>
      <c r="CC79" s="552"/>
      <c r="CD79" s="552"/>
      <c r="CE79" s="552"/>
      <c r="CF79" s="552"/>
      <c r="CG79" s="552"/>
      <c r="CH79" s="552"/>
      <c r="CI79" s="552"/>
      <c r="CJ79" s="552"/>
      <c r="CK79" s="552"/>
      <c r="CL79" s="552"/>
      <c r="CM79" s="552"/>
      <c r="CN79" s="552"/>
      <c r="CO79" s="552"/>
      <c r="CP79" s="552"/>
      <c r="CQ79" s="552"/>
      <c r="CR79" s="552"/>
      <c r="CS79" s="552"/>
      <c r="CT79" s="552"/>
      <c r="CU79" s="552"/>
      <c r="CV79" s="552"/>
      <c r="CW79" s="552"/>
      <c r="CX79" s="552"/>
      <c r="CY79" s="552"/>
      <c r="CZ79" s="552"/>
      <c r="DA79" s="552"/>
      <c r="DB79" s="552"/>
      <c r="DC79" s="552"/>
      <c r="DD79" s="552"/>
      <c r="DE79" s="552"/>
      <c r="DF79" s="552"/>
      <c r="DG79" s="552"/>
      <c r="DH79" s="552"/>
      <c r="DI79" s="552"/>
      <c r="DJ79" s="552"/>
      <c r="DK79" s="552"/>
      <c r="DL79" s="552"/>
      <c r="DM79" s="552"/>
      <c r="DN79" s="552"/>
      <c r="DO79" s="552"/>
      <c r="DP79" s="552"/>
      <c r="DQ79" s="552"/>
      <c r="DR79" s="552"/>
      <c r="DS79" s="552"/>
      <c r="DT79" s="552"/>
      <c r="DU79" s="552"/>
      <c r="DV79" s="552"/>
      <c r="DW79" s="552"/>
      <c r="DX79" s="552"/>
      <c r="DY79" s="552"/>
      <c r="DZ79" s="552"/>
      <c r="EA79" s="552"/>
      <c r="EB79" s="552"/>
      <c r="EC79" s="552"/>
      <c r="ED79" s="552"/>
      <c r="EE79" s="552"/>
      <c r="EF79" s="552"/>
      <c r="EG79" s="552"/>
      <c r="EH79" s="552"/>
      <c r="EI79" s="552"/>
      <c r="EJ79" s="552"/>
      <c r="EK79" s="552"/>
      <c r="EL79" s="552"/>
      <c r="EM79" s="552"/>
      <c r="EN79" s="552"/>
      <c r="EO79" s="552"/>
      <c r="EP79" s="552"/>
      <c r="EQ79" s="552"/>
      <c r="ER79" s="552"/>
      <c r="ES79" s="552"/>
      <c r="ET79" s="552"/>
      <c r="EU79" s="552"/>
      <c r="EV79" s="552"/>
      <c r="EW79" s="552"/>
      <c r="EX79" s="552"/>
      <c r="EY79" s="552"/>
      <c r="EZ79" s="552"/>
      <c r="FA79" s="552"/>
      <c r="FB79" s="552"/>
      <c r="FC79" s="552"/>
      <c r="FD79" s="552"/>
      <c r="FE79" s="552"/>
      <c r="FF79" s="552"/>
      <c r="FG79" s="552"/>
      <c r="FH79" s="552"/>
      <c r="FI79" s="552"/>
      <c r="FJ79" s="552"/>
      <c r="FK79" s="552"/>
      <c r="FL79" s="552"/>
      <c r="FM79" s="552"/>
      <c r="FN79" s="552"/>
      <c r="FO79" s="552"/>
      <c r="FP79" s="552"/>
      <c r="FQ79" s="552"/>
      <c r="FR79" s="552"/>
      <c r="FS79" s="552"/>
      <c r="FT79" s="552"/>
      <c r="FU79" s="552"/>
      <c r="FV79" s="552"/>
      <c r="FW79" s="552"/>
      <c r="FX79" s="552"/>
      <c r="FY79" s="552"/>
      <c r="FZ79" s="552"/>
      <c r="GA79" s="552"/>
      <c r="GB79" s="552"/>
      <c r="GC79" s="552"/>
      <c r="GD79" s="552"/>
      <c r="GE79" s="552"/>
      <c r="GF79" s="552"/>
      <c r="GG79" s="552"/>
      <c r="GH79" s="552"/>
      <c r="GI79" s="552"/>
      <c r="GJ79" s="552"/>
      <c r="GK79" s="552"/>
      <c r="GL79" s="552"/>
      <c r="GM79" s="552"/>
      <c r="GN79" s="552"/>
      <c r="GO79" s="552"/>
      <c r="GP79" s="552"/>
      <c r="GQ79" s="552"/>
      <c r="GR79" s="552"/>
      <c r="GS79" s="552"/>
      <c r="GT79" s="552"/>
      <c r="GU79" s="552"/>
      <c r="GV79" s="552"/>
      <c r="GW79" s="552"/>
      <c r="GX79" s="552"/>
      <c r="GY79" s="552"/>
      <c r="GZ79" s="552"/>
      <c r="HA79" s="552"/>
      <c r="HB79" s="552"/>
      <c r="HC79" s="552"/>
      <c r="HD79" s="552"/>
      <c r="HE79" s="552"/>
      <c r="HF79" s="552"/>
      <c r="HG79" s="552"/>
      <c r="HH79" s="552"/>
      <c r="HI79" s="552"/>
      <c r="HJ79" s="552"/>
      <c r="HK79" s="552"/>
      <c r="HL79" s="552"/>
      <c r="HM79" s="552"/>
      <c r="HN79" s="552"/>
      <c r="HO79" s="552"/>
      <c r="HP79" s="552"/>
      <c r="HQ79" s="552"/>
      <c r="HR79" s="552"/>
      <c r="HS79" s="552"/>
      <c r="HT79" s="552"/>
      <c r="HU79" s="552"/>
      <c r="HV79" s="552"/>
      <c r="HW79" s="552"/>
      <c r="HX79" s="552"/>
      <c r="HY79" s="552"/>
      <c r="HZ79" s="552"/>
      <c r="IA79" s="552"/>
      <c r="IB79" s="552"/>
      <c r="IC79" s="552"/>
      <c r="ID79" s="552"/>
      <c r="IE79" s="552"/>
      <c r="IF79" s="552"/>
      <c r="IG79" s="552"/>
      <c r="IH79" s="552"/>
      <c r="II79" s="552"/>
      <c r="IJ79" s="552"/>
      <c r="IK79" s="552"/>
      <c r="IL79" s="552"/>
      <c r="IM79" s="552"/>
      <c r="IN79" s="552"/>
      <c r="IO79" s="552"/>
      <c r="IP79" s="552"/>
      <c r="IQ79" s="552"/>
      <c r="IR79" s="552"/>
      <c r="IS79" s="552"/>
      <c r="IT79" s="552"/>
      <c r="IU79" s="552"/>
      <c r="IV79" s="552"/>
    </row>
    <row r="80" spans="1:256" s="600" customFormat="1" ht="27" customHeight="1" thickTop="1">
      <c r="A80" s="588">
        <v>72</v>
      </c>
      <c r="B80" s="1985" t="s">
        <v>221</v>
      </c>
      <c r="C80" s="1985"/>
      <c r="D80" s="1985"/>
      <c r="E80" s="1985"/>
      <c r="F80" s="1985"/>
      <c r="G80" s="1985"/>
      <c r="H80" s="663"/>
      <c r="I80" s="664"/>
      <c r="J80" s="664"/>
      <c r="K80" s="664"/>
      <c r="L80" s="664"/>
      <c r="M80" s="664"/>
      <c r="N80" s="665"/>
      <c r="O80" s="666"/>
      <c r="P80" s="667"/>
      <c r="Q80" s="552"/>
      <c r="R80" s="552"/>
      <c r="S80" s="552"/>
      <c r="T80" s="552"/>
      <c r="U80" s="552"/>
      <c r="V80" s="552"/>
      <c r="W80" s="552"/>
      <c r="X80" s="552"/>
      <c r="Y80" s="552"/>
      <c r="Z80" s="552"/>
      <c r="AA80" s="552"/>
      <c r="AB80" s="552"/>
      <c r="AC80" s="552"/>
      <c r="AD80" s="552"/>
      <c r="AE80" s="552"/>
      <c r="AF80" s="552"/>
      <c r="AG80" s="552"/>
      <c r="AH80" s="552"/>
      <c r="AI80" s="552"/>
      <c r="AJ80" s="552"/>
      <c r="AK80" s="552"/>
      <c r="AL80" s="552"/>
      <c r="AM80" s="552"/>
      <c r="AN80" s="552"/>
      <c r="AO80" s="552"/>
      <c r="AP80" s="552"/>
      <c r="AQ80" s="552"/>
      <c r="AR80" s="552"/>
      <c r="AS80" s="552"/>
      <c r="AT80" s="552"/>
      <c r="AU80" s="552"/>
      <c r="AV80" s="552"/>
      <c r="AW80" s="552"/>
      <c r="AX80" s="552"/>
      <c r="AY80" s="552"/>
      <c r="AZ80" s="552"/>
      <c r="BA80" s="552"/>
      <c r="BB80" s="552"/>
      <c r="BC80" s="552"/>
      <c r="BD80" s="552"/>
      <c r="BE80" s="552"/>
      <c r="BF80" s="552"/>
      <c r="BG80" s="552"/>
      <c r="BH80" s="552"/>
      <c r="BI80" s="552"/>
      <c r="BJ80" s="552"/>
      <c r="BK80" s="552"/>
      <c r="BL80" s="552"/>
      <c r="BM80" s="552"/>
      <c r="BN80" s="552"/>
      <c r="BO80" s="552"/>
      <c r="BP80" s="552"/>
      <c r="BQ80" s="552"/>
      <c r="BR80" s="552"/>
      <c r="BS80" s="552"/>
      <c r="BT80" s="552"/>
      <c r="BU80" s="552"/>
      <c r="BV80" s="552"/>
      <c r="BW80" s="552"/>
      <c r="BX80" s="552"/>
      <c r="BY80" s="552"/>
      <c r="BZ80" s="552"/>
      <c r="CA80" s="552"/>
      <c r="CB80" s="552"/>
      <c r="CC80" s="552"/>
      <c r="CD80" s="552"/>
      <c r="CE80" s="552"/>
      <c r="CF80" s="552"/>
      <c r="CG80" s="552"/>
      <c r="CH80" s="552"/>
      <c r="CI80" s="552"/>
      <c r="CJ80" s="552"/>
      <c r="CK80" s="552"/>
      <c r="CL80" s="552"/>
      <c r="CM80" s="552"/>
      <c r="CN80" s="552"/>
      <c r="CO80" s="552"/>
      <c r="CP80" s="552"/>
      <c r="CQ80" s="552"/>
      <c r="CR80" s="552"/>
      <c r="CS80" s="552"/>
      <c r="CT80" s="552"/>
      <c r="CU80" s="552"/>
      <c r="CV80" s="552"/>
      <c r="CW80" s="552"/>
      <c r="CX80" s="552"/>
      <c r="CY80" s="552"/>
      <c r="CZ80" s="552"/>
      <c r="DA80" s="552"/>
      <c r="DB80" s="552"/>
      <c r="DC80" s="552"/>
      <c r="DD80" s="552"/>
      <c r="DE80" s="552"/>
      <c r="DF80" s="552"/>
      <c r="DG80" s="552"/>
      <c r="DH80" s="552"/>
      <c r="DI80" s="552"/>
      <c r="DJ80" s="552"/>
      <c r="DK80" s="552"/>
      <c r="DL80" s="552"/>
      <c r="DM80" s="552"/>
      <c r="DN80" s="552"/>
      <c r="DO80" s="552"/>
      <c r="DP80" s="552"/>
      <c r="DQ80" s="552"/>
      <c r="DR80" s="552"/>
      <c r="DS80" s="552"/>
      <c r="DT80" s="552"/>
      <c r="DU80" s="552"/>
      <c r="DV80" s="552"/>
      <c r="DW80" s="552"/>
      <c r="DX80" s="552"/>
      <c r="DY80" s="552"/>
      <c r="DZ80" s="552"/>
      <c r="EA80" s="552"/>
      <c r="EB80" s="552"/>
      <c r="EC80" s="552"/>
      <c r="ED80" s="552"/>
      <c r="EE80" s="552"/>
      <c r="EF80" s="552"/>
      <c r="EG80" s="552"/>
      <c r="EH80" s="552"/>
      <c r="EI80" s="552"/>
      <c r="EJ80" s="552"/>
      <c r="EK80" s="552"/>
      <c r="EL80" s="552"/>
      <c r="EM80" s="552"/>
      <c r="EN80" s="552"/>
      <c r="EO80" s="552"/>
      <c r="EP80" s="552"/>
      <c r="EQ80" s="552"/>
      <c r="ER80" s="552"/>
      <c r="ES80" s="552"/>
      <c r="ET80" s="552"/>
      <c r="EU80" s="552"/>
      <c r="EV80" s="552"/>
      <c r="EW80" s="552"/>
      <c r="EX80" s="552"/>
      <c r="EY80" s="552"/>
      <c r="EZ80" s="552"/>
      <c r="FA80" s="552"/>
      <c r="FB80" s="552"/>
      <c r="FC80" s="552"/>
      <c r="FD80" s="552"/>
      <c r="FE80" s="552"/>
      <c r="FF80" s="552"/>
      <c r="FG80" s="552"/>
      <c r="FH80" s="552"/>
      <c r="FI80" s="552"/>
      <c r="FJ80" s="552"/>
      <c r="FK80" s="552"/>
      <c r="FL80" s="552"/>
      <c r="FM80" s="552"/>
      <c r="FN80" s="552"/>
      <c r="FO80" s="552"/>
      <c r="FP80" s="552"/>
      <c r="FQ80" s="552"/>
      <c r="FR80" s="552"/>
      <c r="FS80" s="552"/>
      <c r="FT80" s="552"/>
      <c r="FU80" s="552"/>
      <c r="FV80" s="552"/>
      <c r="FW80" s="552"/>
      <c r="FX80" s="552"/>
      <c r="FY80" s="552"/>
      <c r="FZ80" s="552"/>
      <c r="GA80" s="552"/>
      <c r="GB80" s="552"/>
      <c r="GC80" s="552"/>
      <c r="GD80" s="552"/>
      <c r="GE80" s="552"/>
      <c r="GF80" s="552"/>
      <c r="GG80" s="552"/>
      <c r="GH80" s="552"/>
      <c r="GI80" s="552"/>
      <c r="GJ80" s="552"/>
      <c r="GK80" s="552"/>
      <c r="GL80" s="552"/>
      <c r="GM80" s="552"/>
      <c r="GN80" s="552"/>
      <c r="GO80" s="552"/>
      <c r="GP80" s="552"/>
      <c r="GQ80" s="552"/>
      <c r="GR80" s="552"/>
      <c r="GS80" s="552"/>
      <c r="GT80" s="552"/>
      <c r="GU80" s="552"/>
      <c r="GV80" s="552"/>
      <c r="GW80" s="552"/>
      <c r="GX80" s="552"/>
      <c r="GY80" s="552"/>
      <c r="GZ80" s="552"/>
      <c r="HA80" s="552"/>
      <c r="HB80" s="552"/>
      <c r="HC80" s="552"/>
      <c r="HD80" s="552"/>
      <c r="HE80" s="552"/>
      <c r="HF80" s="552"/>
      <c r="HG80" s="552"/>
      <c r="HH80" s="552"/>
      <c r="HI80" s="552"/>
      <c r="HJ80" s="552"/>
      <c r="HK80" s="552"/>
      <c r="HL80" s="552"/>
      <c r="HM80" s="552"/>
      <c r="HN80" s="552"/>
      <c r="HO80" s="552"/>
      <c r="HP80" s="552"/>
      <c r="HQ80" s="552"/>
      <c r="HR80" s="552"/>
      <c r="HS80" s="552"/>
      <c r="HT80" s="552"/>
      <c r="HU80" s="552"/>
      <c r="HV80" s="552"/>
      <c r="HW80" s="552"/>
      <c r="HX80" s="552"/>
      <c r="HY80" s="552"/>
      <c r="HZ80" s="552"/>
      <c r="IA80" s="552"/>
      <c r="IB80" s="552"/>
      <c r="IC80" s="552"/>
      <c r="ID80" s="552"/>
      <c r="IE80" s="552"/>
      <c r="IF80" s="552"/>
      <c r="IG80" s="552"/>
      <c r="IH80" s="552"/>
      <c r="II80" s="552"/>
      <c r="IJ80" s="552"/>
      <c r="IK80" s="552"/>
      <c r="IL80" s="552"/>
      <c r="IM80" s="552"/>
      <c r="IN80" s="552"/>
      <c r="IO80" s="552"/>
      <c r="IP80" s="552"/>
      <c r="IQ80" s="552"/>
      <c r="IR80" s="552"/>
      <c r="IS80" s="552"/>
      <c r="IT80" s="552"/>
      <c r="IU80" s="552"/>
      <c r="IV80" s="552"/>
    </row>
    <row r="81" spans="1:16" s="676" customFormat="1" ht="19.5" customHeight="1">
      <c r="A81" s="588">
        <v>73</v>
      </c>
      <c r="B81" s="668"/>
      <c r="C81" s="669"/>
      <c r="D81" s="636" t="s">
        <v>198</v>
      </c>
      <c r="E81" s="670"/>
      <c r="F81" s="670"/>
      <c r="G81" s="671"/>
      <c r="H81" s="672"/>
      <c r="I81" s="673">
        <f t="shared" ref="I81:N81" si="0">I71+I67+I63+I59+I55+I51+I47+I43+I39+I35+I31+I27+I23+I19+I15+I11</f>
        <v>674</v>
      </c>
      <c r="J81" s="673">
        <f t="shared" si="0"/>
        <v>193</v>
      </c>
      <c r="K81" s="673">
        <f t="shared" si="0"/>
        <v>131974</v>
      </c>
      <c r="L81" s="673">
        <f t="shared" si="0"/>
        <v>1612</v>
      </c>
      <c r="M81" s="673">
        <f t="shared" si="0"/>
        <v>18717</v>
      </c>
      <c r="N81" s="673">
        <f t="shared" si="0"/>
        <v>27923</v>
      </c>
      <c r="O81" s="674">
        <f>SUM(I81:N81)</f>
        <v>181093</v>
      </c>
      <c r="P81" s="675">
        <f>SUM(P9:P71)</f>
        <v>136414</v>
      </c>
    </row>
    <row r="82" spans="1:16" s="676" customFormat="1" ht="19.5" customHeight="1">
      <c r="A82" s="588">
        <v>74</v>
      </c>
      <c r="B82" s="668"/>
      <c r="C82" s="669"/>
      <c r="D82" s="617" t="s">
        <v>765</v>
      </c>
      <c r="E82" s="670"/>
      <c r="F82" s="670"/>
      <c r="G82" s="671"/>
      <c r="H82" s="677"/>
      <c r="I82" s="678">
        <f t="shared" ref="I82:N83" si="1">I72+I68+I64+I60+I56+I52+I48+I44+I40+I36+I32+I28+I24+I20+I16+I12+I75+I78</f>
        <v>3144</v>
      </c>
      <c r="J82" s="678">
        <f t="shared" si="1"/>
        <v>688</v>
      </c>
      <c r="K82" s="678">
        <f t="shared" si="1"/>
        <v>120337</v>
      </c>
      <c r="L82" s="678">
        <f t="shared" si="1"/>
        <v>5210</v>
      </c>
      <c r="M82" s="678">
        <f t="shared" si="1"/>
        <v>241631</v>
      </c>
      <c r="N82" s="678">
        <f t="shared" si="1"/>
        <v>25806</v>
      </c>
      <c r="O82" s="565">
        <f>SUM(I82:N82)</f>
        <v>396816</v>
      </c>
      <c r="P82" s="679"/>
    </row>
    <row r="83" spans="1:16" s="676" customFormat="1" ht="19.5" customHeight="1" thickBot="1">
      <c r="A83" s="588">
        <v>75</v>
      </c>
      <c r="B83" s="683"/>
      <c r="C83" s="684"/>
      <c r="D83" s="1330" t="s">
        <v>1022</v>
      </c>
      <c r="E83" s="684"/>
      <c r="F83" s="684"/>
      <c r="G83" s="685"/>
      <c r="H83" s="686"/>
      <c r="I83" s="1331">
        <f t="shared" si="1"/>
        <v>1214</v>
      </c>
      <c r="J83" s="1331">
        <f t="shared" si="1"/>
        <v>392</v>
      </c>
      <c r="K83" s="1331">
        <f t="shared" si="1"/>
        <v>44067</v>
      </c>
      <c r="L83" s="1331">
        <f t="shared" si="1"/>
        <v>3598</v>
      </c>
      <c r="M83" s="1331">
        <f t="shared" si="1"/>
        <v>316</v>
      </c>
      <c r="N83" s="1331">
        <f t="shared" si="1"/>
        <v>25806</v>
      </c>
      <c r="O83" s="1332">
        <f>SUM(I83:N83)</f>
        <v>75393</v>
      </c>
      <c r="P83" s="687"/>
    </row>
    <row r="84" spans="1:16" ht="18" customHeight="1">
      <c r="B84" s="688" t="s">
        <v>288</v>
      </c>
      <c r="C84" s="689"/>
      <c r="D84" s="688"/>
      <c r="E84" s="690"/>
      <c r="F84" s="691"/>
      <c r="G84" s="690"/>
      <c r="H84" s="580"/>
      <c r="I84" s="690"/>
      <c r="J84" s="690"/>
      <c r="K84" s="690"/>
      <c r="L84" s="690"/>
      <c r="M84" s="690"/>
      <c r="N84" s="690"/>
      <c r="O84" s="692"/>
    </row>
    <row r="85" spans="1:16" ht="18" customHeight="1">
      <c r="B85" s="688" t="s">
        <v>289</v>
      </c>
      <c r="C85" s="689"/>
      <c r="D85" s="688"/>
      <c r="E85" s="549"/>
      <c r="F85" s="691"/>
      <c r="G85" s="690"/>
      <c r="H85" s="580"/>
      <c r="I85" s="690"/>
      <c r="J85" s="690"/>
      <c r="K85" s="690"/>
      <c r="L85" s="690"/>
      <c r="M85" s="690"/>
      <c r="N85" s="690"/>
      <c r="O85" s="692"/>
    </row>
    <row r="86" spans="1:16" ht="18" customHeight="1">
      <c r="B86" s="688" t="s">
        <v>290</v>
      </c>
      <c r="C86" s="689"/>
      <c r="D86" s="688"/>
      <c r="E86" s="549"/>
      <c r="F86" s="691"/>
      <c r="G86" s="690"/>
      <c r="H86" s="580"/>
      <c r="I86" s="690"/>
      <c r="J86" s="690"/>
      <c r="K86" s="690"/>
      <c r="L86" s="690"/>
      <c r="M86" s="690"/>
      <c r="N86" s="690"/>
      <c r="O86" s="692"/>
    </row>
    <row r="87" spans="1:16">
      <c r="B87" s="693" t="s">
        <v>666</v>
      </c>
      <c r="C87" s="693"/>
    </row>
  </sheetData>
  <mergeCells count="18">
    <mergeCell ref="Q6:R6"/>
    <mergeCell ref="I7:L7"/>
    <mergeCell ref="M7:N7"/>
    <mergeCell ref="O7:O8"/>
    <mergeCell ref="B80:G80"/>
    <mergeCell ref="I1:P1"/>
    <mergeCell ref="A2:P2"/>
    <mergeCell ref="A3:P3"/>
    <mergeCell ref="B6:B8"/>
    <mergeCell ref="C6:C8"/>
    <mergeCell ref="D6:D8"/>
    <mergeCell ref="E6:E8"/>
    <mergeCell ref="F6:F8"/>
    <mergeCell ref="G6:G8"/>
    <mergeCell ref="H6:H8"/>
    <mergeCell ref="I6:O6"/>
    <mergeCell ref="P6:P8"/>
    <mergeCell ref="B1:F1"/>
  </mergeCells>
  <printOptions horizontalCentered="1"/>
  <pageMargins left="0.196527777777778" right="0.196527777777778" top="0.59027777777777801" bottom="0.59027777777777801" header="0.511811023622047" footer="0.51180555555555596"/>
  <pageSetup paperSize="9" scale="57" orientation="landscape" horizontalDpi="300" verticalDpi="300" r:id="rId1"/>
  <headerFooter>
    <oddFooter>&amp;C- &amp;P -</oddFooter>
  </headerFooter>
</worksheet>
</file>

<file path=docProps/app.xml><?xml version="1.0" encoding="utf-8"?>
<Properties xmlns="http://schemas.openxmlformats.org/officeDocument/2006/extended-properties" xmlns:vt="http://schemas.openxmlformats.org/officeDocument/2006/docPropsVTypes">
  <Template/>
  <TotalTime>18</TotalTime>
  <Application>Microsoft Excel</Application>
  <DocSecurity>0</DocSecurity>
  <ScaleCrop>false</ScaleCrop>
  <HeadingPairs>
    <vt:vector size="4" baseType="variant">
      <vt:variant>
        <vt:lpstr>Munkalapok</vt:lpstr>
      </vt:variant>
      <vt:variant>
        <vt:i4>16</vt:i4>
      </vt:variant>
      <vt:variant>
        <vt:lpstr>Névvel ellátott tartományok</vt:lpstr>
      </vt:variant>
      <vt:variant>
        <vt:i4>29</vt:i4>
      </vt:variant>
    </vt:vector>
  </HeadingPairs>
  <TitlesOfParts>
    <vt:vector size="45" baseType="lpstr">
      <vt:lpstr>1.Onbe</vt:lpstr>
      <vt:lpstr>2.Onki</vt:lpstr>
      <vt:lpstr>3.Inbe </vt:lpstr>
      <vt:lpstr>4.Inki</vt:lpstr>
      <vt:lpstr>5.Infelhki</vt:lpstr>
      <vt:lpstr>6.Önk.műk.</vt:lpstr>
      <vt:lpstr>7.Beruh.</vt:lpstr>
      <vt:lpstr>8.Felúj.</vt:lpstr>
      <vt:lpstr>9.Projekt</vt:lpstr>
      <vt:lpstr>10.MVP és hazai</vt:lpstr>
      <vt:lpstr>11.EKF</vt:lpstr>
      <vt:lpstr>12.Mérleg</vt:lpstr>
      <vt:lpstr>13.AKU</vt:lpstr>
      <vt:lpstr>14.EU</vt:lpstr>
      <vt:lpstr>15.kv.maradvány</vt:lpstr>
      <vt:lpstr>16.Mérl.össz.</vt:lpstr>
      <vt:lpstr>'1.Onbe'!Nyomtatási_cím</vt:lpstr>
      <vt:lpstr>'10.MVP és hazai'!Nyomtatási_cím</vt:lpstr>
      <vt:lpstr>'11.EKF'!Nyomtatási_cím</vt:lpstr>
      <vt:lpstr>'14.EU'!Nyomtatási_cím</vt:lpstr>
      <vt:lpstr>'16.Mérl.össz.'!Nyomtatási_cím</vt:lpstr>
      <vt:lpstr>'2.Onki'!Nyomtatási_cím</vt:lpstr>
      <vt:lpstr>'3.Inbe '!Nyomtatási_cím</vt:lpstr>
      <vt:lpstr>'4.Inki'!Nyomtatási_cím</vt:lpstr>
      <vt:lpstr>'5.Infelhki'!Nyomtatási_cím</vt:lpstr>
      <vt:lpstr>'6.Önk.műk.'!Nyomtatási_cím</vt:lpstr>
      <vt:lpstr>'7.Beruh.'!Nyomtatási_cím</vt:lpstr>
      <vt:lpstr>'8.Felúj.'!Nyomtatási_cím</vt:lpstr>
      <vt:lpstr>'9.Projekt'!Nyomtatási_cím</vt:lpstr>
      <vt:lpstr>'1.Onbe'!Nyomtatási_terület</vt:lpstr>
      <vt:lpstr>'10.MVP és hazai'!Nyomtatási_terület</vt:lpstr>
      <vt:lpstr>'11.EKF'!Nyomtatási_terület</vt:lpstr>
      <vt:lpstr>'12.Mérleg'!Nyomtatási_terület</vt:lpstr>
      <vt:lpstr>'13.AKU'!Nyomtatási_terület</vt:lpstr>
      <vt:lpstr>'14.EU'!Nyomtatási_terület</vt:lpstr>
      <vt:lpstr>'15.kv.maradvány'!Nyomtatási_terület</vt:lpstr>
      <vt:lpstr>'16.Mérl.össz.'!Nyomtatási_terület</vt:lpstr>
      <vt:lpstr>'2.Onki'!Nyomtatási_terület</vt:lpstr>
      <vt:lpstr>'3.Inbe '!Nyomtatási_terület</vt:lpstr>
      <vt:lpstr>'4.Inki'!Nyomtatási_terület</vt:lpstr>
      <vt:lpstr>'5.Infelhki'!Nyomtatási_terület</vt:lpstr>
      <vt:lpstr>'6.Önk.műk.'!Nyomtatási_terület</vt:lpstr>
      <vt:lpstr>'7.Beruh.'!Nyomtatási_terület</vt:lpstr>
      <vt:lpstr>'8.Felúj.'!Nyomtatási_terület</vt:lpstr>
      <vt:lpstr>'9.Projekt'!Nyomtatási_terület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Schumacher Judit</dc:creator>
  <dc:description/>
  <cp:lastModifiedBy>Dr. Lohonyai Bernadett</cp:lastModifiedBy>
  <cp:revision>3</cp:revision>
  <cp:lastPrinted>2025-03-27T09:50:03Z</cp:lastPrinted>
  <dcterms:created xsi:type="dcterms:W3CDTF">2015-02-11T07:38:58Z</dcterms:created>
  <dcterms:modified xsi:type="dcterms:W3CDTF">2025-04-30T09:39:18Z</dcterms:modified>
  <dc:language>hu-HU</dc:language>
</cp:coreProperties>
</file>