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koltsegvetes\Koltsegvetes2025\BESZÁMOLÓK\I_FÉLÉVI_BESZÁMOLÓ\Közgyűlési_előterjesztés\Betty_től vissza\"/>
    </mc:Choice>
  </mc:AlternateContent>
  <xr:revisionPtr revIDLastSave="0" documentId="13_ncr:1_{9FD2DC81-2355-451F-A2C4-BE729F29A732}" xr6:coauthVersionLast="47" xr6:coauthVersionMax="47" xr10:uidLastSave="{00000000-0000-0000-0000-000000000000}"/>
  <bookViews>
    <workbookView xWindow="-120" yWindow="-120" windowWidth="29040" windowHeight="15720" activeTab="10" xr2:uid="{00000000-000D-0000-FFFF-FFFF00000000}"/>
  </bookViews>
  <sheets>
    <sheet name="1.Onbe" sheetId="113" r:id="rId1"/>
    <sheet name="2.Onki" sheetId="115" r:id="rId2"/>
    <sheet name="3.Inbe " sheetId="181" r:id="rId3"/>
    <sheet name="4.Inki" sheetId="182" r:id="rId4"/>
    <sheet name="5.Infelhki" sheetId="185" r:id="rId5"/>
    <sheet name="6.Önk.műk." sheetId="105" r:id="rId6"/>
    <sheet name="7.Beruh." sheetId="134" r:id="rId7"/>
    <sheet name="8.Felúj." sheetId="147" r:id="rId8"/>
    <sheet name="9.Projekt" sheetId="144" r:id="rId9"/>
    <sheet name="10.Mérleg" sheetId="109" r:id="rId10"/>
    <sheet name="11_AKÜ" sheetId="187" r:id="rId11"/>
    <sheet name="12.EU" sheetId="186" r:id="rId12"/>
  </sheets>
  <definedNames>
    <definedName name="_4._sz._sor_részletezése" localSheetId="0">#REF!</definedName>
    <definedName name="_4._sz._sor_részletezése" localSheetId="11">#REF!</definedName>
    <definedName name="_4._sz._sor_részletezése" localSheetId="4">#REF!</definedName>
    <definedName name="_4._sz._sor_részletezése" localSheetId="6">#REF!</definedName>
    <definedName name="_4._sz._sor_részletezése" localSheetId="7">#REF!</definedName>
    <definedName name="_4._sz._sor_részletezése" localSheetId="8">#REF!</definedName>
    <definedName name="_4._sz._sor_részletezése">#REF!</definedName>
    <definedName name="_xlnm.Print_Titles" localSheetId="0">'1.Onbe'!$5:$7</definedName>
    <definedName name="_xlnm.Print_Titles" localSheetId="11">'12.EU'!$5:$9</definedName>
    <definedName name="_xlnm.Print_Titles" localSheetId="1">'2.Onki'!$5:$7</definedName>
    <definedName name="_xlnm.Print_Titles" localSheetId="2">'3.Inbe '!$5:$8</definedName>
    <definedName name="_xlnm.Print_Titles" localSheetId="3">'4.Inki'!$5:$8</definedName>
    <definedName name="_xlnm.Print_Titles" localSheetId="4">'5.Infelhki'!$5:$8</definedName>
    <definedName name="_xlnm.Print_Titles" localSheetId="5">'6.Önk.műk.'!$4:$7</definedName>
    <definedName name="_xlnm.Print_Titles" localSheetId="6">'7.Beruh.'!$4:$8</definedName>
    <definedName name="_xlnm.Print_Titles" localSheetId="7">'8.Felúj.'!$4:$8</definedName>
    <definedName name="_xlnm.Print_Titles" localSheetId="8">'9.Projekt'!$4:$8</definedName>
    <definedName name="_xlnm.Print_Area" localSheetId="0">'1.Onbe'!$A$1:$K$74</definedName>
    <definedName name="_xlnm.Print_Area" localSheetId="9">'10.Mérleg'!$A$1:$Q$38</definedName>
    <definedName name="_xlnm.Print_Area" localSheetId="11">'12.EU'!$A$1:$T$17</definedName>
    <definedName name="_xlnm.Print_Area" localSheetId="1">'2.Onki'!$A$1:$K$48</definedName>
    <definedName name="_xlnm.Print_Area" localSheetId="2">'3.Inbe '!$A$1:$R$107</definedName>
    <definedName name="_xlnm.Print_Area" localSheetId="3">'4.Inki'!$A$1:$R$175</definedName>
    <definedName name="_xlnm.Print_Area" localSheetId="6">'7.Beruh.'!$A$1:$M$415</definedName>
    <definedName name="_xlnm.Print_Area" localSheetId="7">'8.Felúj.'!$A$1:$L$94</definedName>
    <definedName name="_xlnm.Print_Area" localSheetId="8">'9.Projekt'!$A$1:$P$114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9" i="187" l="1"/>
  <c r="W19" i="187"/>
  <c r="V19" i="187"/>
  <c r="U19" i="187"/>
  <c r="T19" i="187"/>
  <c r="S19" i="187"/>
  <c r="R19" i="187"/>
  <c r="Q19" i="187"/>
  <c r="P19" i="187"/>
  <c r="O19" i="187"/>
  <c r="X18" i="187"/>
  <c r="W18" i="187"/>
  <c r="V18" i="187"/>
  <c r="U18" i="187"/>
  <c r="T18" i="187"/>
  <c r="S18" i="187"/>
  <c r="R18" i="187"/>
  <c r="Q18" i="187"/>
  <c r="P18" i="187"/>
  <c r="O18" i="187"/>
  <c r="X17" i="187"/>
  <c r="W17" i="187"/>
  <c r="V17" i="187"/>
  <c r="U17" i="187"/>
  <c r="T17" i="187"/>
  <c r="S17" i="187"/>
  <c r="R17" i="187"/>
  <c r="Q17" i="187"/>
  <c r="P17" i="187"/>
  <c r="O17" i="187"/>
  <c r="N17" i="187"/>
  <c r="L17" i="187"/>
  <c r="J17" i="187"/>
  <c r="I17" i="187"/>
  <c r="H17" i="187"/>
  <c r="AA15" i="187"/>
  <c r="Z15" i="187"/>
  <c r="M15" i="187"/>
  <c r="K15" i="187"/>
  <c r="AA13" i="187"/>
  <c r="Z13" i="187"/>
  <c r="M13" i="187"/>
  <c r="K13" i="187"/>
  <c r="AA11" i="187"/>
  <c r="Z11" i="187"/>
  <c r="M11" i="187"/>
  <c r="K11" i="187"/>
  <c r="AA9" i="187"/>
  <c r="Z9" i="187"/>
  <c r="M9" i="187"/>
  <c r="M17" i="187" s="1"/>
  <c r="K9" i="187"/>
  <c r="K17" i="187" s="1"/>
  <c r="I300" i="105" l="1"/>
  <c r="M300" i="105"/>
  <c r="K300" i="105"/>
  <c r="L300" i="105"/>
  <c r="M337" i="105" l="1"/>
  <c r="K70" i="113"/>
  <c r="K10" i="115"/>
  <c r="I23" i="113"/>
  <c r="K59" i="113"/>
  <c r="I58" i="113"/>
  <c r="I44" i="113"/>
  <c r="K44" i="113"/>
  <c r="I9" i="113"/>
  <c r="K115" i="185"/>
  <c r="I140" i="185"/>
  <c r="J140" i="185"/>
  <c r="T15" i="186"/>
  <c r="T14" i="186"/>
  <c r="T13" i="186"/>
  <c r="T12" i="186"/>
  <c r="N16" i="186"/>
  <c r="O16" i="186"/>
  <c r="I16" i="186"/>
  <c r="H16" i="186"/>
  <c r="Q15" i="186"/>
  <c r="P15" i="186"/>
  <c r="M15" i="186"/>
  <c r="S14" i="186"/>
  <c r="R14" i="186"/>
  <c r="R16" i="186" s="1"/>
  <c r="Q14" i="186"/>
  <c r="P14" i="186"/>
  <c r="P16" i="186" s="1"/>
  <c r="M14" i="186"/>
  <c r="L14" i="186"/>
  <c r="L16" i="186" s="1"/>
  <c r="K14" i="186"/>
  <c r="K16" i="186" s="1"/>
  <c r="J14" i="186"/>
  <c r="J16" i="186" s="1"/>
  <c r="S13" i="186"/>
  <c r="G13" i="186" s="1"/>
  <c r="M13" i="186"/>
  <c r="S12" i="186"/>
  <c r="M12" i="186"/>
  <c r="S11" i="186"/>
  <c r="M11" i="186"/>
  <c r="T16" i="186" l="1"/>
  <c r="G14" i="186"/>
  <c r="G12" i="186"/>
  <c r="M16" i="186"/>
  <c r="G11" i="186"/>
  <c r="G16" i="186" s="1"/>
  <c r="Q16" i="186"/>
  <c r="S15" i="186"/>
  <c r="G15" i="186" s="1"/>
  <c r="S16" i="186"/>
  <c r="J86" i="147" l="1"/>
  <c r="J91" i="147"/>
  <c r="I87" i="147"/>
  <c r="J87" i="147"/>
  <c r="I276" i="105"/>
  <c r="K260" i="105"/>
  <c r="L260" i="105"/>
  <c r="M260" i="105"/>
  <c r="N260" i="105"/>
  <c r="J260" i="105"/>
  <c r="J818" i="105"/>
  <c r="K9" i="113" l="1"/>
  <c r="K23" i="113"/>
  <c r="K22" i="113" s="1"/>
  <c r="J821" i="105" l="1"/>
  <c r="K53" i="113" l="1"/>
  <c r="K51" i="113"/>
  <c r="L99" i="182"/>
  <c r="M75" i="182"/>
  <c r="P71" i="182"/>
  <c r="M46" i="182"/>
  <c r="M13" i="182"/>
  <c r="M42" i="182" s="1"/>
  <c r="M108" i="182" l="1"/>
  <c r="L108" i="182"/>
  <c r="K113" i="182"/>
  <c r="M113" i="182"/>
  <c r="I110" i="144"/>
  <c r="J91" i="181"/>
  <c r="Q28" i="109"/>
  <c r="Q25" i="109"/>
  <c r="I25" i="109"/>
  <c r="I36" i="109" s="1"/>
  <c r="I24" i="109"/>
  <c r="I18" i="109"/>
  <c r="P18" i="109"/>
  <c r="P28" i="109"/>
  <c r="P25" i="109"/>
  <c r="P17" i="109"/>
  <c r="P16" i="109"/>
  <c r="H25" i="109"/>
  <c r="H24" i="109"/>
  <c r="H18" i="109"/>
  <c r="H11" i="109"/>
  <c r="Q29" i="109" l="1"/>
  <c r="K34" i="113"/>
  <c r="K57" i="181"/>
  <c r="K91" i="181"/>
  <c r="R91" i="181"/>
  <c r="Q91" i="181"/>
  <c r="P91" i="181"/>
  <c r="O91" i="181"/>
  <c r="N91" i="181"/>
  <c r="M91" i="181"/>
  <c r="L91" i="181"/>
  <c r="R58" i="181"/>
  <c r="Q58" i="181"/>
  <c r="P58" i="181"/>
  <c r="O58" i="181"/>
  <c r="N58" i="181"/>
  <c r="M58" i="181"/>
  <c r="L58" i="181"/>
  <c r="K58" i="181"/>
  <c r="J58" i="181"/>
  <c r="R42" i="181"/>
  <c r="Q42" i="181"/>
  <c r="P42" i="181"/>
  <c r="O42" i="181"/>
  <c r="N42" i="181"/>
  <c r="M42" i="181"/>
  <c r="L42" i="181"/>
  <c r="K42" i="181"/>
  <c r="J42" i="181"/>
  <c r="K167" i="182"/>
  <c r="L167" i="182"/>
  <c r="M167" i="182"/>
  <c r="N167" i="182"/>
  <c r="O167" i="182"/>
  <c r="P167" i="182"/>
  <c r="Q167" i="182"/>
  <c r="R167" i="182"/>
  <c r="R95" i="182"/>
  <c r="Q95" i="182"/>
  <c r="P95" i="182"/>
  <c r="O95" i="182"/>
  <c r="N95" i="182"/>
  <c r="M95" i="182"/>
  <c r="L95" i="182"/>
  <c r="K95" i="182"/>
  <c r="R62" i="182"/>
  <c r="Q62" i="182"/>
  <c r="P62" i="182"/>
  <c r="O62" i="182"/>
  <c r="N62" i="182"/>
  <c r="M62" i="182"/>
  <c r="M162" i="182" s="1"/>
  <c r="L62" i="182"/>
  <c r="K62" i="182"/>
  <c r="R42" i="182"/>
  <c r="R162" i="182" s="1"/>
  <c r="Q42" i="182"/>
  <c r="Q162" i="182" s="1"/>
  <c r="P42" i="182"/>
  <c r="P162" i="182" s="1"/>
  <c r="O42" i="182"/>
  <c r="O162" i="182" s="1"/>
  <c r="N42" i="182"/>
  <c r="N162" i="182" s="1"/>
  <c r="L42" i="182"/>
  <c r="L162" i="182" s="1"/>
  <c r="K42" i="182"/>
  <c r="K162" i="182" s="1"/>
  <c r="K99" i="181" l="1"/>
  <c r="K107" i="181" s="1"/>
  <c r="K21" i="113" s="1"/>
  <c r="I8" i="109" s="1"/>
  <c r="J99" i="181"/>
  <c r="J107" i="181" s="1"/>
  <c r="K39" i="113" s="1"/>
  <c r="I10" i="109" s="1"/>
  <c r="J42" i="182"/>
  <c r="M822" i="105"/>
  <c r="L822" i="105"/>
  <c r="K822" i="105"/>
  <c r="J822" i="105"/>
  <c r="I412" i="134"/>
  <c r="I404" i="134"/>
  <c r="J407" i="134" l="1"/>
  <c r="J408" i="134"/>
  <c r="I407" i="134" l="1"/>
  <c r="I109" i="144" l="1"/>
  <c r="J109" i="144"/>
  <c r="K109" i="144"/>
  <c r="L109" i="144"/>
  <c r="M109" i="144"/>
  <c r="N109" i="144"/>
  <c r="O105" i="144"/>
  <c r="E104" i="144" s="1"/>
  <c r="O102" i="144"/>
  <c r="E101" i="144" s="1"/>
  <c r="O99" i="144"/>
  <c r="E98" i="144" s="1"/>
  <c r="O96" i="144"/>
  <c r="E95" i="144" s="1"/>
  <c r="O93" i="144"/>
  <c r="E92" i="144" s="1"/>
  <c r="O90" i="144"/>
  <c r="E89" i="144" s="1"/>
  <c r="O87" i="144"/>
  <c r="E86" i="144" s="1"/>
  <c r="J82" i="147"/>
  <c r="I82" i="147"/>
  <c r="I86" i="147"/>
  <c r="K78" i="147"/>
  <c r="E77" i="147" s="1"/>
  <c r="I403" i="134"/>
  <c r="I411" i="134"/>
  <c r="L399" i="134"/>
  <c r="E398" i="134" s="1"/>
  <c r="K407" i="134"/>
  <c r="L396" i="134"/>
  <c r="E395" i="134" s="1"/>
  <c r="L393" i="134"/>
  <c r="E392" i="134" s="1"/>
  <c r="L389" i="134"/>
  <c r="E388" i="134" s="1"/>
  <c r="L385" i="134"/>
  <c r="E384" i="134" s="1"/>
  <c r="L382" i="134"/>
  <c r="E381" i="134" s="1"/>
  <c r="L379" i="134"/>
  <c r="E378" i="134" s="1"/>
  <c r="L376" i="134"/>
  <c r="E375" i="134" s="1"/>
  <c r="L373" i="134"/>
  <c r="E372" i="134" s="1"/>
  <c r="I801" i="105"/>
  <c r="I813" i="105"/>
  <c r="K821" i="105"/>
  <c r="M821" i="105"/>
  <c r="I810" i="105"/>
  <c r="I807" i="105"/>
  <c r="I804" i="105"/>
  <c r="K103" i="105"/>
  <c r="L103" i="105"/>
  <c r="M103" i="105"/>
  <c r="N103" i="105"/>
  <c r="J103" i="105"/>
  <c r="I134" i="105"/>
  <c r="L152" i="182"/>
  <c r="M152" i="182"/>
  <c r="N152" i="182"/>
  <c r="O152" i="182"/>
  <c r="P152" i="182"/>
  <c r="Q152" i="182"/>
  <c r="R152" i="182"/>
  <c r="K152" i="182"/>
  <c r="J142" i="182"/>
  <c r="K408" i="134"/>
  <c r="I408" i="134"/>
  <c r="L386" i="134"/>
  <c r="L407" i="134" l="1"/>
  <c r="I103" i="105"/>
  <c r="M110" i="144"/>
  <c r="L397" i="134" l="1"/>
  <c r="L394" i="134"/>
  <c r="L390" i="134"/>
  <c r="K258" i="105" l="1"/>
  <c r="L258" i="105"/>
  <c r="M258" i="105"/>
  <c r="N258" i="105"/>
  <c r="J258" i="105"/>
  <c r="L153" i="182"/>
  <c r="M153" i="182"/>
  <c r="N153" i="182"/>
  <c r="O153" i="182"/>
  <c r="P153" i="182"/>
  <c r="Q153" i="182"/>
  <c r="R153" i="182"/>
  <c r="K153" i="182"/>
  <c r="J110" i="144"/>
  <c r="K110" i="144"/>
  <c r="L110" i="144"/>
  <c r="N110" i="144"/>
  <c r="O106" i="144"/>
  <c r="O103" i="144"/>
  <c r="O100" i="144"/>
  <c r="O97" i="144"/>
  <c r="O94" i="144"/>
  <c r="O91" i="144"/>
  <c r="J26" i="115" l="1"/>
  <c r="P19" i="109" s="1"/>
  <c r="I26" i="115"/>
  <c r="O88" i="144" l="1"/>
  <c r="K26" i="115"/>
  <c r="Q19" i="109" s="1"/>
  <c r="I814" i="105" l="1"/>
  <c r="I811" i="105"/>
  <c r="I808" i="105"/>
  <c r="L400" i="134"/>
  <c r="I805" i="105"/>
  <c r="M104" i="105"/>
  <c r="K104" i="105"/>
  <c r="L104" i="105"/>
  <c r="J104" i="105"/>
  <c r="I135" i="105"/>
  <c r="L383" i="134"/>
  <c r="L380" i="134"/>
  <c r="L377" i="134" l="1"/>
  <c r="I91" i="147" l="1"/>
  <c r="J90" i="147"/>
  <c r="I90" i="147"/>
  <c r="J83" i="147"/>
  <c r="I83" i="147"/>
  <c r="K79" i="147"/>
  <c r="J143" i="182" l="1"/>
  <c r="P31" i="144" l="1"/>
  <c r="L374" i="134"/>
  <c r="J41" i="115" l="1"/>
  <c r="J37" i="115"/>
  <c r="J33" i="115"/>
  <c r="J17" i="115"/>
  <c r="J10" i="115"/>
  <c r="J8" i="115" s="1"/>
  <c r="L166" i="182"/>
  <c r="M166" i="182"/>
  <c r="N166" i="182"/>
  <c r="O166" i="182"/>
  <c r="P166" i="182"/>
  <c r="Q166" i="182"/>
  <c r="R166" i="182"/>
  <c r="K166" i="182"/>
  <c r="L171" i="182"/>
  <c r="M171" i="182"/>
  <c r="N171" i="182"/>
  <c r="O171" i="182"/>
  <c r="P171" i="182"/>
  <c r="Q171" i="182"/>
  <c r="R171" i="182"/>
  <c r="K171" i="182"/>
  <c r="J139" i="182"/>
  <c r="J136" i="182"/>
  <c r="J132" i="182"/>
  <c r="J128" i="182"/>
  <c r="J124" i="182"/>
  <c r="J120" i="182"/>
  <c r="J116" i="182"/>
  <c r="J112" i="182"/>
  <c r="J107" i="182"/>
  <c r="J98" i="182"/>
  <c r="L94" i="182"/>
  <c r="M94" i="182"/>
  <c r="N94" i="182"/>
  <c r="O94" i="182"/>
  <c r="P94" i="182"/>
  <c r="Q94" i="182"/>
  <c r="R94" i="182"/>
  <c r="K94" i="182"/>
  <c r="J90" i="182"/>
  <c r="J86" i="182"/>
  <c r="J79" i="182"/>
  <c r="J74" i="182"/>
  <c r="J70" i="182"/>
  <c r="J65" i="182"/>
  <c r="L61" i="182"/>
  <c r="M61" i="182"/>
  <c r="N61" i="182"/>
  <c r="O61" i="182"/>
  <c r="P61" i="182"/>
  <c r="Q61" i="182"/>
  <c r="R61" i="182"/>
  <c r="K61" i="182"/>
  <c r="J57" i="182"/>
  <c r="J53" i="182"/>
  <c r="J49" i="182"/>
  <c r="J45" i="182"/>
  <c r="L41" i="182"/>
  <c r="M41" i="182"/>
  <c r="N41" i="182"/>
  <c r="O41" i="182"/>
  <c r="O161" i="182" s="1"/>
  <c r="P41" i="182"/>
  <c r="Q41" i="182"/>
  <c r="R41" i="182"/>
  <c r="K41" i="182"/>
  <c r="J37" i="182"/>
  <c r="J32" i="182"/>
  <c r="J27" i="182"/>
  <c r="J22" i="182"/>
  <c r="J17" i="182"/>
  <c r="J12" i="182"/>
  <c r="J16" i="115" l="1"/>
  <c r="P13" i="109"/>
  <c r="K161" i="182"/>
  <c r="Q161" i="182"/>
  <c r="M161" i="182"/>
  <c r="J171" i="182"/>
  <c r="J14" i="115"/>
  <c r="J40" i="115" s="1"/>
  <c r="J48" i="115" s="1"/>
  <c r="J166" i="182"/>
  <c r="R161" i="182"/>
  <c r="N161" i="182"/>
  <c r="J152" i="182"/>
  <c r="P161" i="182"/>
  <c r="L161" i="182"/>
  <c r="Q102" i="182"/>
  <c r="Q156" i="182" s="1"/>
  <c r="M102" i="182"/>
  <c r="M156" i="182" s="1"/>
  <c r="K102" i="182"/>
  <c r="K156" i="182" s="1"/>
  <c r="O102" i="182"/>
  <c r="O156" i="182" s="1"/>
  <c r="R102" i="182"/>
  <c r="R156" i="182" s="1"/>
  <c r="N102" i="182"/>
  <c r="N156" i="182" s="1"/>
  <c r="P102" i="182"/>
  <c r="P156" i="182" s="1"/>
  <c r="L102" i="182"/>
  <c r="L156" i="182" s="1"/>
  <c r="J94" i="182"/>
  <c r="J61" i="182"/>
  <c r="J41" i="182"/>
  <c r="I102" i="181"/>
  <c r="I94" i="181"/>
  <c r="K90" i="181"/>
  <c r="L90" i="181"/>
  <c r="M90" i="181"/>
  <c r="N90" i="181"/>
  <c r="O90" i="181"/>
  <c r="P90" i="181"/>
  <c r="Q90" i="181"/>
  <c r="R90" i="181"/>
  <c r="J90" i="181"/>
  <c r="I86" i="181"/>
  <c r="I82" i="181"/>
  <c r="I75" i="181"/>
  <c r="I70" i="181"/>
  <c r="I66" i="181"/>
  <c r="I61" i="181"/>
  <c r="L57" i="181"/>
  <c r="M57" i="181"/>
  <c r="N57" i="181"/>
  <c r="O57" i="181"/>
  <c r="P57" i="181"/>
  <c r="Q57" i="181"/>
  <c r="R57" i="181"/>
  <c r="J57" i="181"/>
  <c r="I53" i="181"/>
  <c r="I49" i="181"/>
  <c r="I45" i="181"/>
  <c r="K41" i="181"/>
  <c r="L41" i="181"/>
  <c r="M41" i="181"/>
  <c r="N41" i="181"/>
  <c r="O41" i="181"/>
  <c r="P41" i="181"/>
  <c r="Q41" i="181"/>
  <c r="R41" i="181"/>
  <c r="J41" i="181"/>
  <c r="I37" i="181"/>
  <c r="I32" i="181"/>
  <c r="I27" i="181"/>
  <c r="I22" i="181"/>
  <c r="I17" i="181"/>
  <c r="I12" i="181"/>
  <c r="I798" i="105"/>
  <c r="I795" i="105"/>
  <c r="I792" i="105"/>
  <c r="I788" i="105"/>
  <c r="I784" i="105"/>
  <c r="I780" i="105"/>
  <c r="I776" i="105"/>
  <c r="I772" i="105"/>
  <c r="I768" i="105"/>
  <c r="I764" i="105"/>
  <c r="I760" i="105"/>
  <c r="I756" i="105"/>
  <c r="I752" i="105"/>
  <c r="I748" i="105"/>
  <c r="I743" i="105"/>
  <c r="I737" i="105"/>
  <c r="I733" i="105"/>
  <c r="I730" i="105"/>
  <c r="I726" i="105"/>
  <c r="I721" i="105"/>
  <c r="I716" i="105"/>
  <c r="I709" i="105"/>
  <c r="I703" i="105"/>
  <c r="I700" i="105"/>
  <c r="I696" i="105"/>
  <c r="I689" i="105"/>
  <c r="I684" i="105"/>
  <c r="I681" i="105"/>
  <c r="I677" i="105"/>
  <c r="I673" i="105"/>
  <c r="I669" i="105"/>
  <c r="I665" i="105"/>
  <c r="I660" i="105"/>
  <c r="I655" i="105"/>
  <c r="I650" i="105"/>
  <c r="I646" i="105"/>
  <c r="I641" i="105"/>
  <c r="I637" i="105"/>
  <c r="I633" i="105"/>
  <c r="I629" i="105"/>
  <c r="I625" i="105"/>
  <c r="I620" i="105"/>
  <c r="I616" i="105"/>
  <c r="I612" i="105"/>
  <c r="N588" i="105"/>
  <c r="I608" i="105"/>
  <c r="I604" i="105"/>
  <c r="I600" i="105"/>
  <c r="I596" i="105"/>
  <c r="I592" i="105"/>
  <c r="I584" i="105"/>
  <c r="I580" i="105"/>
  <c r="I576" i="105"/>
  <c r="I572" i="105"/>
  <c r="I568" i="105"/>
  <c r="I564" i="105"/>
  <c r="I560" i="105"/>
  <c r="I556" i="105"/>
  <c r="I552" i="105"/>
  <c r="I548" i="105"/>
  <c r="I544" i="105"/>
  <c r="I540" i="105"/>
  <c r="I536" i="105"/>
  <c r="I532" i="105"/>
  <c r="I528" i="105"/>
  <c r="I523" i="105"/>
  <c r="I519" i="105"/>
  <c r="I515" i="105"/>
  <c r="I510" i="105"/>
  <c r="I506" i="105"/>
  <c r="I502" i="105"/>
  <c r="I498" i="105"/>
  <c r="I494" i="105"/>
  <c r="I489" i="105"/>
  <c r="I485" i="105"/>
  <c r="I481" i="105"/>
  <c r="I477" i="105"/>
  <c r="I472" i="105"/>
  <c r="I464" i="105"/>
  <c r="I460" i="105"/>
  <c r="I456" i="105"/>
  <c r="I452" i="105"/>
  <c r="I447" i="105"/>
  <c r="I443" i="105"/>
  <c r="I439" i="105"/>
  <c r="I435" i="105"/>
  <c r="I431" i="105"/>
  <c r="I428" i="105"/>
  <c r="I424" i="105"/>
  <c r="I420" i="105"/>
  <c r="I416" i="105"/>
  <c r="I412" i="105"/>
  <c r="I408" i="105"/>
  <c r="I404" i="105"/>
  <c r="I400" i="105"/>
  <c r="I396" i="105"/>
  <c r="I392" i="105"/>
  <c r="I388" i="105"/>
  <c r="I384" i="105"/>
  <c r="I380" i="105"/>
  <c r="I375" i="105"/>
  <c r="I370" i="105"/>
  <c r="I365" i="105"/>
  <c r="I361" i="105"/>
  <c r="I357" i="105"/>
  <c r="I353" i="105"/>
  <c r="I349" i="105"/>
  <c r="I345" i="105"/>
  <c r="I341" i="105"/>
  <c r="K299" i="105"/>
  <c r="L299" i="105"/>
  <c r="M299" i="105"/>
  <c r="N299" i="105"/>
  <c r="J299" i="105"/>
  <c r="I336" i="105"/>
  <c r="I332" i="105"/>
  <c r="I328" i="105"/>
  <c r="I324" i="105"/>
  <c r="I320" i="105"/>
  <c r="I316" i="105"/>
  <c r="I312" i="105"/>
  <c r="I308" i="105"/>
  <c r="I303" i="105"/>
  <c r="I295" i="105"/>
  <c r="I291" i="105"/>
  <c r="I287" i="105"/>
  <c r="K259" i="105"/>
  <c r="L259" i="105"/>
  <c r="M259" i="105"/>
  <c r="N259" i="105"/>
  <c r="J259" i="105"/>
  <c r="I283" i="105"/>
  <c r="I279" i="105"/>
  <c r="I273" i="105"/>
  <c r="I269" i="105"/>
  <c r="I265" i="105"/>
  <c r="K235" i="105"/>
  <c r="L235" i="105"/>
  <c r="M235" i="105"/>
  <c r="N235" i="105"/>
  <c r="J235" i="105"/>
  <c r="I255" i="105"/>
  <c r="I251" i="105"/>
  <c r="I247" i="105"/>
  <c r="I243" i="105"/>
  <c r="I239" i="105"/>
  <c r="J234" i="105"/>
  <c r="I231" i="105"/>
  <c r="I227" i="105"/>
  <c r="I223" i="105"/>
  <c r="L219" i="105"/>
  <c r="L821" i="105" s="1"/>
  <c r="I215" i="105"/>
  <c r="I211" i="105"/>
  <c r="I206" i="105"/>
  <c r="I202" i="105"/>
  <c r="J154" i="105"/>
  <c r="K153" i="105"/>
  <c r="L153" i="105"/>
  <c r="M153" i="105"/>
  <c r="N153" i="105"/>
  <c r="J153" i="105"/>
  <c r="J152" i="105"/>
  <c r="I181" i="105"/>
  <c r="I177" i="105"/>
  <c r="I173" i="105"/>
  <c r="I169" i="105"/>
  <c r="I165" i="105"/>
  <c r="I161" i="105"/>
  <c r="I157" i="105"/>
  <c r="I197" i="105"/>
  <c r="I193" i="105"/>
  <c r="I189" i="105"/>
  <c r="I185" i="105"/>
  <c r="I148" i="105"/>
  <c r="I144" i="105"/>
  <c r="I140" i="105"/>
  <c r="I131" i="105"/>
  <c r="I128" i="105"/>
  <c r="I122" i="105"/>
  <c r="I117" i="105"/>
  <c r="I111" i="105"/>
  <c r="I107" i="105"/>
  <c r="I99" i="105"/>
  <c r="I95" i="105"/>
  <c r="R98" i="181" l="1"/>
  <c r="R106" i="181" s="1"/>
  <c r="N821" i="105"/>
  <c r="I588" i="105"/>
  <c r="I219" i="105"/>
  <c r="I153" i="105"/>
  <c r="M98" i="181"/>
  <c r="M106" i="181" s="1"/>
  <c r="J161" i="182"/>
  <c r="P98" i="181"/>
  <c r="P106" i="181" s="1"/>
  <c r="L98" i="181"/>
  <c r="L106" i="181" s="1"/>
  <c r="Q98" i="181"/>
  <c r="Q106" i="181" s="1"/>
  <c r="J156" i="182"/>
  <c r="J102" i="182"/>
  <c r="K98" i="181"/>
  <c r="K106" i="181" s="1"/>
  <c r="N98" i="181"/>
  <c r="N106" i="181" s="1"/>
  <c r="O98" i="181"/>
  <c r="O106" i="181" s="1"/>
  <c r="J98" i="181"/>
  <c r="J106" i="181" s="1"/>
  <c r="I90" i="181"/>
  <c r="I57" i="181"/>
  <c r="I41" i="181"/>
  <c r="I299" i="105"/>
  <c r="I259" i="105"/>
  <c r="I235" i="105"/>
  <c r="I821" i="105" l="1"/>
  <c r="I98" i="181"/>
  <c r="I106" i="181" s="1"/>
  <c r="I91" i="105"/>
  <c r="I87" i="105"/>
  <c r="K35" i="105"/>
  <c r="L35" i="105"/>
  <c r="M35" i="105"/>
  <c r="N35" i="105"/>
  <c r="J35" i="105"/>
  <c r="I83" i="105"/>
  <c r="I80" i="105"/>
  <c r="I76" i="105"/>
  <c r="I72" i="105"/>
  <c r="I68" i="105"/>
  <c r="I64" i="105"/>
  <c r="I59" i="105"/>
  <c r="I55" i="105"/>
  <c r="I51" i="105"/>
  <c r="I47" i="105"/>
  <c r="I43" i="105"/>
  <c r="I39" i="105"/>
  <c r="I31" i="105"/>
  <c r="I27" i="105"/>
  <c r="I23" i="105"/>
  <c r="I19" i="105"/>
  <c r="I15" i="105"/>
  <c r="I11" i="105"/>
  <c r="J69" i="113"/>
  <c r="J64" i="113"/>
  <c r="H27" i="109" s="1"/>
  <c r="J60" i="113"/>
  <c r="H23" i="109" s="1"/>
  <c r="H35" i="109" s="1"/>
  <c r="J54" i="113"/>
  <c r="J49" i="113"/>
  <c r="H17" i="109" s="1"/>
  <c r="J45" i="113"/>
  <c r="J34" i="113"/>
  <c r="H10" i="109" s="1"/>
  <c r="J23" i="113"/>
  <c r="J22" i="113" s="1"/>
  <c r="H9" i="109" s="1"/>
  <c r="J10" i="113"/>
  <c r="J9" i="113" s="1"/>
  <c r="H8" i="109" s="1"/>
  <c r="J135" i="185"/>
  <c r="J121" i="185"/>
  <c r="K121" i="185"/>
  <c r="J44" i="113" l="1"/>
  <c r="H16" i="109"/>
  <c r="N825" i="105"/>
  <c r="N817" i="105"/>
  <c r="P12" i="109" s="1"/>
  <c r="M825" i="105"/>
  <c r="M817" i="105"/>
  <c r="P11" i="109" s="1"/>
  <c r="L825" i="105"/>
  <c r="L817" i="105"/>
  <c r="P10" i="109" s="1"/>
  <c r="J825" i="105"/>
  <c r="J817" i="105"/>
  <c r="P8" i="109" s="1"/>
  <c r="K825" i="105"/>
  <c r="K817" i="105"/>
  <c r="P9" i="109" s="1"/>
  <c r="J59" i="113"/>
  <c r="J58" i="113" s="1"/>
  <c r="J136" i="185"/>
  <c r="I35" i="105"/>
  <c r="J8" i="113"/>
  <c r="J56" i="113" s="1"/>
  <c r="J57" i="113" s="1"/>
  <c r="P14" i="109" l="1"/>
  <c r="I825" i="105"/>
  <c r="I817" i="105"/>
  <c r="J74" i="113"/>
  <c r="L125" i="134" l="1"/>
  <c r="E123" i="134" s="1"/>
  <c r="L370" i="134"/>
  <c r="E369" i="134" s="1"/>
  <c r="L367" i="134"/>
  <c r="E366" i="134" s="1"/>
  <c r="L364" i="134"/>
  <c r="E363" i="134" s="1"/>
  <c r="L361" i="134"/>
  <c r="E360" i="134" s="1"/>
  <c r="L358" i="134"/>
  <c r="E357" i="134" s="1"/>
  <c r="L355" i="134"/>
  <c r="E354" i="134" s="1"/>
  <c r="L352" i="134"/>
  <c r="E350" i="134" s="1"/>
  <c r="L348" i="134"/>
  <c r="E346" i="134" s="1"/>
  <c r="L344" i="134"/>
  <c r="E342" i="134" s="1"/>
  <c r="L340" i="134"/>
  <c r="E338" i="134" s="1"/>
  <c r="L336" i="134"/>
  <c r="E334" i="134" s="1"/>
  <c r="L332" i="134"/>
  <c r="E330" i="134" s="1"/>
  <c r="L328" i="134"/>
  <c r="E326" i="134" s="1"/>
  <c r="L324" i="134"/>
  <c r="E322" i="134" s="1"/>
  <c r="L320" i="134"/>
  <c r="E318" i="134" s="1"/>
  <c r="L316" i="134"/>
  <c r="E314" i="134" s="1"/>
  <c r="L312" i="134"/>
  <c r="E310" i="134" s="1"/>
  <c r="L308" i="134"/>
  <c r="E306" i="134" s="1"/>
  <c r="L304" i="134"/>
  <c r="E302" i="134" s="1"/>
  <c r="L300" i="134"/>
  <c r="E298" i="134" s="1"/>
  <c r="L296" i="134"/>
  <c r="E294" i="134" s="1"/>
  <c r="L292" i="134"/>
  <c r="E290" i="134" s="1"/>
  <c r="L288" i="134"/>
  <c r="E286" i="134" s="1"/>
  <c r="L284" i="134"/>
  <c r="E282" i="134" s="1"/>
  <c r="L280" i="134"/>
  <c r="E278" i="134" s="1"/>
  <c r="L276" i="134"/>
  <c r="E274" i="134" s="1"/>
  <c r="L272" i="134"/>
  <c r="E270" i="134" s="1"/>
  <c r="L268" i="134"/>
  <c r="E266" i="134" s="1"/>
  <c r="L264" i="134"/>
  <c r="E262" i="134" s="1"/>
  <c r="L260" i="134"/>
  <c r="E258" i="134" s="1"/>
  <c r="L256" i="134"/>
  <c r="E254" i="134" s="1"/>
  <c r="L252" i="134"/>
  <c r="E251" i="134" s="1"/>
  <c r="L249" i="134"/>
  <c r="E247" i="134" s="1"/>
  <c r="L245" i="134"/>
  <c r="E243" i="134" s="1"/>
  <c r="L241" i="134"/>
  <c r="E239" i="134" s="1"/>
  <c r="L237" i="134"/>
  <c r="E235" i="134" s="1"/>
  <c r="L233" i="134"/>
  <c r="E231" i="134" s="1"/>
  <c r="L229" i="134"/>
  <c r="E227" i="134" s="1"/>
  <c r="L225" i="134"/>
  <c r="E223" i="134" s="1"/>
  <c r="L221" i="134"/>
  <c r="E219" i="134" s="1"/>
  <c r="L217" i="134"/>
  <c r="E215" i="134" s="1"/>
  <c r="L213" i="134"/>
  <c r="E211" i="134" s="1"/>
  <c r="L209" i="134"/>
  <c r="E207" i="134" s="1"/>
  <c r="L205" i="134"/>
  <c r="E203" i="134" s="1"/>
  <c r="L201" i="134"/>
  <c r="E199" i="134" s="1"/>
  <c r="L197" i="134"/>
  <c r="E195" i="134" s="1"/>
  <c r="L193" i="134"/>
  <c r="E191" i="134" s="1"/>
  <c r="L189" i="134"/>
  <c r="E187" i="134" s="1"/>
  <c r="L185" i="134"/>
  <c r="E183" i="134" s="1"/>
  <c r="L181" i="134"/>
  <c r="E179" i="134" s="1"/>
  <c r="L177" i="134"/>
  <c r="E175" i="134" s="1"/>
  <c r="L173" i="134"/>
  <c r="E171" i="134" s="1"/>
  <c r="L169" i="134"/>
  <c r="E167" i="134" s="1"/>
  <c r="L165" i="134"/>
  <c r="E163" i="134" s="1"/>
  <c r="L161" i="134"/>
  <c r="E159" i="134" s="1"/>
  <c r="L157" i="134"/>
  <c r="E155" i="134" s="1"/>
  <c r="L153" i="134"/>
  <c r="E151" i="134" s="1"/>
  <c r="L149" i="134"/>
  <c r="E147" i="134" s="1"/>
  <c r="L145" i="134"/>
  <c r="E143" i="134" s="1"/>
  <c r="L141" i="134"/>
  <c r="E139" i="134" s="1"/>
  <c r="L137" i="134"/>
  <c r="E135" i="134" s="1"/>
  <c r="L133" i="134"/>
  <c r="E131" i="134" s="1"/>
  <c r="L129" i="134"/>
  <c r="E127" i="134" s="1"/>
  <c r="L121" i="134"/>
  <c r="E119" i="134" s="1"/>
  <c r="L116" i="134"/>
  <c r="E114" i="134" s="1"/>
  <c r="K55" i="134"/>
  <c r="J55" i="134"/>
  <c r="L112" i="134"/>
  <c r="E111" i="134" s="1"/>
  <c r="L109" i="134"/>
  <c r="E108" i="134" s="1"/>
  <c r="L106" i="134"/>
  <c r="E105" i="134" s="1"/>
  <c r="L103" i="134"/>
  <c r="E102" i="134" s="1"/>
  <c r="L100" i="134"/>
  <c r="E99" i="134" s="1"/>
  <c r="L97" i="134"/>
  <c r="E96" i="134" s="1"/>
  <c r="L94" i="134"/>
  <c r="E93" i="134" s="1"/>
  <c r="L91" i="134"/>
  <c r="E89" i="134" s="1"/>
  <c r="L87" i="134"/>
  <c r="E85" i="134" s="1"/>
  <c r="L83" i="134"/>
  <c r="E81" i="134" s="1"/>
  <c r="L79" i="134"/>
  <c r="E77" i="134" s="1"/>
  <c r="L75" i="134"/>
  <c r="E73" i="134" s="1"/>
  <c r="L71" i="134"/>
  <c r="E69" i="134" s="1"/>
  <c r="L67" i="134"/>
  <c r="E65" i="134" s="1"/>
  <c r="L63" i="134"/>
  <c r="E61" i="134" s="1"/>
  <c r="L59" i="134"/>
  <c r="E57" i="134" s="1"/>
  <c r="L50" i="134"/>
  <c r="E48" i="134" s="1"/>
  <c r="L46" i="134"/>
  <c r="E44" i="134" s="1"/>
  <c r="L40" i="134"/>
  <c r="L36" i="134"/>
  <c r="L32" i="134"/>
  <c r="L29" i="134"/>
  <c r="L30" i="134"/>
  <c r="L24" i="134"/>
  <c r="E22" i="134" s="1"/>
  <c r="L20" i="134"/>
  <c r="E18" i="134" s="1"/>
  <c r="L16" i="134"/>
  <c r="E14" i="134" s="1"/>
  <c r="L12" i="134"/>
  <c r="E19" i="147"/>
  <c r="J411" i="134" l="1"/>
  <c r="J403" i="134"/>
  <c r="K411" i="134"/>
  <c r="K403" i="134"/>
  <c r="L55" i="134"/>
  <c r="E53" i="134" s="1"/>
  <c r="K75" i="147"/>
  <c r="E73" i="147" s="1"/>
  <c r="K71" i="147"/>
  <c r="E69" i="147" s="1"/>
  <c r="K66" i="147"/>
  <c r="E64" i="147" s="1"/>
  <c r="K60" i="147"/>
  <c r="E59" i="147" s="1"/>
  <c r="K57" i="147"/>
  <c r="E55" i="147" s="1"/>
  <c r="K53" i="147"/>
  <c r="E51" i="147" s="1"/>
  <c r="K48" i="147"/>
  <c r="E46" i="147" s="1"/>
  <c r="K42" i="147"/>
  <c r="E40" i="147" s="1"/>
  <c r="K37" i="147"/>
  <c r="E35" i="147" s="1"/>
  <c r="K33" i="147"/>
  <c r="E31" i="147" s="1"/>
  <c r="K29" i="147"/>
  <c r="E27" i="147" s="1"/>
  <c r="K22" i="147"/>
  <c r="E20" i="147" s="1"/>
  <c r="K16" i="147"/>
  <c r="E14" i="147" s="1"/>
  <c r="K12" i="147"/>
  <c r="E10" i="147" s="1"/>
  <c r="O84" i="144"/>
  <c r="E82" i="144" s="1"/>
  <c r="O80" i="144"/>
  <c r="E78" i="144" s="1"/>
  <c r="O76" i="144"/>
  <c r="E74" i="144" s="1"/>
  <c r="O72" i="144"/>
  <c r="O68" i="144"/>
  <c r="O64" i="144"/>
  <c r="O60" i="144"/>
  <c r="E58" i="144" s="1"/>
  <c r="O56" i="144"/>
  <c r="E54" i="144" s="1"/>
  <c r="O52" i="144"/>
  <c r="E50" i="144" s="1"/>
  <c r="O48" i="144"/>
  <c r="O44" i="144"/>
  <c r="E42" i="144" s="1"/>
  <c r="O40" i="144"/>
  <c r="E38" i="144" s="1"/>
  <c r="O36" i="144"/>
  <c r="E34" i="144" s="1"/>
  <c r="O32" i="144"/>
  <c r="E30" i="144" s="1"/>
  <c r="O28" i="144"/>
  <c r="E26" i="144" s="1"/>
  <c r="O24" i="144"/>
  <c r="E22" i="144" s="1"/>
  <c r="O20" i="144"/>
  <c r="O16" i="144"/>
  <c r="O12" i="144"/>
  <c r="E10" i="144" s="1"/>
  <c r="L411" i="134" l="1"/>
  <c r="O109" i="144"/>
  <c r="L403" i="134"/>
  <c r="K90" i="147"/>
  <c r="K82" i="147"/>
  <c r="K86" i="147"/>
  <c r="I802" i="105" l="1"/>
  <c r="K17" i="115"/>
  <c r="Q13" i="109" s="1"/>
  <c r="L33" i="134" l="1"/>
  <c r="P47" i="144"/>
  <c r="E46" i="144" s="1"/>
  <c r="I799" i="105"/>
  <c r="I727" i="105"/>
  <c r="I796" i="105"/>
  <c r="L371" i="134" l="1"/>
  <c r="I704" i="105"/>
  <c r="I685" i="105"/>
  <c r="I132" i="105"/>
  <c r="I118" i="105"/>
  <c r="K36" i="105"/>
  <c r="L36" i="105"/>
  <c r="M36" i="105"/>
  <c r="J36" i="105"/>
  <c r="I84" i="105"/>
  <c r="I81" i="105"/>
  <c r="J56" i="134"/>
  <c r="L368" i="134"/>
  <c r="L365" i="134"/>
  <c r="J412" i="134" l="1"/>
  <c r="J404" i="134"/>
  <c r="E52" i="134"/>
  <c r="F31" i="134"/>
  <c r="F28" i="134"/>
  <c r="F27" i="134"/>
  <c r="F26" i="134"/>
  <c r="G297" i="105"/>
  <c r="G257" i="105"/>
  <c r="F257" i="105"/>
  <c r="G135" i="185"/>
  <c r="H65" i="185" l="1"/>
  <c r="I164" i="182" l="1"/>
  <c r="I148" i="182"/>
  <c r="L253" i="134"/>
  <c r="I738" i="105" l="1"/>
  <c r="K103" i="182" l="1"/>
  <c r="K56" i="134"/>
  <c r="L113" i="134"/>
  <c r="I432" i="105"/>
  <c r="K404" i="134" l="1"/>
  <c r="L404" i="134" s="1"/>
  <c r="K412" i="134"/>
  <c r="L412" i="134" s="1"/>
  <c r="L110" i="134" l="1"/>
  <c r="K157" i="182" l="1"/>
  <c r="L107" i="134"/>
  <c r="L104" i="134"/>
  <c r="L101" i="134"/>
  <c r="L98" i="134"/>
  <c r="L95" i="134" l="1"/>
  <c r="I642" i="105" l="1"/>
  <c r="I734" i="105"/>
  <c r="L362" i="134" l="1"/>
  <c r="L359" i="134"/>
  <c r="L356" i="134" l="1"/>
  <c r="J140" i="182"/>
  <c r="K61" i="147"/>
  <c r="M103" i="182" l="1"/>
  <c r="H36" i="109" l="1"/>
  <c r="L353" i="134" l="1"/>
  <c r="L349" i="134"/>
  <c r="L345" i="134"/>
  <c r="L341" i="134"/>
  <c r="L337" i="134"/>
  <c r="L333" i="134"/>
  <c r="L329" i="134"/>
  <c r="L325" i="134"/>
  <c r="L321" i="134"/>
  <c r="L317" i="134"/>
  <c r="L313" i="134"/>
  <c r="L309" i="134"/>
  <c r="L305" i="134"/>
  <c r="I402" i="134"/>
  <c r="L301" i="134"/>
  <c r="L297" i="134"/>
  <c r="L293" i="134"/>
  <c r="L289" i="134"/>
  <c r="L285" i="134"/>
  <c r="L281" i="134"/>
  <c r="L277" i="134"/>
  <c r="L273" i="134"/>
  <c r="L269" i="134"/>
  <c r="L265" i="134"/>
  <c r="L261" i="134"/>
  <c r="L257" i="134"/>
  <c r="L250" i="134"/>
  <c r="L246" i="134"/>
  <c r="L242" i="134"/>
  <c r="L238" i="134"/>
  <c r="L234" i="134"/>
  <c r="L230" i="134"/>
  <c r="L226" i="134"/>
  <c r="L222" i="134"/>
  <c r="L218" i="134"/>
  <c r="L214" i="134"/>
  <c r="L210" i="134"/>
  <c r="L206" i="134"/>
  <c r="L202" i="134"/>
  <c r="L198" i="134"/>
  <c r="L194" i="134"/>
  <c r="L190" i="134"/>
  <c r="L186" i="134"/>
  <c r="L182" i="134"/>
  <c r="L178" i="134"/>
  <c r="L174" i="134"/>
  <c r="L170" i="134"/>
  <c r="L166" i="134"/>
  <c r="L162" i="134"/>
  <c r="L158" i="134"/>
  <c r="L154" i="134"/>
  <c r="L150" i="134"/>
  <c r="L146" i="134"/>
  <c r="L142" i="134"/>
  <c r="L138" i="134"/>
  <c r="L134" i="134"/>
  <c r="L130" i="134"/>
  <c r="L126" i="134"/>
  <c r="L122" i="134"/>
  <c r="L117" i="134"/>
  <c r="L92" i="134"/>
  <c r="L60" i="134"/>
  <c r="L64" i="134"/>
  <c r="L68" i="134"/>
  <c r="L72" i="134"/>
  <c r="L76" i="134"/>
  <c r="L80" i="134"/>
  <c r="L84" i="134"/>
  <c r="L88" i="134"/>
  <c r="L51" i="134"/>
  <c r="L47" i="134"/>
  <c r="L41" i="134"/>
  <c r="L37" i="134"/>
  <c r="L25" i="134"/>
  <c r="L21" i="134"/>
  <c r="L17" i="134"/>
  <c r="L13" i="134"/>
  <c r="O41" i="144"/>
  <c r="O85" i="144"/>
  <c r="O81" i="144"/>
  <c r="O77" i="144"/>
  <c r="O73" i="144"/>
  <c r="O69" i="144"/>
  <c r="O65" i="144"/>
  <c r="O61" i="144"/>
  <c r="O57" i="144"/>
  <c r="O53" i="144"/>
  <c r="O49" i="144"/>
  <c r="O45" i="144"/>
  <c r="O37" i="144"/>
  <c r="O33" i="144"/>
  <c r="O29" i="144"/>
  <c r="O25" i="144"/>
  <c r="O21" i="144"/>
  <c r="O17" i="144"/>
  <c r="O13" i="144"/>
  <c r="K87" i="147"/>
  <c r="I85" i="147"/>
  <c r="K36" i="115"/>
  <c r="K83" i="147"/>
  <c r="J81" i="147"/>
  <c r="I81" i="147"/>
  <c r="K76" i="147"/>
  <c r="K72" i="147"/>
  <c r="K67" i="147"/>
  <c r="K58" i="147"/>
  <c r="K54" i="147"/>
  <c r="K49" i="147"/>
  <c r="K43" i="147"/>
  <c r="K38" i="147"/>
  <c r="K34" i="147"/>
  <c r="K30" i="147"/>
  <c r="K23" i="147"/>
  <c r="K17" i="147"/>
  <c r="K13" i="147"/>
  <c r="I40" i="105"/>
  <c r="I12" i="105"/>
  <c r="I785" i="105"/>
  <c r="I793" i="105"/>
  <c r="I88" i="105"/>
  <c r="I186" i="105"/>
  <c r="I789" i="105"/>
  <c r="I781" i="105"/>
  <c r="I777" i="105"/>
  <c r="I773" i="105"/>
  <c r="I769" i="105"/>
  <c r="I765" i="105"/>
  <c r="I761" i="105"/>
  <c r="I757" i="105"/>
  <c r="I753" i="105"/>
  <c r="I749" i="105"/>
  <c r="I744" i="105"/>
  <c r="I731" i="105"/>
  <c r="I722" i="105"/>
  <c r="I717" i="105"/>
  <c r="I697" i="105"/>
  <c r="I710" i="105"/>
  <c r="I701" i="105"/>
  <c r="I690" i="105"/>
  <c r="I682" i="105"/>
  <c r="I678" i="105"/>
  <c r="I674" i="105"/>
  <c r="I670" i="105"/>
  <c r="I666" i="105"/>
  <c r="I661" i="105"/>
  <c r="I656" i="105"/>
  <c r="I651" i="105"/>
  <c r="I647" i="105"/>
  <c r="I638" i="105"/>
  <c r="I634" i="105"/>
  <c r="I630" i="105"/>
  <c r="I626" i="105"/>
  <c r="I621" i="105"/>
  <c r="I617" i="105"/>
  <c r="I613" i="105"/>
  <c r="I609" i="105"/>
  <c r="I605" i="105"/>
  <c r="I601" i="105"/>
  <c r="I597" i="105"/>
  <c r="I593" i="105"/>
  <c r="I585" i="105"/>
  <c r="I581" i="105"/>
  <c r="I577" i="105"/>
  <c r="I573" i="105"/>
  <c r="I569" i="105"/>
  <c r="I565" i="105"/>
  <c r="I561" i="105"/>
  <c r="I557" i="105"/>
  <c r="I553" i="105"/>
  <c r="I549" i="105"/>
  <c r="I545" i="105"/>
  <c r="I541" i="105"/>
  <c r="I537" i="105"/>
  <c r="I533" i="105"/>
  <c r="I529" i="105"/>
  <c r="I524" i="105"/>
  <c r="I520" i="105"/>
  <c r="I516" i="105"/>
  <c r="I511" i="105"/>
  <c r="I507" i="105"/>
  <c r="I503" i="105"/>
  <c r="I499" i="105"/>
  <c r="I495" i="105"/>
  <c r="I490" i="105"/>
  <c r="I486" i="105"/>
  <c r="I482" i="105"/>
  <c r="I478" i="105"/>
  <c r="I473" i="105"/>
  <c r="I469" i="105"/>
  <c r="I465" i="105"/>
  <c r="I461" i="105"/>
  <c r="I457" i="105"/>
  <c r="I453" i="105"/>
  <c r="I397" i="105"/>
  <c r="I448" i="105"/>
  <c r="I444" i="105"/>
  <c r="I440" i="105"/>
  <c r="I436" i="105"/>
  <c r="I429" i="105"/>
  <c r="I425" i="105"/>
  <c r="I421" i="105"/>
  <c r="I417" i="105"/>
  <c r="I413" i="105"/>
  <c r="I409" i="105"/>
  <c r="I405" i="105"/>
  <c r="I401" i="105"/>
  <c r="I393" i="105"/>
  <c r="I389" i="105"/>
  <c r="I385" i="105"/>
  <c r="I381" i="105"/>
  <c r="I376" i="105"/>
  <c r="I371" i="105"/>
  <c r="I366" i="105"/>
  <c r="I362" i="105"/>
  <c r="I358" i="105"/>
  <c r="I354" i="105"/>
  <c r="I350" i="105"/>
  <c r="I346" i="105"/>
  <c r="I342" i="105"/>
  <c r="K818" i="105"/>
  <c r="N300" i="105"/>
  <c r="J300" i="105"/>
  <c r="I337" i="105"/>
  <c r="I333" i="105"/>
  <c r="I329" i="105"/>
  <c r="I325" i="105"/>
  <c r="I321" i="105"/>
  <c r="I317" i="105"/>
  <c r="I313" i="105"/>
  <c r="I309" i="105"/>
  <c r="I304" i="105"/>
  <c r="I296" i="105"/>
  <c r="I292" i="105"/>
  <c r="I288" i="105"/>
  <c r="M826" i="105"/>
  <c r="I284" i="105"/>
  <c r="I280" i="105"/>
  <c r="I274" i="105"/>
  <c r="I270" i="105"/>
  <c r="I266" i="105"/>
  <c r="K236" i="105"/>
  <c r="L236" i="105"/>
  <c r="M236" i="105"/>
  <c r="J236" i="105"/>
  <c r="J826" i="105" s="1"/>
  <c r="I256" i="105"/>
  <c r="I252" i="105"/>
  <c r="I248" i="105"/>
  <c r="I244" i="105"/>
  <c r="I240" i="105"/>
  <c r="I232" i="105"/>
  <c r="I228" i="105"/>
  <c r="I224" i="105"/>
  <c r="I220" i="105"/>
  <c r="I216" i="105"/>
  <c r="I212" i="105"/>
  <c r="I207" i="105"/>
  <c r="I203" i="105"/>
  <c r="I198" i="105"/>
  <c r="I194" i="105"/>
  <c r="I190" i="105"/>
  <c r="K154" i="105"/>
  <c r="L154" i="105"/>
  <c r="M154" i="105"/>
  <c r="I182" i="105"/>
  <c r="I178" i="105"/>
  <c r="I174" i="105"/>
  <c r="I170" i="105"/>
  <c r="I166" i="105"/>
  <c r="I162" i="105"/>
  <c r="I158" i="105"/>
  <c r="I149" i="105"/>
  <c r="I145" i="105"/>
  <c r="I141" i="105"/>
  <c r="I129" i="105"/>
  <c r="I123" i="105"/>
  <c r="I112" i="105"/>
  <c r="I108" i="105"/>
  <c r="I100" i="105"/>
  <c r="I96" i="105"/>
  <c r="I92" i="105"/>
  <c r="I77" i="105"/>
  <c r="I73" i="105"/>
  <c r="I69" i="105"/>
  <c r="I65" i="105"/>
  <c r="I60" i="105"/>
  <c r="I56" i="105"/>
  <c r="I52" i="105"/>
  <c r="I48" i="105"/>
  <c r="I44" i="105"/>
  <c r="J34" i="105"/>
  <c r="I32" i="105"/>
  <c r="I28" i="105"/>
  <c r="I24" i="105"/>
  <c r="I20" i="105"/>
  <c r="I16" i="105"/>
  <c r="K135" i="185"/>
  <c r="L172" i="182"/>
  <c r="M172" i="182"/>
  <c r="N172" i="182"/>
  <c r="P172" i="182"/>
  <c r="K172" i="182"/>
  <c r="J137" i="182"/>
  <c r="J133" i="182"/>
  <c r="J129" i="182"/>
  <c r="J125" i="182"/>
  <c r="J121" i="182"/>
  <c r="J117" i="182"/>
  <c r="J113" i="182"/>
  <c r="J108" i="182"/>
  <c r="J99" i="182"/>
  <c r="J91" i="182"/>
  <c r="J87" i="182"/>
  <c r="J80" i="182"/>
  <c r="J75" i="182"/>
  <c r="J71" i="182"/>
  <c r="J66" i="182"/>
  <c r="J58" i="182"/>
  <c r="J54" i="182"/>
  <c r="J50" i="182"/>
  <c r="J46" i="182"/>
  <c r="J38" i="182"/>
  <c r="J33" i="182"/>
  <c r="J28" i="182"/>
  <c r="J23" i="182"/>
  <c r="J18" i="182"/>
  <c r="J13" i="182"/>
  <c r="M818" i="105" l="1"/>
  <c r="K826" i="105"/>
  <c r="L818" i="105"/>
  <c r="N822" i="105"/>
  <c r="N818" i="105"/>
  <c r="L826" i="105"/>
  <c r="N826" i="105"/>
  <c r="Q8" i="109"/>
  <c r="O110" i="144"/>
  <c r="K91" i="147"/>
  <c r="K34" i="115"/>
  <c r="L408" i="134"/>
  <c r="I589" i="105"/>
  <c r="Q172" i="182"/>
  <c r="J167" i="182"/>
  <c r="R172" i="182"/>
  <c r="O172" i="182"/>
  <c r="K136" i="185"/>
  <c r="K140" i="185" s="1"/>
  <c r="L56" i="134"/>
  <c r="I260" i="105"/>
  <c r="I236" i="105"/>
  <c r="I154" i="105"/>
  <c r="I104" i="105"/>
  <c r="I36" i="105"/>
  <c r="J153" i="182"/>
  <c r="P103" i="182"/>
  <c r="L103" i="182"/>
  <c r="O103" i="182"/>
  <c r="R103" i="182"/>
  <c r="N103" i="182"/>
  <c r="Q103" i="182"/>
  <c r="J95" i="182"/>
  <c r="J62" i="182"/>
  <c r="K41" i="115"/>
  <c r="K37" i="115"/>
  <c r="K16" i="115"/>
  <c r="K69" i="113"/>
  <c r="K64" i="113"/>
  <c r="I27" i="109" s="1"/>
  <c r="K60" i="113"/>
  <c r="I23" i="109" s="1"/>
  <c r="K54" i="113"/>
  <c r="I54" i="113"/>
  <c r="K49" i="113"/>
  <c r="I17" i="109" s="1"/>
  <c r="K45" i="113"/>
  <c r="I16" i="109" s="1"/>
  <c r="I45" i="113"/>
  <c r="K10" i="113"/>
  <c r="I103" i="181"/>
  <c r="I95" i="181"/>
  <c r="I87" i="181"/>
  <c r="I83" i="181"/>
  <c r="I76" i="181"/>
  <c r="I71" i="181"/>
  <c r="I67" i="181"/>
  <c r="I62" i="181"/>
  <c r="M99" i="181"/>
  <c r="M107" i="181" s="1"/>
  <c r="O99" i="181"/>
  <c r="O107" i="181" s="1"/>
  <c r="I54" i="181"/>
  <c r="I50" i="181"/>
  <c r="I46" i="181"/>
  <c r="I38" i="181"/>
  <c r="I33" i="181"/>
  <c r="I28" i="181"/>
  <c r="I23" i="181"/>
  <c r="I18" i="181"/>
  <c r="I13" i="181"/>
  <c r="I9" i="109" l="1"/>
  <c r="I20" i="109"/>
  <c r="I35" i="109"/>
  <c r="I29" i="109"/>
  <c r="I822" i="105"/>
  <c r="N157" i="182"/>
  <c r="Q11" i="109" s="1"/>
  <c r="M157" i="182"/>
  <c r="Q10" i="109" s="1"/>
  <c r="Q157" i="182"/>
  <c r="K13" i="115" s="1"/>
  <c r="Q18" i="109" s="1"/>
  <c r="O157" i="182"/>
  <c r="Q12" i="109" s="1"/>
  <c r="R157" i="182"/>
  <c r="L157" i="182"/>
  <c r="Q9" i="109" s="1"/>
  <c r="K58" i="113"/>
  <c r="P29" i="109"/>
  <c r="K35" i="115"/>
  <c r="Q17" i="109" s="1"/>
  <c r="I818" i="105"/>
  <c r="K15" i="115" s="1"/>
  <c r="I826" i="105"/>
  <c r="J172" i="182"/>
  <c r="L99" i="181"/>
  <c r="L107" i="181" s="1"/>
  <c r="K43" i="113" s="1"/>
  <c r="I11" i="109" s="1"/>
  <c r="Q99" i="181"/>
  <c r="Q107" i="181" s="1"/>
  <c r="N99" i="181"/>
  <c r="N107" i="181" s="1"/>
  <c r="R99" i="181"/>
  <c r="R107" i="181" s="1"/>
  <c r="P99" i="181"/>
  <c r="P107" i="181" s="1"/>
  <c r="J162" i="182"/>
  <c r="P157" i="182"/>
  <c r="J103" i="182"/>
  <c r="I91" i="181"/>
  <c r="I42" i="181"/>
  <c r="I58" i="181"/>
  <c r="K8" i="113" l="1"/>
  <c r="I14" i="109"/>
  <c r="I21" i="109"/>
  <c r="I30" i="109" s="1"/>
  <c r="Q14" i="109"/>
  <c r="I32" i="109" s="1"/>
  <c r="K33" i="115"/>
  <c r="K14" i="115" s="1"/>
  <c r="K9" i="115"/>
  <c r="K11" i="115"/>
  <c r="Q16" i="109" s="1"/>
  <c r="Q20" i="109" s="1"/>
  <c r="K56" i="113"/>
  <c r="K74" i="113" s="1"/>
  <c r="H20" i="109"/>
  <c r="I99" i="181"/>
  <c r="J157" i="182"/>
  <c r="K108" i="144"/>
  <c r="I108" i="144"/>
  <c r="I410" i="134"/>
  <c r="I406" i="134"/>
  <c r="J343" i="134"/>
  <c r="J339" i="134"/>
  <c r="Q21" i="109" l="1"/>
  <c r="I33" i="109"/>
  <c r="I38" i="109"/>
  <c r="I37" i="109"/>
  <c r="K8" i="115"/>
  <c r="K40" i="115" s="1"/>
  <c r="L343" i="134"/>
  <c r="I107" i="181"/>
  <c r="L90" i="105"/>
  <c r="L230" i="105"/>
  <c r="K57" i="113" l="1"/>
  <c r="K48" i="115"/>
  <c r="Q30" i="109"/>
  <c r="I31" i="109"/>
  <c r="I34" i="109" s="1"/>
  <c r="H48" i="113"/>
  <c r="H53" i="113"/>
  <c r="Q38" i="109" l="1"/>
  <c r="Q37" i="109"/>
  <c r="G24" i="109"/>
  <c r="O28" i="109"/>
  <c r="O25" i="109"/>
  <c r="I41" i="115"/>
  <c r="H41" i="115"/>
  <c r="G41" i="115"/>
  <c r="F41" i="115"/>
  <c r="I69" i="113"/>
  <c r="H69" i="113"/>
  <c r="G69" i="113"/>
  <c r="F69" i="113"/>
  <c r="M29" i="109"/>
  <c r="I63" i="113"/>
  <c r="J108" i="144"/>
  <c r="L108" i="144"/>
  <c r="M108" i="144"/>
  <c r="N108" i="144"/>
  <c r="O79" i="144"/>
  <c r="O83" i="144"/>
  <c r="O75" i="144"/>
  <c r="O71" i="144"/>
  <c r="O67" i="144"/>
  <c r="O63" i="144"/>
  <c r="F70" i="144"/>
  <c r="E70" i="144" s="1"/>
  <c r="F66" i="144"/>
  <c r="E66" i="144" s="1"/>
  <c r="F62" i="144"/>
  <c r="E62" i="144" s="1"/>
  <c r="O108" i="144" l="1"/>
  <c r="I135" i="185"/>
  <c r="H135" i="185"/>
  <c r="F135" i="185"/>
  <c r="I121" i="185"/>
  <c r="H121" i="185"/>
  <c r="G121" i="185"/>
  <c r="F121" i="185"/>
  <c r="G136" i="185" l="1"/>
  <c r="H136" i="185"/>
  <c r="F136" i="185"/>
  <c r="I136" i="185"/>
  <c r="I787" i="105" l="1"/>
  <c r="N210" i="105"/>
  <c r="N476" i="105"/>
  <c r="I40" i="113"/>
  <c r="R151" i="182"/>
  <c r="Q151" i="182"/>
  <c r="P151" i="182"/>
  <c r="O151" i="182"/>
  <c r="N151" i="182"/>
  <c r="M151" i="182"/>
  <c r="L151" i="182"/>
  <c r="K151" i="182"/>
  <c r="I150" i="182" l="1"/>
  <c r="H150" i="182"/>
  <c r="G150" i="182"/>
  <c r="J135" i="182"/>
  <c r="J131" i="182"/>
  <c r="J89" i="181"/>
  <c r="I62" i="113"/>
  <c r="I61" i="113"/>
  <c r="L403" i="105"/>
  <c r="K395" i="105" l="1"/>
  <c r="J395" i="105"/>
  <c r="L395" i="105"/>
  <c r="J85" i="147" l="1"/>
  <c r="K298" i="105" l="1"/>
  <c r="L298" i="105"/>
  <c r="N298" i="105"/>
  <c r="J298" i="105"/>
  <c r="E233" i="105" l="1"/>
  <c r="E151" i="105"/>
  <c r="E101" i="105"/>
  <c r="K34" i="105" l="1"/>
  <c r="L34" i="105"/>
  <c r="M34" i="105"/>
  <c r="N34" i="105"/>
  <c r="I783" i="105" l="1"/>
  <c r="I67" i="113"/>
  <c r="H29" i="109" l="1"/>
  <c r="L160" i="134" l="1"/>
  <c r="N664" i="105"/>
  <c r="I13" i="113" l="1"/>
  <c r="H14" i="109" l="1"/>
  <c r="H32" i="109" s="1"/>
  <c r="L522" i="105"/>
  <c r="L391" i="105"/>
  <c r="L555" i="105"/>
  <c r="L218" i="105"/>
  <c r="H21" i="109" l="1"/>
  <c r="H30" i="109" s="1"/>
  <c r="H38" i="109" s="1"/>
  <c r="K102" i="105"/>
  <c r="L102" i="105"/>
  <c r="M102" i="105"/>
  <c r="J102" i="105"/>
  <c r="L579" i="105"/>
  <c r="I751" i="105"/>
  <c r="I747" i="105"/>
  <c r="I742" i="105"/>
  <c r="I720" i="105"/>
  <c r="I775" i="105"/>
  <c r="I715" i="105"/>
  <c r="I659" i="105"/>
  <c r="I771" i="105"/>
  <c r="I767" i="105"/>
  <c r="I763" i="105"/>
  <c r="H37" i="109" l="1"/>
  <c r="I759" i="105"/>
  <c r="I755" i="105" l="1"/>
  <c r="I645" i="105"/>
  <c r="I729" i="105"/>
  <c r="L680" i="105" l="1"/>
  <c r="L695" i="105"/>
  <c r="L672" i="105"/>
  <c r="L575" i="105"/>
  <c r="L571" i="105"/>
  <c r="L567" i="105"/>
  <c r="L559" i="105"/>
  <c r="L551" i="105"/>
  <c r="L547" i="105"/>
  <c r="L543" i="105"/>
  <c r="L539" i="105"/>
  <c r="L535" i="105"/>
  <c r="L531" i="105"/>
  <c r="L779" i="105"/>
  <c r="L467" i="105"/>
  <c r="L463" i="105"/>
  <c r="J455" i="105"/>
  <c r="L455" i="105"/>
  <c r="K455" i="105"/>
  <c r="L446" i="105"/>
  <c r="L438" i="105"/>
  <c r="L434" i="105"/>
  <c r="I708" i="105"/>
  <c r="L407" i="105"/>
  <c r="L387" i="105"/>
  <c r="J820" i="105" l="1"/>
  <c r="K820" i="105"/>
  <c r="I779" i="105"/>
  <c r="M331" i="105"/>
  <c r="M302" i="105"/>
  <c r="M319" i="105"/>
  <c r="I282" i="105"/>
  <c r="I278" i="105"/>
  <c r="N242" i="105"/>
  <c r="L226" i="105"/>
  <c r="L222" i="105"/>
  <c r="I205" i="105"/>
  <c r="I196" i="105"/>
  <c r="K152" i="105"/>
  <c r="L152" i="105"/>
  <c r="M152" i="105"/>
  <c r="N152" i="105"/>
  <c r="I180" i="105"/>
  <c r="L98" i="105"/>
  <c r="L94" i="105"/>
  <c r="I67" i="105"/>
  <c r="I63" i="105"/>
  <c r="L26" i="105"/>
  <c r="K26" i="105"/>
  <c r="J26" i="105"/>
  <c r="K22" i="105"/>
  <c r="J22" i="105"/>
  <c r="L10" i="105"/>
  <c r="G33" i="105"/>
  <c r="F33" i="105"/>
  <c r="F297" i="105"/>
  <c r="F233" i="105"/>
  <c r="F151" i="105"/>
  <c r="G101" i="105"/>
  <c r="F101" i="105"/>
  <c r="M820" i="105" l="1"/>
  <c r="L820" i="105"/>
  <c r="M298" i="105"/>
  <c r="K54" i="134"/>
  <c r="K402" i="134" s="1"/>
  <c r="J54" i="134"/>
  <c r="K406" i="134"/>
  <c r="L351" i="134"/>
  <c r="L347" i="134"/>
  <c r="L339" i="134"/>
  <c r="L335" i="134"/>
  <c r="K410" i="134" l="1"/>
  <c r="L331" i="134"/>
  <c r="L327" i="134"/>
  <c r="L323" i="134"/>
  <c r="L319" i="134"/>
  <c r="L315" i="134"/>
  <c r="L311" i="134"/>
  <c r="L307" i="134"/>
  <c r="L303" i="134"/>
  <c r="L299" i="134"/>
  <c r="L295" i="134"/>
  <c r="L291" i="134"/>
  <c r="L287" i="134"/>
  <c r="L283" i="134"/>
  <c r="L279" i="134"/>
  <c r="L275" i="134"/>
  <c r="L271" i="134"/>
  <c r="L267" i="134"/>
  <c r="L263" i="134"/>
  <c r="L259" i="134"/>
  <c r="L255" i="134"/>
  <c r="L248" i="134"/>
  <c r="L244" i="134"/>
  <c r="L240" i="134"/>
  <c r="L236" i="134"/>
  <c r="L232" i="134"/>
  <c r="L228" i="134"/>
  <c r="L224" i="134"/>
  <c r="L90" i="134"/>
  <c r="L86" i="134"/>
  <c r="L82" i="134"/>
  <c r="L78" i="134"/>
  <c r="L74" i="134"/>
  <c r="J172" i="134" l="1"/>
  <c r="F43" i="134"/>
  <c r="E43" i="134" s="1"/>
  <c r="F42" i="134"/>
  <c r="E42" i="134" s="1"/>
  <c r="J39" i="134"/>
  <c r="F38" i="134"/>
  <c r="E38" i="134" s="1"/>
  <c r="F34" i="134"/>
  <c r="L23" i="134"/>
  <c r="J11" i="134"/>
  <c r="J406" i="134" s="1"/>
  <c r="F10" i="134"/>
  <c r="E10" i="134" s="1"/>
  <c r="J402" i="134" l="1"/>
  <c r="J410" i="134"/>
  <c r="E24" i="147"/>
  <c r="J89" i="147"/>
  <c r="K28" i="147"/>
  <c r="I89" i="147"/>
  <c r="E26" i="147"/>
  <c r="E25" i="147"/>
  <c r="E18" i="147"/>
  <c r="K74" i="147"/>
  <c r="I34" i="115" l="1"/>
  <c r="O35" i="144"/>
  <c r="G18" i="144"/>
  <c r="E18" i="144" s="1"/>
  <c r="G14" i="144"/>
  <c r="E14" i="144" s="1"/>
  <c r="O31" i="144" l="1"/>
  <c r="O27" i="144"/>
  <c r="O23" i="144"/>
  <c r="O19" i="144"/>
  <c r="O15" i="144"/>
  <c r="K89" i="147" l="1"/>
  <c r="F20" i="109"/>
  <c r="E20" i="109"/>
  <c r="F14" i="109"/>
  <c r="E14" i="109"/>
  <c r="N29" i="109"/>
  <c r="N20" i="109"/>
  <c r="M20" i="109"/>
  <c r="N14" i="109"/>
  <c r="M14" i="109"/>
  <c r="I791" i="105"/>
  <c r="F32" i="109" l="1"/>
  <c r="E33" i="109"/>
  <c r="F33" i="109"/>
  <c r="E32" i="109"/>
  <c r="M21" i="109"/>
  <c r="M30" i="109" s="1"/>
  <c r="M38" i="109" s="1"/>
  <c r="N21" i="109"/>
  <c r="E21" i="109"/>
  <c r="F21" i="109"/>
  <c r="N30" i="109" l="1"/>
  <c r="N38" i="109" s="1"/>
  <c r="F31" i="109"/>
  <c r="F34" i="109" s="1"/>
  <c r="E31" i="109"/>
  <c r="E34" i="109" s="1"/>
  <c r="M37" i="109"/>
  <c r="J127" i="182"/>
  <c r="J123" i="182"/>
  <c r="J119" i="182"/>
  <c r="J115" i="182"/>
  <c r="J111" i="182"/>
  <c r="J106" i="182"/>
  <c r="N37" i="109" l="1"/>
  <c r="G233" i="105"/>
  <c r="G151" i="105"/>
  <c r="E33" i="105"/>
  <c r="M402" i="134" l="1"/>
  <c r="L58" i="134" l="1"/>
  <c r="L164" i="134"/>
  <c r="L156" i="134"/>
  <c r="L152" i="134"/>
  <c r="L148" i="134"/>
  <c r="L144" i="134"/>
  <c r="L140" i="134"/>
  <c r="L136" i="134"/>
  <c r="L132" i="134"/>
  <c r="L128" i="134"/>
  <c r="L124" i="134"/>
  <c r="L70" i="134"/>
  <c r="L220" i="134"/>
  <c r="L216" i="134"/>
  <c r="L212" i="134"/>
  <c r="L208" i="134"/>
  <c r="L204" i="134"/>
  <c r="L200" i="134"/>
  <c r="L196" i="134"/>
  <c r="L192" i="134"/>
  <c r="L188" i="134"/>
  <c r="L184" i="134"/>
  <c r="L180" i="134"/>
  <c r="L176" i="134"/>
  <c r="L172" i="134"/>
  <c r="I35" i="115" l="1"/>
  <c r="L168" i="134"/>
  <c r="L19" i="134"/>
  <c r="L406" i="134"/>
  <c r="L402" i="134" l="1"/>
  <c r="L410" i="134"/>
  <c r="I509" i="105" l="1"/>
  <c r="L676" i="105"/>
  <c r="I695" i="105"/>
  <c r="I699" i="105"/>
  <c r="I688" i="105"/>
  <c r="L611" i="105"/>
  <c r="I680" i="105"/>
  <c r="I668" i="105"/>
  <c r="I664" i="105"/>
  <c r="L649" i="105"/>
  <c r="I636" i="105"/>
  <c r="L628" i="105"/>
  <c r="L619" i="105"/>
  <c r="I480" i="105"/>
  <c r="I451" i="105"/>
  <c r="I438" i="105"/>
  <c r="I628" i="105" l="1"/>
  <c r="I676" i="105"/>
  <c r="I611" i="105"/>
  <c r="I672" i="105"/>
  <c r="I369" i="105"/>
  <c r="I272" i="105"/>
  <c r="I264" i="105"/>
  <c r="K234" i="105"/>
  <c r="K816" i="105" s="1"/>
  <c r="L234" i="105"/>
  <c r="L816" i="105" s="1"/>
  <c r="M234" i="105"/>
  <c r="M816" i="105" s="1"/>
  <c r="N234" i="105"/>
  <c r="J816" i="105"/>
  <c r="I246" i="105"/>
  <c r="I250" i="105"/>
  <c r="I242" i="105"/>
  <c r="I188" i="105"/>
  <c r="J824" i="105" l="1"/>
  <c r="K824" i="105"/>
  <c r="M824" i="105"/>
  <c r="L824" i="105"/>
  <c r="I192" i="105"/>
  <c r="I184" i="105"/>
  <c r="I86" i="105"/>
  <c r="I176" i="105"/>
  <c r="I172" i="105"/>
  <c r="I168" i="105"/>
  <c r="I164" i="105"/>
  <c r="I160" i="105"/>
  <c r="I121" i="105"/>
  <c r="N127" i="105"/>
  <c r="I106" i="105"/>
  <c r="I79" i="105"/>
  <c r="I75" i="105"/>
  <c r="I71" i="105"/>
  <c r="I58" i="105"/>
  <c r="I54" i="105"/>
  <c r="I50" i="105"/>
  <c r="I46" i="105"/>
  <c r="I38" i="105"/>
  <c r="N102" i="105" l="1"/>
  <c r="N824" i="105" s="1"/>
  <c r="I127" i="105"/>
  <c r="I30" i="105"/>
  <c r="I102" i="105" l="1"/>
  <c r="K41" i="147"/>
  <c r="K36" i="147" l="1"/>
  <c r="K32" i="147"/>
  <c r="K65" i="147"/>
  <c r="K70" i="147"/>
  <c r="K52" i="147"/>
  <c r="K56" i="147"/>
  <c r="K47" i="147"/>
  <c r="K85" i="147"/>
  <c r="I36" i="115" l="1"/>
  <c r="P108" i="144"/>
  <c r="O59" i="144"/>
  <c r="O55" i="144"/>
  <c r="O51" i="144"/>
  <c r="P20" i="109" l="1"/>
  <c r="H33" i="109" l="1"/>
  <c r="P21" i="109"/>
  <c r="J151" i="182"/>
  <c r="R93" i="182" l="1"/>
  <c r="Q93" i="182"/>
  <c r="P93" i="182"/>
  <c r="O93" i="182"/>
  <c r="N93" i="182"/>
  <c r="M93" i="182"/>
  <c r="L93" i="182"/>
  <c r="K93" i="182"/>
  <c r="R89" i="181"/>
  <c r="Q89" i="181"/>
  <c r="O89" i="181"/>
  <c r="N89" i="181"/>
  <c r="M89" i="181"/>
  <c r="L89" i="181"/>
  <c r="K89" i="181"/>
  <c r="P56" i="181" l="1"/>
  <c r="O56" i="181"/>
  <c r="N56" i="181"/>
  <c r="M56" i="181"/>
  <c r="L56" i="181"/>
  <c r="K56" i="181"/>
  <c r="J56" i="181"/>
  <c r="R56" i="181" l="1"/>
  <c r="I69" i="181" l="1"/>
  <c r="Q56" i="181"/>
  <c r="I11" i="181"/>
  <c r="I16" i="181"/>
  <c r="I21" i="181"/>
  <c r="I26" i="181"/>
  <c r="I31" i="181"/>
  <c r="I36" i="181"/>
  <c r="I44" i="181"/>
  <c r="I48" i="181"/>
  <c r="I65" i="181"/>
  <c r="I81" i="181"/>
  <c r="I85" i="181"/>
  <c r="I60" i="181" l="1"/>
  <c r="P89" i="181"/>
  <c r="I52" i="181"/>
  <c r="I56" i="181" s="1"/>
  <c r="I74" i="181"/>
  <c r="I89" i="181" l="1"/>
  <c r="F17" i="115"/>
  <c r="I17" i="115"/>
  <c r="H17" i="115"/>
  <c r="G17" i="115"/>
  <c r="F23" i="113" l="1"/>
  <c r="F22" i="113" s="1"/>
  <c r="G586" i="105" l="1"/>
  <c r="F586" i="105"/>
  <c r="E586" i="105"/>
  <c r="E297" i="105"/>
  <c r="E257" i="105"/>
  <c r="I34" i="105" l="1"/>
  <c r="I10" i="113" l="1"/>
  <c r="I654" i="105"/>
  <c r="I383" i="105"/>
  <c r="I110" i="105"/>
  <c r="L120" i="134" l="1"/>
  <c r="L115" i="134"/>
  <c r="I49" i="113"/>
  <c r="R165" i="182"/>
  <c r="Q165" i="182"/>
  <c r="P165" i="182"/>
  <c r="O165" i="182"/>
  <c r="N165" i="182"/>
  <c r="M165" i="182"/>
  <c r="L165" i="182"/>
  <c r="K165" i="182"/>
  <c r="R60" i="182"/>
  <c r="Q60" i="182"/>
  <c r="P60" i="182"/>
  <c r="O60" i="182"/>
  <c r="N60" i="182"/>
  <c r="L60" i="182"/>
  <c r="K60" i="182"/>
  <c r="M60" i="182"/>
  <c r="H59" i="182"/>
  <c r="J56" i="182"/>
  <c r="F88" i="181" l="1"/>
  <c r="F39" i="181" l="1"/>
  <c r="F55" i="181"/>
  <c r="I649" i="105" l="1"/>
  <c r="I640" i="105"/>
  <c r="I632" i="105"/>
  <c r="L62" i="134" l="1"/>
  <c r="L66" i="134"/>
  <c r="K81" i="147"/>
  <c r="K21" i="147"/>
  <c r="K11" i="147"/>
  <c r="K15" i="147"/>
  <c r="L54" i="134" l="1"/>
  <c r="L11" i="134" l="1"/>
  <c r="L15" i="134"/>
  <c r="L35" i="134"/>
  <c r="E34" i="134" s="1"/>
  <c r="L39" i="134"/>
  <c r="L45" i="134"/>
  <c r="L49" i="134"/>
  <c r="R40" i="181" l="1"/>
  <c r="I624" i="105" l="1"/>
  <c r="H164" i="182"/>
  <c r="G164" i="182"/>
  <c r="Q170" i="182"/>
  <c r="P170" i="182"/>
  <c r="O170" i="182"/>
  <c r="N170" i="182"/>
  <c r="M170" i="182"/>
  <c r="I169" i="182"/>
  <c r="H169" i="182"/>
  <c r="G169" i="182"/>
  <c r="J97" i="182"/>
  <c r="I92" i="182"/>
  <c r="H92" i="182"/>
  <c r="G92" i="182"/>
  <c r="J89" i="182"/>
  <c r="J85" i="182"/>
  <c r="J78" i="182"/>
  <c r="J73" i="182"/>
  <c r="J69" i="182"/>
  <c r="J64" i="182"/>
  <c r="I59" i="182"/>
  <c r="G59" i="182"/>
  <c r="J52" i="182"/>
  <c r="J48" i="182"/>
  <c r="J44" i="182"/>
  <c r="R40" i="182"/>
  <c r="Q40" i="182"/>
  <c r="P40" i="182"/>
  <c r="O40" i="182"/>
  <c r="N40" i="182"/>
  <c r="M40" i="182"/>
  <c r="L40" i="182"/>
  <c r="K40" i="182"/>
  <c r="I39" i="182"/>
  <c r="H39" i="182"/>
  <c r="H159" i="182" s="1"/>
  <c r="G39" i="182"/>
  <c r="J36" i="182"/>
  <c r="J31" i="182"/>
  <c r="J26" i="182"/>
  <c r="J21" i="182"/>
  <c r="J16" i="182"/>
  <c r="J11" i="182"/>
  <c r="I93" i="181"/>
  <c r="H88" i="181"/>
  <c r="G88" i="181"/>
  <c r="H55" i="181"/>
  <c r="G55" i="181"/>
  <c r="Q40" i="181"/>
  <c r="P40" i="181"/>
  <c r="O40" i="181"/>
  <c r="N40" i="181"/>
  <c r="M40" i="181"/>
  <c r="L40" i="181"/>
  <c r="K40" i="181"/>
  <c r="J40" i="181"/>
  <c r="H39" i="181"/>
  <c r="G39" i="181"/>
  <c r="N160" i="182" l="1"/>
  <c r="O160" i="182"/>
  <c r="P160" i="182"/>
  <c r="R160" i="182"/>
  <c r="K160" i="182"/>
  <c r="L160" i="182"/>
  <c r="M160" i="182"/>
  <c r="Q160" i="182"/>
  <c r="I159" i="182"/>
  <c r="G159" i="182"/>
  <c r="J93" i="182"/>
  <c r="P97" i="181"/>
  <c r="G100" i="182"/>
  <c r="G154" i="182" s="1"/>
  <c r="O101" i="182"/>
  <c r="L101" i="182"/>
  <c r="R97" i="181"/>
  <c r="N97" i="181"/>
  <c r="J97" i="181"/>
  <c r="F96" i="181"/>
  <c r="F104" i="181" s="1"/>
  <c r="O97" i="181"/>
  <c r="K97" i="181"/>
  <c r="K101" i="182"/>
  <c r="G96" i="181"/>
  <c r="G104" i="181" s="1"/>
  <c r="L97" i="181"/>
  <c r="J40" i="182"/>
  <c r="H100" i="182"/>
  <c r="H154" i="182" s="1"/>
  <c r="M101" i="182"/>
  <c r="Q101" i="182"/>
  <c r="I40" i="181"/>
  <c r="H96" i="181"/>
  <c r="H104" i="181" s="1"/>
  <c r="M97" i="181"/>
  <c r="Q97" i="181"/>
  <c r="I100" i="182"/>
  <c r="I154" i="182" s="1"/>
  <c r="N101" i="182"/>
  <c r="R101" i="182"/>
  <c r="I101" i="181"/>
  <c r="J165" i="182"/>
  <c r="J60" i="182"/>
  <c r="P101" i="182"/>
  <c r="L170" i="182"/>
  <c r="R170" i="182"/>
  <c r="M105" i="181" l="1"/>
  <c r="J105" i="181"/>
  <c r="K105" i="181"/>
  <c r="N105" i="181"/>
  <c r="Q105" i="181"/>
  <c r="L105" i="181"/>
  <c r="O105" i="181"/>
  <c r="R105" i="181"/>
  <c r="P105" i="181"/>
  <c r="R155" i="182"/>
  <c r="N155" i="182"/>
  <c r="P155" i="182"/>
  <c r="M155" i="182"/>
  <c r="L155" i="182"/>
  <c r="O155" i="182"/>
  <c r="Q155" i="182"/>
  <c r="I97" i="181"/>
  <c r="I105" i="181" s="1"/>
  <c r="K155" i="182"/>
  <c r="K170" i="182"/>
  <c r="J101" i="182"/>
  <c r="J160" i="182"/>
  <c r="J170" i="182" l="1"/>
  <c r="O8" i="109"/>
  <c r="O9" i="109"/>
  <c r="O10" i="109"/>
  <c r="J155" i="182"/>
  <c r="I518" i="105"/>
  <c r="I514" i="105"/>
  <c r="I484" i="105"/>
  <c r="I427" i="105"/>
  <c r="I152" i="105" l="1"/>
  <c r="I258" i="105" l="1"/>
  <c r="I98" i="105"/>
  <c r="I18" i="105"/>
  <c r="H10" i="115" l="1"/>
  <c r="G10" i="115"/>
  <c r="G8" i="115" s="1"/>
  <c r="F10" i="115"/>
  <c r="I254" i="105" l="1"/>
  <c r="F10" i="113" l="1"/>
  <c r="I619" i="105" l="1"/>
  <c r="I579" i="105"/>
  <c r="N587" i="105" l="1"/>
  <c r="N816" i="105" l="1"/>
  <c r="I816" i="105" s="1"/>
  <c r="N820" i="105"/>
  <c r="I820" i="105" l="1"/>
  <c r="O12" i="109"/>
  <c r="G37" i="115"/>
  <c r="G33" i="115"/>
  <c r="G26" i="115"/>
  <c r="G16" i="115" s="1"/>
  <c r="G60" i="113"/>
  <c r="E23" i="109" s="1"/>
  <c r="G54" i="113"/>
  <c r="G49" i="113"/>
  <c r="G45" i="113"/>
  <c r="G34" i="113"/>
  <c r="G23" i="113"/>
  <c r="G22" i="113" s="1"/>
  <c r="G10" i="113"/>
  <c r="G9" i="113" s="1"/>
  <c r="I395" i="105"/>
  <c r="I419" i="105"/>
  <c r="I374" i="105"/>
  <c r="I379" i="105"/>
  <c r="I387" i="105"/>
  <c r="I391" i="105"/>
  <c r="I399" i="105"/>
  <c r="I407" i="105"/>
  <c r="I411" i="105"/>
  <c r="I415" i="105"/>
  <c r="I423" i="105"/>
  <c r="I434" i="105"/>
  <c r="I442" i="105"/>
  <c r="I446" i="105"/>
  <c r="I455" i="105"/>
  <c r="I459" i="105"/>
  <c r="I463" i="105"/>
  <c r="I467" i="105"/>
  <c r="I471" i="105"/>
  <c r="I476" i="105"/>
  <c r="I488" i="105"/>
  <c r="I493" i="105"/>
  <c r="I497" i="105"/>
  <c r="I501" i="105"/>
  <c r="I505" i="105"/>
  <c r="I522" i="105"/>
  <c r="I527" i="105"/>
  <c r="I531" i="105"/>
  <c r="I535" i="105"/>
  <c r="I539" i="105"/>
  <c r="I543" i="105"/>
  <c r="I547" i="105"/>
  <c r="I551" i="105"/>
  <c r="I555" i="105"/>
  <c r="I559" i="105"/>
  <c r="I563" i="105"/>
  <c r="I567" i="105"/>
  <c r="I571" i="105"/>
  <c r="I575" i="105"/>
  <c r="I583" i="105"/>
  <c r="I587" i="105"/>
  <c r="I591" i="105"/>
  <c r="I595" i="105"/>
  <c r="I599" i="105"/>
  <c r="I603" i="105"/>
  <c r="I607" i="105"/>
  <c r="I615" i="105"/>
  <c r="I64" i="113"/>
  <c r="G27" i="109" s="1"/>
  <c r="I147" i="105"/>
  <c r="I143" i="105"/>
  <c r="I139" i="105"/>
  <c r="E28" i="134"/>
  <c r="E31" i="134"/>
  <c r="O11" i="109"/>
  <c r="O47" i="144"/>
  <c r="O11" i="144"/>
  <c r="O43" i="144"/>
  <c r="O39" i="144"/>
  <c r="I307" i="105"/>
  <c r="H26" i="115"/>
  <c r="H16" i="115" s="1"/>
  <c r="F26" i="115"/>
  <c r="I286" i="105"/>
  <c r="F8" i="115"/>
  <c r="H45" i="113"/>
  <c r="F45" i="113"/>
  <c r="I364" i="105"/>
  <c r="I360" i="105"/>
  <c r="I356" i="105"/>
  <c r="I352" i="105"/>
  <c r="I348" i="105"/>
  <c r="I344" i="105"/>
  <c r="I340" i="105"/>
  <c r="I335" i="105"/>
  <c r="I331" i="105"/>
  <c r="I327" i="105"/>
  <c r="I323" i="105"/>
  <c r="I319" i="105"/>
  <c r="I315" i="105"/>
  <c r="I311" i="105"/>
  <c r="I302" i="105"/>
  <c r="I294" i="105"/>
  <c r="I290" i="105"/>
  <c r="I268" i="105"/>
  <c r="I238" i="105"/>
  <c r="I230" i="105"/>
  <c r="I226" i="105"/>
  <c r="I222" i="105"/>
  <c r="I218" i="105"/>
  <c r="I214" i="105"/>
  <c r="I201" i="105"/>
  <c r="I156" i="105"/>
  <c r="I94" i="105"/>
  <c r="I90" i="105"/>
  <c r="I42" i="105"/>
  <c r="I26" i="105"/>
  <c r="I22" i="105"/>
  <c r="I14" i="105"/>
  <c r="I10" i="105"/>
  <c r="I34" i="113"/>
  <c r="I37" i="115"/>
  <c r="H37" i="115"/>
  <c r="F37" i="115"/>
  <c r="H33" i="115"/>
  <c r="F33" i="115"/>
  <c r="H8" i="115"/>
  <c r="H64" i="113"/>
  <c r="F64" i="113"/>
  <c r="H60" i="113"/>
  <c r="F60" i="113"/>
  <c r="H54" i="113"/>
  <c r="F54" i="113"/>
  <c r="H49" i="113"/>
  <c r="F49" i="113"/>
  <c r="H34" i="113"/>
  <c r="F34" i="113"/>
  <c r="I22" i="113"/>
  <c r="I8" i="113" s="1"/>
  <c r="I56" i="113" s="1"/>
  <c r="H23" i="113"/>
  <c r="H22" i="113" s="1"/>
  <c r="H10" i="113"/>
  <c r="H9" i="113" s="1"/>
  <c r="F9" i="113"/>
  <c r="O19" i="109" l="1"/>
  <c r="I16" i="115"/>
  <c r="H59" i="113"/>
  <c r="H58" i="113" s="1"/>
  <c r="F59" i="113"/>
  <c r="F58" i="113" s="1"/>
  <c r="G44" i="113"/>
  <c r="F44" i="113"/>
  <c r="H14" i="115"/>
  <c r="H40" i="115" s="1"/>
  <c r="H48" i="115" s="1"/>
  <c r="H44" i="113"/>
  <c r="E27" i="134"/>
  <c r="E26" i="134"/>
  <c r="O17" i="109"/>
  <c r="O29" i="109"/>
  <c r="G64" i="113"/>
  <c r="G14" i="115"/>
  <c r="G40" i="115" s="1"/>
  <c r="G48" i="115" s="1"/>
  <c r="I210" i="105"/>
  <c r="F16" i="115"/>
  <c r="F14" i="115" s="1"/>
  <c r="F40" i="115" s="1"/>
  <c r="F48" i="115" s="1"/>
  <c r="I10" i="115"/>
  <c r="G10" i="109"/>
  <c r="G11" i="109"/>
  <c r="G16" i="109"/>
  <c r="G18" i="109"/>
  <c r="H8" i="113"/>
  <c r="F8" i="113"/>
  <c r="G8" i="113"/>
  <c r="I298" i="105"/>
  <c r="O13" i="109"/>
  <c r="I234" i="105"/>
  <c r="I403" i="105"/>
  <c r="I824" i="105"/>
  <c r="H31" i="109" l="1"/>
  <c r="H34" i="109" s="1"/>
  <c r="G9" i="109"/>
  <c r="I15" i="115"/>
  <c r="G59" i="113"/>
  <c r="G58" i="113" s="1"/>
  <c r="E27" i="109"/>
  <c r="F35" i="109"/>
  <c r="F29" i="109"/>
  <c r="F30" i="109" s="1"/>
  <c r="F37" i="109" s="1"/>
  <c r="F56" i="113"/>
  <c r="F57" i="113" s="1"/>
  <c r="G56" i="113"/>
  <c r="I60" i="113"/>
  <c r="H56" i="113"/>
  <c r="H57" i="113" s="1"/>
  <c r="G8" i="109"/>
  <c r="P30" i="109" l="1"/>
  <c r="G14" i="109"/>
  <c r="G74" i="113"/>
  <c r="F38" i="109"/>
  <c r="I59" i="113"/>
  <c r="I74" i="113" s="1"/>
  <c r="G23" i="109"/>
  <c r="G35" i="109" s="1"/>
  <c r="E29" i="109"/>
  <c r="E30" i="109" s="1"/>
  <c r="E37" i="109" s="1"/>
  <c r="E35" i="109"/>
  <c r="F74" i="113"/>
  <c r="G57" i="113"/>
  <c r="H74" i="113"/>
  <c r="O16" i="109"/>
  <c r="I33" i="115"/>
  <c r="G17" i="109"/>
  <c r="G20" i="109" s="1"/>
  <c r="I8" i="115"/>
  <c r="O18" i="109"/>
  <c r="P38" i="109" l="1"/>
  <c r="P37" i="109"/>
  <c r="E38" i="109"/>
  <c r="G29" i="109"/>
  <c r="I14" i="115"/>
  <c r="I40" i="115" s="1"/>
  <c r="I57" i="113" s="1"/>
  <c r="G21" i="109"/>
  <c r="O20" i="109"/>
  <c r="G33" i="109" s="1"/>
  <c r="O14" i="109"/>
  <c r="G32" i="109" l="1"/>
  <c r="G30" i="109"/>
  <c r="G37" i="109" s="1"/>
  <c r="O21" i="109"/>
  <c r="G31" i="109" s="1"/>
  <c r="G34" i="109" s="1"/>
  <c r="I48" i="115"/>
  <c r="G38" i="109" l="1"/>
  <c r="O30" i="109"/>
  <c r="O38" i="109" l="1"/>
  <c r="O37" i="109"/>
  <c r="I468" i="105"/>
</calcChain>
</file>

<file path=xl/sharedStrings.xml><?xml version="1.0" encoding="utf-8"?>
<sst xmlns="http://schemas.openxmlformats.org/spreadsheetml/2006/main" count="2769" uniqueCount="868">
  <si>
    <t>adatok eFt-ban</t>
  </si>
  <si>
    <t>A</t>
  </si>
  <si>
    <t>C</t>
  </si>
  <si>
    <t>B</t>
  </si>
  <si>
    <t>D</t>
  </si>
  <si>
    <t>E</t>
  </si>
  <si>
    <t>Megnevezés</t>
  </si>
  <si>
    <t>Temetők üzemeltetésével kapcsolatos feladatok</t>
  </si>
  <si>
    <t>Parkfenntartás</t>
  </si>
  <si>
    <t>Köztisztasági feladatok</t>
  </si>
  <si>
    <t>Városi kiemelt fesztiválok</t>
  </si>
  <si>
    <t>Városi lap kiadásai</t>
  </si>
  <si>
    <t>Kitüntetések</t>
  </si>
  <si>
    <t>MINDÖSSZESEN:</t>
  </si>
  <si>
    <t>Veszprém Megyei Jogú Város Önkormányzata</t>
  </si>
  <si>
    <t>F</t>
  </si>
  <si>
    <t>G</t>
  </si>
  <si>
    <t>H</t>
  </si>
  <si>
    <t>Cím</t>
  </si>
  <si>
    <t>Alcím</t>
  </si>
  <si>
    <t>Feladatellátás jellege*</t>
  </si>
  <si>
    <t>Teljes költség</t>
  </si>
  <si>
    <t>Önkormányzati felújítási kiadások</t>
  </si>
  <si>
    <t>K</t>
  </si>
  <si>
    <t>NK</t>
  </si>
  <si>
    <t>* Feladatellátás jellege:</t>
  </si>
  <si>
    <t>K= Magyarország helyi önkormányzatairól szóló 2011. évi CLXXXIX. törvény 13. § (1) bekezdése szerinti kötelező feladatok</t>
  </si>
  <si>
    <t>NK= Önkormányzat által önként vállalt feladatok</t>
  </si>
  <si>
    <t>J</t>
  </si>
  <si>
    <t>Önkormányzati beruházási kiadások</t>
  </si>
  <si>
    <t>Laczkó Dezső Múzeum</t>
  </si>
  <si>
    <t>Informatikai kiadások</t>
  </si>
  <si>
    <t>I</t>
  </si>
  <si>
    <t>L</t>
  </si>
  <si>
    <t>M</t>
  </si>
  <si>
    <t>Működési költségvetési kiadások</t>
  </si>
  <si>
    <t>Személyi juttatások</t>
  </si>
  <si>
    <t>Munk.a. terh. jár. és szoc.hj.adó</t>
  </si>
  <si>
    <t>Dologi kiadások</t>
  </si>
  <si>
    <t>Egyéb működési kiadások</t>
  </si>
  <si>
    <t>Nemzeti ünnepek kiadásaira</t>
  </si>
  <si>
    <t>Nemzetközi kapcsolatok</t>
  </si>
  <si>
    <t>Marketing tevékenység, marketing stratégia</t>
  </si>
  <si>
    <t xml:space="preserve">          - Gizella Napok</t>
  </si>
  <si>
    <t xml:space="preserve">          - Tánc Fesztivál </t>
  </si>
  <si>
    <t xml:space="preserve">          - Veszprémi Utcazene Fesztivál</t>
  </si>
  <si>
    <t xml:space="preserve">          - Auer Hegedűfesztivál</t>
  </si>
  <si>
    <t>Eseti rendezvények</t>
  </si>
  <si>
    <t>Köztéri szobrok, emléktáblák, lektorátus</t>
  </si>
  <si>
    <t>Kiadványok, folyóiratok támogatása</t>
  </si>
  <si>
    <t>ebből: - Mendelssohn Kamarazenekar</t>
  </si>
  <si>
    <t xml:space="preserve"> - Veszprém Város Vegyeskara</t>
  </si>
  <si>
    <t xml:space="preserve"> - Veszprémi Táncegyüttesért Alapítvány</t>
  </si>
  <si>
    <t xml:space="preserve"> - Liszt F. Kórus</t>
  </si>
  <si>
    <t>Tanórán kívüli tevékenység támogatása</t>
  </si>
  <si>
    <t>Sportpálya fenntartás, ill. fenntartói tám.</t>
  </si>
  <si>
    <t>Polgármesteri keret</t>
  </si>
  <si>
    <t>Városi civil keret</t>
  </si>
  <si>
    <t xml:space="preserve"> ebből : - Nyugdíjas szervezetek számára pályázati keret</t>
  </si>
  <si>
    <t xml:space="preserve">            - Pályázati keret</t>
  </si>
  <si>
    <t>Köztemetés</t>
  </si>
  <si>
    <t xml:space="preserve">Közcélú és közhasznú foglalkoztatás </t>
  </si>
  <si>
    <t>Települési szilárdhulladék szállítás ártámogatás</t>
  </si>
  <si>
    <t>Máltai Szeretetszolgálatnak pénzeszköz átadás (ellátási szerződés)</t>
  </si>
  <si>
    <t>Lelkisegély szolgálat</t>
  </si>
  <si>
    <t>Hittudományi Főiskola támogatása</t>
  </si>
  <si>
    <t>Munkavédelmi feladatok</t>
  </si>
  <si>
    <t>Közbeszerzési eljárások költségei</t>
  </si>
  <si>
    <t xml:space="preserve">Önkormányzat igazgatási tevékenysége </t>
  </si>
  <si>
    <t>Igazgatás - Állam felé befizetési kötelezettség</t>
  </si>
  <si>
    <t>ÁFA befizetés</t>
  </si>
  <si>
    <t>Kamatkiadások</t>
  </si>
  <si>
    <t>Városi Közbiztonság Keret</t>
  </si>
  <si>
    <t>Nem lakáscélú helyiségek üzemeltetési költségei</t>
  </si>
  <si>
    <t>Közüzemi Zrt. jutaléka</t>
  </si>
  <si>
    <t>Városi TV közszolgálati műsorok támogatása</t>
  </si>
  <si>
    <t>Jutasi úti műfüves pálya fenntartása (LUC)</t>
  </si>
  <si>
    <t>TDM Irodától szolgáltatás vásárlása</t>
  </si>
  <si>
    <t>Településfejlesztési feladatok</t>
  </si>
  <si>
    <t>Rekultivációt megelőző telephely fenntartási költség</t>
  </si>
  <si>
    <t>Aluljárók csapadékvíz átemelőinek üzemeltetése</t>
  </si>
  <si>
    <t>Szökőkutak, ivókutak szolgáltatási díjai</t>
  </si>
  <si>
    <t>Közvilágítás</t>
  </si>
  <si>
    <t>Közműalagút működtetése</t>
  </si>
  <si>
    <t>Környezetvédelmi feladat (Városüzemeltetés feladatai)</t>
  </si>
  <si>
    <t>Környezetvédelmi feladat (Közigazgatási Iroda feladatai)</t>
  </si>
  <si>
    <t>Nemzetiségi önkormányzatok kiadásai:</t>
  </si>
  <si>
    <t xml:space="preserve"> ebből: - Roma Nemzetiségi Önkormányzat</t>
  </si>
  <si>
    <t>- Német Nemzetiségi Önkormányzat</t>
  </si>
  <si>
    <t>- Örmény Nemzetiségi Önkormányzat</t>
  </si>
  <si>
    <t>- Lengyel Nemzetiségi Önkormányzat</t>
  </si>
  <si>
    <t>- Ukrán Nemzetiségi Önkormányzat</t>
  </si>
  <si>
    <t>Ebből: Önkormányzat által ellátott kötelező feladatok összesen:</t>
  </si>
  <si>
    <t>Ebből: Önkormányzat által ellátott önként vállalt feladatok összesen:</t>
  </si>
  <si>
    <t>Göllesz Viktor Fogyatékos Személyek Nappali Intézménye</t>
  </si>
  <si>
    <t>VMJV Önkormányzata</t>
  </si>
  <si>
    <t>Összesen</t>
  </si>
  <si>
    <t>Iparűzési adó</t>
  </si>
  <si>
    <t>Építményadó</t>
  </si>
  <si>
    <t>Telekadó</t>
  </si>
  <si>
    <t>Kommunális adó</t>
  </si>
  <si>
    <t>Idegenforgalmi adó</t>
  </si>
  <si>
    <t>Veszprém Megyei Jogú Város Önkormányzata Intézményei</t>
  </si>
  <si>
    <t>Működési költségvetési bevételek</t>
  </si>
  <si>
    <t>Felhalmozási költségvetési bevételek</t>
  </si>
  <si>
    <t>Irányító szervtől kapott támogatás</t>
  </si>
  <si>
    <t>Működési bevételek</t>
  </si>
  <si>
    <t>Működési célú átvett pénzeszköz</t>
  </si>
  <si>
    <t>Felhalmozási bevétel</t>
  </si>
  <si>
    <t>Felhalmozási célú átvett pénzeszköz</t>
  </si>
  <si>
    <t>(Ringató Óvoda, Erdei Tagóvoda, Kuckó Tagóvoda)</t>
  </si>
  <si>
    <t>(Egry ltp. Óvoda, Nárcisz Tagóvoda)</t>
  </si>
  <si>
    <t>(Csillag úti Óvoda, Cholnoky ltp. Óvoda)</t>
  </si>
  <si>
    <t>(Kastélykert Óvoda, Ficánka Óvoda)</t>
  </si>
  <si>
    <t>Veszprémi Petőfi Színház</t>
  </si>
  <si>
    <t>INTÉZMÉNYEK ÖSSZESEN:</t>
  </si>
  <si>
    <t>VMJV Polgármesteri Hivatal által ellátott kötelező és önként vállalt feladatok</t>
  </si>
  <si>
    <t>N</t>
  </si>
  <si>
    <t>O</t>
  </si>
  <si>
    <t>P</t>
  </si>
  <si>
    <t>Felhalmozási költségvetési kiadások</t>
  </si>
  <si>
    <t>Egyéb felhalmozási célú kiadások</t>
  </si>
  <si>
    <t>Igazgatási tevékenység</t>
  </si>
  <si>
    <t>Gondnokság</t>
  </si>
  <si>
    <t>Ebből:</t>
  </si>
  <si>
    <t>Önkormányzati kötelező feladatokat ellátó intézmények összesen</t>
  </si>
  <si>
    <t>Önkormányzat által önként vállalt feladatokat ellátó intézmények összesen</t>
  </si>
  <si>
    <t>VMJV Polgármesteri Hivatal által ellátott kötelező és államigazgatási feladatok összesen</t>
  </si>
  <si>
    <t>Veszprém Megyei Jogú Város Önkormányzatának</t>
  </si>
  <si>
    <t>Működési célú támogatások Áht-on belülről</t>
  </si>
  <si>
    <t>Önkormányzatok működési támogatásai</t>
  </si>
  <si>
    <t>Működési célú költségvetési támogatások és kiegészítő támogatások</t>
  </si>
  <si>
    <t>Egyéb működési célú támogatások bevételei</t>
  </si>
  <si>
    <t>ebből: Társadalombizt. Alapból származó támogatás</t>
  </si>
  <si>
    <t>Közhatalmi bevételek</t>
  </si>
  <si>
    <t>Adók</t>
  </si>
  <si>
    <t>Egyéb pótlékok, bírságok</t>
  </si>
  <si>
    <t>Egyéb közhatalmi bevételek (bírságok, igazgatási szolgáltatási díjak)</t>
  </si>
  <si>
    <t>Önkormányzati Intézmények működési bevételek</t>
  </si>
  <si>
    <t>Működési célú átvett pénzeszközök</t>
  </si>
  <si>
    <t>Önkormányzati Intézmények működési célú átvett pénzeszközök</t>
  </si>
  <si>
    <t>Felhalmozási célú önkormányzati támogatások</t>
  </si>
  <si>
    <t>Egyéb felhalmozási célú támogatások bevételei</t>
  </si>
  <si>
    <t>Felhalmozási bevételek</t>
  </si>
  <si>
    <t>Ingatlanok értékesítése</t>
  </si>
  <si>
    <t>Önkormányzati Intézmények felhalmozási bevételei</t>
  </si>
  <si>
    <t>Felhalmozási célú átvett pénzeszközök</t>
  </si>
  <si>
    <t>Önkormányzati Intézmények felhalmozási célú átvett pénzeszközök</t>
  </si>
  <si>
    <t>Lakásalap</t>
  </si>
  <si>
    <t>Költségvetési bevételek összesen</t>
  </si>
  <si>
    <t>Költségvetési egyenleg összege</t>
  </si>
  <si>
    <t>Finanszírozási bevételek</t>
  </si>
  <si>
    <t>Intézmények</t>
  </si>
  <si>
    <t>VMJV Polgármesteri Hivatala</t>
  </si>
  <si>
    <t>Beruházási hitelfelvétel</t>
  </si>
  <si>
    <t>Előző évi hitelszerződéseken alapuló felvétel</t>
  </si>
  <si>
    <t>Bevételi főösszeg</t>
  </si>
  <si>
    <t xml:space="preserve">Cím  </t>
  </si>
  <si>
    <t>Intézményi költségvetési kiadások</t>
  </si>
  <si>
    <t>Céltartalékok</t>
  </si>
  <si>
    <t>Általános tartalék</t>
  </si>
  <si>
    <t>Lakásalap kiadása</t>
  </si>
  <si>
    <t>Költségvetési kiadások összesen</t>
  </si>
  <si>
    <t>Finanszírozási kiadások</t>
  </si>
  <si>
    <t>Működési finanszírozási kiadások</t>
  </si>
  <si>
    <t>Felhalmozási finanszírozási kiadások</t>
  </si>
  <si>
    <t xml:space="preserve"> - Hiteltörlesztés</t>
  </si>
  <si>
    <t xml:space="preserve"> - Lakásalap hiteltörlesztése</t>
  </si>
  <si>
    <t>Kiadási főösszeg</t>
  </si>
  <si>
    <t>VESZPRÉM MEGYEI JOGÚ VÁROS ÖNKORMÁNYZATÁNAK MŰKÖDÉSI ÉS FELHALMOZÁSI</t>
  </si>
  <si>
    <t>MŰKÖDÉSI KÖLTSÉGVETÉSI BEVÉTELEK</t>
  </si>
  <si>
    <t>MŰKÖDÉSI KÖLTSÉGVETÉSI KIADÁSOK</t>
  </si>
  <si>
    <t>Működési célú támogatások államháztartáson belülről</t>
  </si>
  <si>
    <t>Munkaadókat terhelő járulékok és szociális hozzájárulási adó</t>
  </si>
  <si>
    <t>Ellátottak pénzbeli juttatásai</t>
  </si>
  <si>
    <t>Egyéb működési célú kiadások (tartalékok nélkül)</t>
  </si>
  <si>
    <t>Működési költségvetési bevételek összesen</t>
  </si>
  <si>
    <t>Működési költségvetési kiadások összesen</t>
  </si>
  <si>
    <t>FELHALMOZÁSI KÖLTSÉGVETÉSI BEVÉTELEK</t>
  </si>
  <si>
    <t>FELHALMOZÁSI KÖLTSÉGVETÉSI KIADÁSOK</t>
  </si>
  <si>
    <t>Felhalmozási célú támogatások államháztartáson belülről</t>
  </si>
  <si>
    <t>Beruházási kiadások</t>
  </si>
  <si>
    <t>Felújítási kiadások</t>
  </si>
  <si>
    <t>Felhalmozási költségvetési bevételek összesen</t>
  </si>
  <si>
    <t>Felhalmozási költségvetési kiadások összesen</t>
  </si>
  <si>
    <t>MŰKÖDÉSI FINANSZÍROZÁSI BEVÉTELEK</t>
  </si>
  <si>
    <t>MŰKÖDÉSI FINANSZÍROZÁSI KIADÁSOK</t>
  </si>
  <si>
    <t>FELHALMOZÁSI FINANSZÍROZÁSI BEVÉTELEK</t>
  </si>
  <si>
    <t>FELHALMOZÁSI FINANSZÍROZÁSI KIADÁSOK</t>
  </si>
  <si>
    <t>Hosszú lejáratú hitel felvétele</t>
  </si>
  <si>
    <t>Hosszú lejáratú hitel tőkeösszegének törlesztése</t>
  </si>
  <si>
    <t>Finanszírozási bevételek összesen</t>
  </si>
  <si>
    <t>Finanszírozási kiadások összesen</t>
  </si>
  <si>
    <t>ÖSSZES BEVÉTEL</t>
  </si>
  <si>
    <t>ÖSSZES KIADÁS</t>
  </si>
  <si>
    <t>ebből működési:</t>
  </si>
  <si>
    <t>ebből felhalmozási:</t>
  </si>
  <si>
    <t>Finanszírozási kiadásokkal korrigált hiány összege</t>
  </si>
  <si>
    <t>Működési bevételek aránya %-ban</t>
  </si>
  <si>
    <t>Működési kiadások aránya %-ban</t>
  </si>
  <si>
    <t>Felhalmozási bevételek aránya %-ban</t>
  </si>
  <si>
    <t>Felhalmozási kiadások aránya %-ban</t>
  </si>
  <si>
    <t xml:space="preserve"> </t>
  </si>
  <si>
    <t>Kiemelt művészeti együttesek támogatása</t>
  </si>
  <si>
    <t>Bérleményekkel, haszonbérletekkel kapcsolatos feladatok</t>
  </si>
  <si>
    <t>Csapadékcsatornák üzemeltetési szolgáltatásai</t>
  </si>
  <si>
    <t>Felhalmozási célú átvett pénzeszközök (kölcsönök visszatérülése)</t>
  </si>
  <si>
    <t>Felhalmozási célú költségvetési maradvány igénybevétele</t>
  </si>
  <si>
    <t>Előző évi  költségvetési maradvány</t>
  </si>
  <si>
    <t>Államháztartáson belüli megelőlegezések</t>
  </si>
  <si>
    <t>Államháztartáson belüli megelőlegezések visszafizetése</t>
  </si>
  <si>
    <t>Veszprémi Ringató Körzeti Óvoda</t>
  </si>
  <si>
    <t>Veszprémi Egry úti Körzeti Óvoda</t>
  </si>
  <si>
    <t>Veszprémi Csillag úti Körzeti Óvoda</t>
  </si>
  <si>
    <t>Veszprémi Kastélykert Körzeti Óvoda</t>
  </si>
  <si>
    <t>Veszprémi Intézményi Szolgáltató Szervezet</t>
  </si>
  <si>
    <t>Nyári diákmunka</t>
  </si>
  <si>
    <t>Pannon Várszínház támogatás</t>
  </si>
  <si>
    <t>Városi rendezvények</t>
  </si>
  <si>
    <t>SÉD folyóirat költségei</t>
  </si>
  <si>
    <t>M.J.V.SZ. tám. Kárpátalja megsegítésére</t>
  </si>
  <si>
    <t>ebből:  - Lélektér Alapítvány</t>
  </si>
  <si>
    <t xml:space="preserve">           - Tanulmányi ösztöndíj</t>
  </si>
  <si>
    <t xml:space="preserve">           - Fiatalok napja rendezvény</t>
  </si>
  <si>
    <t>Lakbértámogatás</t>
  </si>
  <si>
    <t>Települési támogatások</t>
  </si>
  <si>
    <t>Parkolók üzemeltetési költsége</t>
  </si>
  <si>
    <t>ebből:  - Rendkívüli támogatás</t>
  </si>
  <si>
    <t>Szolgáltatások, közvetített szolgáltatások ellenértéke</t>
  </si>
  <si>
    <t>ÁFA bevételek és visszatérülések</t>
  </si>
  <si>
    <t>Költségvetési hiány belső finanszírozására szolgáló bevételek</t>
  </si>
  <si>
    <t>Költségvetési hiány külső finanszírozására szolgáló bevételek</t>
  </si>
  <si>
    <t>Feladatellátás jellege</t>
  </si>
  <si>
    <t>Egyéb városüzemeltetési feladatok</t>
  </si>
  <si>
    <t>VKSZ Zrt. által ellátott városüzemeltetési feladatok</t>
  </si>
  <si>
    <t>VKSZ Zrt. által ellátott intézményüzemeltetési feladatok</t>
  </si>
  <si>
    <t>Intézményi működtetők költsége</t>
  </si>
  <si>
    <t>Szenvedélybetegek ellátásának működési kiadásaihoz támogatás</t>
  </si>
  <si>
    <t>Költségvetési maradvány</t>
  </si>
  <si>
    <t>eredeti előirányzat</t>
  </si>
  <si>
    <t>(Hársfa Tagóvoda, Bóbita Óvoda)</t>
  </si>
  <si>
    <t>Veszprémi Bóbita Körzeti Óvoda</t>
  </si>
  <si>
    <t>Veszprémi Vadvirág Körzeti Óvoda</t>
  </si>
  <si>
    <t>Bérlakások üzemeltetési költségei</t>
  </si>
  <si>
    <t>17</t>
  </si>
  <si>
    <t>(Csillagvár Waldorf Tagóvoda, Vadvirág Óvoda)</t>
  </si>
  <si>
    <t>Veszprémi Bölcsődei és Egészségügyi Alapellátási Integrált Intézmény</t>
  </si>
  <si>
    <t xml:space="preserve"> - Gizella Kórus/Dowland Alapítvány</t>
  </si>
  <si>
    <t xml:space="preserve">Központi orvosi ügyelet </t>
  </si>
  <si>
    <t xml:space="preserve">           - Veszprémi Ifjúsági Közalapítvány</t>
  </si>
  <si>
    <t xml:space="preserve">Veszprémi Bóbita Körzeti Óvoda </t>
  </si>
  <si>
    <r>
      <t>Ebből</t>
    </r>
    <r>
      <rPr>
        <i/>
        <sz val="10"/>
        <rFont val="Palatino Linotype"/>
        <family val="1"/>
        <charset val="238"/>
      </rPr>
      <t>: költségvetési támogatás</t>
    </r>
  </si>
  <si>
    <t>1-16</t>
  </si>
  <si>
    <t>Eü. Alapellátás</t>
  </si>
  <si>
    <t>Stadion üzemeltetése</t>
  </si>
  <si>
    <t>Városi ifjúsági keret</t>
  </si>
  <si>
    <t>Szünidei gyermekétkeztetés</t>
  </si>
  <si>
    <t xml:space="preserve">          - Lakásfenntartási támogatás </t>
  </si>
  <si>
    <t xml:space="preserve">          - Albérleti támogatás</t>
  </si>
  <si>
    <t xml:space="preserve">          - Temetési támogatás</t>
  </si>
  <si>
    <t xml:space="preserve">          - Térítési díj</t>
  </si>
  <si>
    <t xml:space="preserve">          - Gyógyszertámogatás</t>
  </si>
  <si>
    <t xml:space="preserve">         - Adósságcsökkentési támogatás</t>
  </si>
  <si>
    <t xml:space="preserve">         - Szünidei gyermekétkeztetés</t>
  </si>
  <si>
    <t>Nevelési szolgáltatás</t>
  </si>
  <si>
    <t>Szolidaritási hozzájárulás</t>
  </si>
  <si>
    <t>DAT térképfrissítés, földkönyv, közműnyilvántartás, GPS</t>
  </si>
  <si>
    <t>Hiány finanszírozása belső finanszírozásra szolgáló költségvetési bevétel összegével</t>
  </si>
  <si>
    <t>Hiány finanszírozása külső finanszírozásra szolgáló költségvetési bevétel összegével</t>
  </si>
  <si>
    <t>Csillagvár Waldorf Tagóvoda</t>
  </si>
  <si>
    <t>Hársfa Tagóvoda</t>
  </si>
  <si>
    <t>Nárcisz Tagóvoda</t>
  </si>
  <si>
    <t>Cholnoky Jenő Ltp. Tagóvoda</t>
  </si>
  <si>
    <t>Ficánka Tagóvoda</t>
  </si>
  <si>
    <t>Hóvirág Bölcsőde</t>
  </si>
  <si>
    <t>Vackor Bölcsőde</t>
  </si>
  <si>
    <t>Aprófalvi Bölcsőde</t>
  </si>
  <si>
    <t>Módszertani Bölcsőde</t>
  </si>
  <si>
    <t>Fogorvosi körzeteknek működési hozzájárulás</t>
  </si>
  <si>
    <t>Fogorvosi körzetek részére pályázati alap</t>
  </si>
  <si>
    <t>Állatmenhelyek támogatása</t>
  </si>
  <si>
    <t>Közutak, hidak fenntartása</t>
  </si>
  <si>
    <t>Művészetek Háza Veszprém Művelődési Ház és Kiállítóhely</t>
  </si>
  <si>
    <t>Kabóca Bábszínház</t>
  </si>
  <si>
    <t>Veszprémi Családsegítő és Gyermekjóléti Integrált Intézmény</t>
  </si>
  <si>
    <t xml:space="preserve">Agóra Veszprém Kulturális Központ </t>
  </si>
  <si>
    <t>1-17</t>
  </si>
  <si>
    <t>18</t>
  </si>
  <si>
    <t>Napsugár Bölcsőde</t>
  </si>
  <si>
    <t>Infrastruktúra fejlesztési feladatokhoz kapcsolódó kiadások</t>
  </si>
  <si>
    <t>Védett sírok felújítása az Alsóvárosi temetőben</t>
  </si>
  <si>
    <t>Brusznyai Árpád Alapítvány támogatása</t>
  </si>
  <si>
    <t>Működési célú tartalékok</t>
  </si>
  <si>
    <t>Felhalmozási célú tartalékok</t>
  </si>
  <si>
    <t>Működési célú céltartalékok</t>
  </si>
  <si>
    <t>Felhalmozási célú céltartalékok</t>
  </si>
  <si>
    <t xml:space="preserve">          - Beiskolázási támogatás</t>
  </si>
  <si>
    <t>VMJV Polgármesteri Hivatal összesen:</t>
  </si>
  <si>
    <t>Egyéb működési célú kiadások</t>
  </si>
  <si>
    <t>Működési költségvetési                                                                         kiadások</t>
  </si>
  <si>
    <r>
      <rPr>
        <b/>
        <sz val="10"/>
        <rFont val="Palatino Linotype"/>
        <family val="1"/>
        <charset val="238"/>
      </rPr>
      <t>TOP – 6.9.2 -16-VP1-2018-00001</t>
    </r>
    <r>
      <rPr>
        <sz val="10"/>
        <rFont val="Palatino Linotype"/>
        <family val="1"/>
        <charset val="238"/>
      </rPr>
      <t xml:space="preserve"> Közösségfejlesztés Veszprém város településrészein</t>
    </r>
  </si>
  <si>
    <t xml:space="preserve"> - Adóbevételekkel szembeni kötelezettség</t>
  </si>
  <si>
    <t>Óvodák összesen:</t>
  </si>
  <si>
    <t>Egészségügyi és szociális intézmények összesen:</t>
  </si>
  <si>
    <t>Kulturális és közművelődési intézmények összesen:</t>
  </si>
  <si>
    <t xml:space="preserve">Előir. csop. </t>
  </si>
  <si>
    <t>Kie-melt előir.</t>
  </si>
  <si>
    <t xml:space="preserve">Kie-melt előir. </t>
  </si>
  <si>
    <t xml:space="preserve"> Erdei és Kuckó Tagóvoda</t>
  </si>
  <si>
    <t>Önkormányzati működési kiadások</t>
  </si>
  <si>
    <t>INTÉZMÉNYEK BERUHÁZÁSI KIADÁSAI ÖSSZESEN:</t>
  </si>
  <si>
    <t>VMJV  Polgármesteri Hivatal beruházási kiadásai összesen:</t>
  </si>
  <si>
    <t>BERUHÁZÁSI KIADÁSOK MINDÖSSZESEN:</t>
  </si>
  <si>
    <t>Veszprémi Petőfi Színház komplex fejlesztése</t>
  </si>
  <si>
    <t>Vízrendezési feladatok, árkok felújítása</t>
  </si>
  <si>
    <t>Programiroda Kft. törzstőke emelés</t>
  </si>
  <si>
    <t xml:space="preserve">Programiroda Kft. tőketartalékba helyezés </t>
  </si>
  <si>
    <t>Veszprém - Balaton 2023 Zrt. törzstőke emelés</t>
  </si>
  <si>
    <t>Veszprém - Balaton 2023 Zrt. tőketartalékba helyezés</t>
  </si>
  <si>
    <t>Gyulafirátóti Bölcsőde</t>
  </si>
  <si>
    <t>Közösség Kádártáért Egyesület</t>
  </si>
  <si>
    <t>Virágzó Veszprém Egyesület</t>
  </si>
  <si>
    <t>Gerence Hagyományőrző Néptáncegyüttes támogatása</t>
  </si>
  <si>
    <t xml:space="preserve">            - Civil irodai szolgáltatások, civil ház</t>
  </si>
  <si>
    <t xml:space="preserve">            - Civil nap költségei</t>
  </si>
  <si>
    <t>Pszichiátriai betegek nappali ellátás ("Horgony" Pszichiátriai Betegekért Közhasznú Alapítvány)</t>
  </si>
  <si>
    <t>Intézményi karbantartási költségek</t>
  </si>
  <si>
    <t>Intézményi közüzemi költségek</t>
  </si>
  <si>
    <t>Kolostorok és kertek működtetése</t>
  </si>
  <si>
    <t xml:space="preserve">          - Comitatus Társadalomkutató Egyesület - Comitatus Önkormányzati Szemle</t>
  </si>
  <si>
    <t>** Az intézményeknél kimutatott adatokat is tartalmazza</t>
  </si>
  <si>
    <t>ERASMUS+ Program</t>
  </si>
  <si>
    <t>Informatika</t>
  </si>
  <si>
    <t xml:space="preserve">          - Vészhelyzeti támogatás (krízis segély)</t>
  </si>
  <si>
    <t>Ebrendészeti feladatok</t>
  </si>
  <si>
    <t>Európa Ifjúsági Fővárosa 2024 pályázat benyújtása</t>
  </si>
  <si>
    <t xml:space="preserve">          - Ex Symposion Alapítvány</t>
  </si>
  <si>
    <t>Népszámlálás 2022.</t>
  </si>
  <si>
    <t xml:space="preserve">Európai Fenntartható Városfejlesztési Hálózat "Global Goals for Cities" Urbact III. </t>
  </si>
  <si>
    <t>Önkormányzati érdekeket érintő településrendezési eszközök módosítása</t>
  </si>
  <si>
    <t>Állatkerti bekötőút kiviteli terv</t>
  </si>
  <si>
    <t>Közterületi játszóeszközök felújítása (78/2003 GKM rendelet)</t>
  </si>
  <si>
    <t>Önkormányzati bérlakások felújítása</t>
  </si>
  <si>
    <t>Köztéri padok felújítása</t>
  </si>
  <si>
    <t>Labdapályák és sporteszközök felújítása</t>
  </si>
  <si>
    <t>Veszprém belterületi közúthálózat fejlesztési céljainak és kapcsolódó tereinek megvalósítása (támogatás és önerő)</t>
  </si>
  <si>
    <t xml:space="preserve">          - Magyar Mozgógép Fesztivál</t>
  </si>
  <si>
    <t xml:space="preserve">          - Bakony Expo</t>
  </si>
  <si>
    <t>Városgazdálkodási szolgáltatás</t>
  </si>
  <si>
    <t xml:space="preserve"> - Projekt kiadásokhoz kapcsolódó céltartalék</t>
  </si>
  <si>
    <t>Programiroda - városi nagyrendezvények</t>
  </si>
  <si>
    <t>Regőczi István Alapítvány - Covid árvák megsegítésének támogatása</t>
  </si>
  <si>
    <r>
      <t xml:space="preserve">TOP-7.1.1-16-H-ESZA-202-01419 </t>
    </r>
    <r>
      <rPr>
        <sz val="10"/>
        <rFont val="Palatino Linotype"/>
        <family val="1"/>
        <charset val="238"/>
      </rPr>
      <t>Veszprém Vár múltjának interaktív bemutatása</t>
    </r>
  </si>
  <si>
    <t>ebből: - Európa Kulturális Főváros XX. ütem</t>
  </si>
  <si>
    <t>Sport és Élsport</t>
  </si>
  <si>
    <t>Szabadidő- és Diáksport</t>
  </si>
  <si>
    <t>Programiroda Kft. - kulturális, művészeti rendezvények támogatása</t>
  </si>
  <si>
    <t>Könyvtári könyvek, egyéb doc. (CD, DVD stb.) jogszabályi előírás szerint</t>
  </si>
  <si>
    <t>Tűzjelző rendszer megvalósítás</t>
  </si>
  <si>
    <t>Gépkocsi gumiabroncs beszerzés</t>
  </si>
  <si>
    <t>Csereerdő telepítés - Márkó-Bánd kerékpárút</t>
  </si>
  <si>
    <t>Előirányzat csoport / Kiemelt előirányzat neve</t>
  </si>
  <si>
    <t>Helyi önkormányzatok működésének általános támogatása</t>
  </si>
  <si>
    <t>Települési önkormányzatok egyes köznevelési feladatainak támogatása</t>
  </si>
  <si>
    <t>Települési önkormányzatok egyes szociális és gyermekjóléti feladatainak támogatása</t>
  </si>
  <si>
    <t>Települési önkormányzatok kulturális feladatainak támogatása</t>
  </si>
  <si>
    <t>Elszámolásból származó bevételek</t>
  </si>
  <si>
    <t>Települési önkormányzatok gyermekétkeztetési feladatainak támogatása</t>
  </si>
  <si>
    <t>Epipen injekció biztosítása gyermekjóléti, köznevelési intézményekben és házi gyermekorvosi rendelőkben</t>
  </si>
  <si>
    <t xml:space="preserve">    eredeti előirányzat</t>
  </si>
  <si>
    <t>Választókerületi keretek</t>
  </si>
  <si>
    <t>Humanitárius katasztrófa miatt érkező menekültek elhelyezési költségei</t>
  </si>
  <si>
    <t>Sportmarketing</t>
  </si>
  <si>
    <t>Veszprém-Gyulafirátót Pásztor utca feletti csapadékvíz elöntés védekezés és kárelhárítás költségeire</t>
  </si>
  <si>
    <t>Veszprém monográfia tárhely</t>
  </si>
  <si>
    <t>Népi építészeti Program - Bakonyi Ház megújítása</t>
  </si>
  <si>
    <t>Humanitárius katasztrófa miatt érkező menekültek ellátási (élelmezési) költségei</t>
  </si>
  <si>
    <t>Telefonbeszerzések</t>
  </si>
  <si>
    <t xml:space="preserve"> - Választókerületi keret</t>
  </si>
  <si>
    <t xml:space="preserve"> - Működési kiadásokra képzett céltartalék </t>
  </si>
  <si>
    <t>Tirat Carmel utca kisajátítás</t>
  </si>
  <si>
    <t>Erdőtelepítés</t>
  </si>
  <si>
    <t>10 000 lakos feletti önkormányzatok energiaáremelkedés miatti támogatás</t>
  </si>
  <si>
    <t>TOP Plusz 1.3-1-21_VEI_2022-00002 Veszprém város fenntartható városfejlesztési stratégiái</t>
  </si>
  <si>
    <t>V-Busz Kft. - autóbusz vásárlás beruházási hitel tőketörlesztése</t>
  </si>
  <si>
    <t xml:space="preserve">           Menekültek megsegítésére nyújtott adomány</t>
  </si>
  <si>
    <t xml:space="preserve">Kisértékű tárgyi eszköz beszerzések </t>
  </si>
  <si>
    <t>ebből:  -Vár Ucca Műhely támogatása</t>
  </si>
  <si>
    <t>Teljes költség**</t>
  </si>
  <si>
    <t>Környezetvédelmi Alap bevételei</t>
  </si>
  <si>
    <t>Fakivágási kompenzáció bevételei</t>
  </si>
  <si>
    <t>Polgármesteri Hivatal közhatalmi bevételei</t>
  </si>
  <si>
    <t xml:space="preserve"> - Zöldfelületek minőségi megőrzésének kiadásaira (fakivágási kompenzáció)</t>
  </si>
  <si>
    <t xml:space="preserve"> - Településrendezési szerződésből befolyt összeg</t>
  </si>
  <si>
    <t xml:space="preserve"> - Beruházási kiadásokra képzett céltartalék/lakásalap                     </t>
  </si>
  <si>
    <t xml:space="preserve"> - Beruházási kiadásokra képzett céltartalék</t>
  </si>
  <si>
    <t>Urbact fenntartható városfejlesztési hálózat IV. "BiodiverCity" - városi biológiai sokféleség megőrzése, minőségi támogatása és fejlesztése - dologi kiadások</t>
  </si>
  <si>
    <t>Urbact fenntartható városfejlesztési hálózat IV. "NextGen Youth Work" - ifjúságszakmai fejlesztések a fiatalok bevonásának és a digitalizáció előnyeinek tudatosítás és kihasználása az ifjúsági munkások körében - dologi kiadások</t>
  </si>
  <si>
    <t>2023. évi tény</t>
  </si>
  <si>
    <t>Urbact fenntartható városfejlesztési hálózat IV. "BiodiverCity" - városi biológiai sokféleség megőrzése, minőségi támogatása és fejlesztése</t>
  </si>
  <si>
    <t>Urbact fenntartható városfejlesztési hálózat IV. "NextGen Youth Work" - ifjúságszakmai fejlesztések a fiatalok bevonásának és a digitalizáció előnyeinek tudatosítás és kihasználása az ifjúsági munkások körében</t>
  </si>
  <si>
    <t>Interreg Danube NONA</t>
  </si>
  <si>
    <t>Interreg Europa RROXIMITIES</t>
  </si>
  <si>
    <t>Driving Urban Transition SUMODO</t>
  </si>
  <si>
    <t>Köztéri műalkotások rekonstrukciója</t>
  </si>
  <si>
    <t>Kádártai Faluház</t>
  </si>
  <si>
    <t>Dózsa Könyvtár melléképület felújítása</t>
  </si>
  <si>
    <t>Fűtési rendszer felújítása</t>
  </si>
  <si>
    <t>Dubniczay-palota (Vár u. 29.)</t>
  </si>
  <si>
    <t>Fűtésrendszer korszerűsítése</t>
  </si>
  <si>
    <t>Kertészeti felújítások, őszi fásítás tervezése és kivitelezése</t>
  </si>
  <si>
    <t>Szociális bérlakás felújítások</t>
  </si>
  <si>
    <t>ebből: - VeszprémFest</t>
  </si>
  <si>
    <t xml:space="preserve">          - Kabóciádé</t>
  </si>
  <si>
    <t xml:space="preserve">          - Rátonyi Róbert Operettfesztivál</t>
  </si>
  <si>
    <t xml:space="preserve">          - Lélektől Lélekig</t>
  </si>
  <si>
    <t xml:space="preserve">          - Brusznyai Árpád évfordulós kötet kiadása</t>
  </si>
  <si>
    <t xml:space="preserve">          - Veszprémi Várostörténeti Monográfia előkészítése</t>
  </si>
  <si>
    <t xml:space="preserve">          - Darcsi István - Veszprém város sporttörténete</t>
  </si>
  <si>
    <t xml:space="preserve">          - Senior Kisokos</t>
  </si>
  <si>
    <t xml:space="preserve">          - Négy évszak a Bakonyban</t>
  </si>
  <si>
    <t xml:space="preserve"> - Gárdonyi Zoltán Zenekarért Alapítvány</t>
  </si>
  <si>
    <t>Magyar Kórusok találkozója</t>
  </si>
  <si>
    <t>Filharmónia koncertek támogatása</t>
  </si>
  <si>
    <t>Oktatási intézmények támogatása</t>
  </si>
  <si>
    <t xml:space="preserve">            - Nyugdíjas találkozó</t>
  </si>
  <si>
    <t xml:space="preserve">           - Ifjúsági koncepció megvalósításának végrehajtása</t>
  </si>
  <si>
    <t xml:space="preserve">           - Ifjúsági kötelező feladatok ellátása</t>
  </si>
  <si>
    <t xml:space="preserve">         - Letelepedési támogatás</t>
  </si>
  <si>
    <t>Keresztény Értelmiségek támogatása</t>
  </si>
  <si>
    <t>Szabad-Sajtó Kulturális és Ifjúsági Közhasznú Egyesület</t>
  </si>
  <si>
    <t>Veszprémi Rendőrkapitányság támogatása</t>
  </si>
  <si>
    <t>Nobel program támogatása</t>
  </si>
  <si>
    <t>Diabetes Világnap</t>
  </si>
  <si>
    <t>Hulladékkezelés költsége</t>
  </si>
  <si>
    <t>Ipari és gyártási szakirányú pályaorientációs foglalkozások tartása</t>
  </si>
  <si>
    <t>Swing-Swing Kft. - Családika program</t>
  </si>
  <si>
    <t>Magyar Lélek Alapítvány támogatása</t>
  </si>
  <si>
    <t>Beruházásokhoz kapcsolódó költöztetési feladatok</t>
  </si>
  <si>
    <t>Országos Mentőszolgálat</t>
  </si>
  <si>
    <t>Alkohol és Drogsegély Ambulancia Napsugár Klub</t>
  </si>
  <si>
    <t>Jutasi 100 emlékprogram</t>
  </si>
  <si>
    <t>Brusznyai Árpád születésének 100. évfordulója</t>
  </si>
  <si>
    <t>Szeglethy György születésének 170. évfordulója</t>
  </si>
  <si>
    <t>"Digitális élményközpontok hálózatának kialakítása és központi minőségbiztosítása" projekt üzemeltetési költsége</t>
  </si>
  <si>
    <t>Szent Imre Alapítvány támogatása</t>
  </si>
  <si>
    <t>Építész Kiállítás 2024 támogatása</t>
  </si>
  <si>
    <t>Pegazus Színház Közhasznú Nonprofit Kft. támogatása</t>
  </si>
  <si>
    <t>Kulturális kínálat bővítés</t>
  </si>
  <si>
    <t>Beruházásokhoz kapcsolódó ingatlanrendezési feladatok</t>
  </si>
  <si>
    <t>Veszprémi új Városi Jégcsarnok építése</t>
  </si>
  <si>
    <t>Helyi védett épületek bejegyzése</t>
  </si>
  <si>
    <t>Veszprém 8713/2 hrsz.-ú – természetben a Veszprém Sportuszoda és az Aréna között található – ingatlanból kialakuló 10.958 m² nagyságú „kivett beépítetlen terület” megnevezésű ingatlan elidegenítése</t>
  </si>
  <si>
    <t xml:space="preserve">Szán utca - Méhes  u. csapadékvíz elvezetés (útrek. előtt) I. ütem: Cs-1-0-0 </t>
  </si>
  <si>
    <t>Veszprém, Batthyány Lajos utca parkoló tervezés</t>
  </si>
  <si>
    <t>Veszprém-Gyulafirátót Északi fejlesztési terv úthálózat fejlesztés tervezés</t>
  </si>
  <si>
    <t>Bakony Társasház belső gáz és központifűtés rendszer felújítása, valamint villamos hálózat felújításának tervezési munkái</t>
  </si>
  <si>
    <t>Dubniczay-palota (Vár u. 29.) homlokzat és nyílászáró felújítás</t>
  </si>
  <si>
    <t>VKTT Egyesített Szociális Intézmény 2. sz. Idősek Otthona (Völgyikút u. 2.) lift korszerűsítése (csere)</t>
  </si>
  <si>
    <t>Sólyi utca parkoló kialakítása</t>
  </si>
  <si>
    <t>Útkataszter I. ütem</t>
  </si>
  <si>
    <t>Támfalkataszter elkészítése</t>
  </si>
  <si>
    <t>Energetikai korszerűsítés tervezése</t>
  </si>
  <si>
    <t>Vilonyai utcában meglévő párhuzamos parkolók átépítése</t>
  </si>
  <si>
    <t>Török Ignác utcában lévő parkoló csapadékvíz elvezetésének megoldása (tervezés, engedélyezés, kivitelezés)</t>
  </si>
  <si>
    <t>Veszprém települési és turisztikai kártya</t>
  </si>
  <si>
    <t>Kemecse utcában meglévő gyalogátkelő átalakítása</t>
  </si>
  <si>
    <t>Gyulafirátót településrészen meglévő játszótérhez járda tervezése, engedélyezése</t>
  </si>
  <si>
    <t>Wass Albert szobor elhelyezése közterületen</t>
  </si>
  <si>
    <t>Millenniumi Emlékmű új helyszínen történő felállítása</t>
  </si>
  <si>
    <t>Veszprém, Ibolya utcában járda kialakításának tervezés, hatósági ügyintézés</t>
  </si>
  <si>
    <t xml:space="preserve"> - ebből: 1. vk. Veszprém-Gyulafirátót Római Katolikus Templom (Nepomuki Szent János-templom elemi károk elhárításához javasolt összeg)</t>
  </si>
  <si>
    <t xml:space="preserve">Kisértékű tárgyi eszközök beszerzése </t>
  </si>
  <si>
    <t>Iskolavédőnők, iskolaorvosok, háziorvosi praxisok</t>
  </si>
  <si>
    <t>Számítástechnikai eszközök beszerzése</t>
  </si>
  <si>
    <t>Kisértékű tárgyi eszközök beszerzése</t>
  </si>
  <si>
    <t>Polcrendszer bővítés</t>
  </si>
  <si>
    <t>Leltározási program beszerzés</t>
  </si>
  <si>
    <t xml:space="preserve"> - Közüzemi költségekre képzett céltartalék</t>
  </si>
  <si>
    <t xml:space="preserve">         - Városi Szemle folyóirat kiadása - Veszprémi Szemle Várostörténeti Közhasznú Alapítvány</t>
  </si>
  <si>
    <t xml:space="preserve">          - Szeglethy György kötet kiadásának támogatása (Veszprémi Szemle Várostörténeti KHA)</t>
  </si>
  <si>
    <t>V-Bike közbringa rendszer üzemeltetése (közszolgáltatási feladatok II.)</t>
  </si>
  <si>
    <t>Szolgáltatás vásárlás (közszolgáltatási feladatok I.)</t>
  </si>
  <si>
    <t>Városi fenntarthatósággal összefüggő feladatok ellátása</t>
  </si>
  <si>
    <t xml:space="preserve">Egyéb működési bevételek </t>
  </si>
  <si>
    <t>Működési célú költségvetési maradvány igénybevétele</t>
  </si>
  <si>
    <t xml:space="preserve"> - Víziközmű fejlesztés</t>
  </si>
  <si>
    <t xml:space="preserve">          - Tóth József - Tóth Józsi egy diszkós kalandjai a Bakony Művektől Barbadosig című könyv támogatása</t>
  </si>
  <si>
    <t>Beruházásokhoz kapcsolódó energetikai tanúsítvány</t>
  </si>
  <si>
    <t>"Kapaszkodó" Mentálhigiénés Egyesület támogatása</t>
  </si>
  <si>
    <t>Településképi Arculati Kézikönyv és Településképi rendelet módosítása</t>
  </si>
  <si>
    <t>Fixre telepített sebességmérő (traffipax) - Gyulafirátótra</t>
  </si>
  <si>
    <t>Művészetek Háza Veszprém épületeinek felújítása (tetőhéjalás javítás, homlokzat felújítás, nyílászáró csere)</t>
  </si>
  <si>
    <t>Földutak és nagyfelületű útfelújítások</t>
  </si>
  <si>
    <t>2024. évi eredeti előirányzat</t>
  </si>
  <si>
    <t>Mikszáth Kálmán u. 13. épület külső főfalainak víztelenítése</t>
  </si>
  <si>
    <t>Ister DTP Interreg Projekt</t>
  </si>
  <si>
    <t xml:space="preserve">          - Erős Hit, Erős Akarat c. kötet kiadásának támogatása (Veszprémi Szemle Várostörténeti KHA)</t>
  </si>
  <si>
    <t>Német Nemzetiségi Önk. helyiségének bérleti díja</t>
  </si>
  <si>
    <t>Kittenberger K. Növény- és Vadaspark Nonprofit Kft. működéséhez hozzájárulás</t>
  </si>
  <si>
    <t>Vagyongazdálkodással és ingatlanhasznosítással összefüggő fel. (földhivatali eljárások, vagyonértékelés)</t>
  </si>
  <si>
    <t>Volánbusz Zrt. szolgáltató részére elővárosi és regionális járatokon történő helyi személyszállítási közszolgáltatási feladatok ellátásához hozzájárulás</t>
  </si>
  <si>
    <t>Közterület-felügyelet</t>
  </si>
  <si>
    <t>Handball Team Zrt. szolgáltatás vásárlás</t>
  </si>
  <si>
    <t xml:space="preserve">2027. évi Tájékozódási Futó Világbajnokság </t>
  </si>
  <si>
    <t>Fal- és tetőbeázás megszüntetése (utcafront felöli fal, AM mosdó)</t>
  </si>
  <si>
    <t>Tulajdonosi bevételek</t>
  </si>
  <si>
    <t>Élhetőbb Rátótért Egyesület</t>
  </si>
  <si>
    <t>2025. évi előirányzat</t>
  </si>
  <si>
    <t>2025. év utáni javaslat</t>
  </si>
  <si>
    <t>Kutyafuttató park kialakítás</t>
  </si>
  <si>
    <t>ReAct Veszprém a fenntarthatóság útján - Erasmus+ Ifjúsági részvételi tevékenységek</t>
  </si>
  <si>
    <t>TOP_Plusz-6.1.4-23--VE-2024-00001 Aktív turizmus fejlesztése a Bakony térségben</t>
  </si>
  <si>
    <t>Nemzetközi projektek projekten belül el nem számolható költségei</t>
  </si>
  <si>
    <t xml:space="preserve">Interreg Európa Program "HEROES" Projekt </t>
  </si>
  <si>
    <t>Európai Városi Kezdeményezés (EUI) SATECH-FOR-FOODHUB projekt</t>
  </si>
  <si>
    <t>Európai Városi Kezdeményezés (EUI) FOOTPRINTS transzfer projekt</t>
  </si>
  <si>
    <t>Erasmus+ KA153YOU: mobilitás ifjúsági munkások számára</t>
  </si>
  <si>
    <t>NETZero Cites - Twin City pályázati program</t>
  </si>
  <si>
    <t>Felsőörsi raktárbázis nyílászáró csere</t>
  </si>
  <si>
    <t>Önkormányzati ingatlan energetikai célú felújítása</t>
  </si>
  <si>
    <t>HÉSZ Településterv felülvizsgálat</t>
  </si>
  <si>
    <t>Szabadság tér közmű- és útrekonstrukció</t>
  </si>
  <si>
    <t>Városrész közlekedési koncepció elkészítése</t>
  </si>
  <si>
    <t>Szabadságpusztai kemence</t>
  </si>
  <si>
    <t>Veszprém 4086/87 hrsz.-ú ingatlan egy része tulajdonjogának adásvétel jogcímén történő megvásárlása</t>
  </si>
  <si>
    <t>Mentálhigiénés nappali ellátás kiépítése a Török Ignác utcai idősellátó egységhez kapcsolódóan és a Hóvirág utcai idősellátás korszerűsítése, demens nappali mentálhigiénés ellátás feltételrendszerének kialakításával</t>
  </si>
  <si>
    <t>Új nappali foglalkoztató létesítése fogyatékkal élő felnőttek számára a Kőhíd utcában</t>
  </si>
  <si>
    <t>Jutasi út-Kopácsi utca, Jutasi út-Bagolyvári út körforgalom</t>
  </si>
  <si>
    <t>Veszprém, Uszoda átalakítása Futsal csarnokká - koncepcióterv készítése</t>
  </si>
  <si>
    <t>Deák Ferenc u. 13. számú ingatlan energetikai fejlesztése</t>
  </si>
  <si>
    <t>Egyetemváros területén járda tervezés</t>
  </si>
  <si>
    <t>Szél utca gyalogátkelő tervezés</t>
  </si>
  <si>
    <t>Ady Endre utcában parkoló átalakításának tervezése</t>
  </si>
  <si>
    <t>Veszprém Ibolya utcában járda kialakítása</t>
  </si>
  <si>
    <t>Felnőtt háziorvosi rendelők akadálymentesítése</t>
  </si>
  <si>
    <t>Görgey Artúr utca kutyafuttató közvilágítás bővítése</t>
  </si>
  <si>
    <t>Zirci utcai temetőnél járda és lépcső építése</t>
  </si>
  <si>
    <t>Mártírok úti parkolóház építése</t>
  </si>
  <si>
    <t>Fenntartható humán fejlesztések (ESZA)</t>
  </si>
  <si>
    <t>Veszprém Aréna-Veszprém Sportuszoda közötti út építése</t>
  </si>
  <si>
    <t>Kék infrastruktúra</t>
  </si>
  <si>
    <t>Belterületi útfejlesztés</t>
  </si>
  <si>
    <t>Általános iskolák rekonstrukciós munkái</t>
  </si>
  <si>
    <t>Agóra Veszprém Kulturális Központ - Agóra tantermek kialakítása</t>
  </si>
  <si>
    <t>Zirci utca gyalogátkelő tervezés</t>
  </si>
  <si>
    <t>Veszprémi Ringató és Csillag óvodák klímabeszerzése</t>
  </si>
  <si>
    <t>Városháza "A" épület nyílászáró csere</t>
  </si>
  <si>
    <t>Március 15. utcában található 30507/90 hrsz.-ú ingatlanon lévő uszoda funkcióváltása és felújítása</t>
  </si>
  <si>
    <t>Szabadság tér - Adóiroda vizesblokk felújítása</t>
  </si>
  <si>
    <t xml:space="preserve">         - Gyárkert Fesztivál</t>
  </si>
  <si>
    <t xml:space="preserve">         - Veszprémi Régizenei Napok</t>
  </si>
  <si>
    <t>Területfejlesztési Alapba történő befizetési kötelezettség</t>
  </si>
  <si>
    <t xml:space="preserve">Peres ügyek, kártérítési díjak </t>
  </si>
  <si>
    <t>Zöldkár helyreállítások ellátása</t>
  </si>
  <si>
    <t>Uszodajárat támogatása</t>
  </si>
  <si>
    <t>Agyhártyagyulladás elleni védőoltás középiskolai tanulmányait adott évben megkezdő gyermekek részére</t>
  </si>
  <si>
    <t>Helyi Esélyegyenlőségi Program intézkedési tervében foglalt feladatok</t>
  </si>
  <si>
    <t>Idősügyi Koncepció intézkedési tervében foglalt feladatok</t>
  </si>
  <si>
    <t>Veszprém Podcast</t>
  </si>
  <si>
    <t>Kamaszbarát Önkormányzat cím megpályázása</t>
  </si>
  <si>
    <t>Otthonra találni a művészetben projekt támogatása</t>
  </si>
  <si>
    <t>Részvételi költségvetés</t>
  </si>
  <si>
    <t>European Urban Initiative, „TOPIC 2: Technology in cities” pályázat benyújtása</t>
  </si>
  <si>
    <t>Adventi programok</t>
  </si>
  <si>
    <t>Téli Gyárkert 2024.</t>
  </si>
  <si>
    <t>Sportrégió pályázat</t>
  </si>
  <si>
    <t>Belföldi értékpapír beváltása, visszavásárlása</t>
  </si>
  <si>
    <t>2025. évi eredeti előirányzat</t>
  </si>
  <si>
    <t>2025. évi   eredeti előirányzat</t>
  </si>
  <si>
    <t>Belföldi értékpapír vásárlása</t>
  </si>
  <si>
    <t>2023. évi              tény</t>
  </si>
  <si>
    <t>Európa Kulturális Fővárosa 2023 beruházások előkészítése (önerő)</t>
  </si>
  <si>
    <t xml:space="preserve">Via Calvaria Program </t>
  </si>
  <si>
    <t>Önkormányzati épületek energiahatékonysági vizsgálata</t>
  </si>
  <si>
    <t>Pannon Kultúrklub támogatása</t>
  </si>
  <si>
    <t>Veszprém - Rovaniemi testvérvárosi kapcsolat 50 éves jubileumi támogatása</t>
  </si>
  <si>
    <t>Szilágyi Táncegyüttes Alapítvány támogatása</t>
  </si>
  <si>
    <t>AutiSpektrum Egyesület támogatása</t>
  </si>
  <si>
    <t>Sportrégió pályázat regisztrációs díja</t>
  </si>
  <si>
    <t>Minerva Tanulási Alapítvány támogatása</t>
  </si>
  <si>
    <t>Pannon Egyetem támogatása</t>
  </si>
  <si>
    <t>2025. évi bevételi előirányzat</t>
  </si>
  <si>
    <t>2025. évi kiadási előirányzat</t>
  </si>
  <si>
    <t>Feladatellátás                            jellege</t>
  </si>
  <si>
    <t>2023. évi           tény</t>
  </si>
  <si>
    <r>
      <t xml:space="preserve">Kisértékű tárgyi eszközök beszerzése </t>
    </r>
    <r>
      <rPr>
        <i/>
        <sz val="10"/>
        <rFont val="Palatino Linotype"/>
        <family val="1"/>
        <charset val="238"/>
      </rPr>
      <t>(főzőzsámoly)</t>
    </r>
  </si>
  <si>
    <t>15. sz. háziorvosi körzetbe bútorzat és informatikai eszközök, valamint Komakút téri fogorvosi rendelőkbe fogászati gépek beszerzése</t>
  </si>
  <si>
    <r>
      <t xml:space="preserve">Tárgyi eszközök beszerzése </t>
    </r>
    <r>
      <rPr>
        <i/>
        <sz val="10"/>
        <rFont val="Palatino Linotype"/>
        <family val="1"/>
        <charset val="238"/>
      </rPr>
      <t>(munkaállomások)</t>
    </r>
  </si>
  <si>
    <t>Európa Ege c. fotóművészeti alkotás - NKA pályázati támogatásból</t>
  </si>
  <si>
    <t>Képzőművészeti alkotás - NKA pályázati támogatásból</t>
  </si>
  <si>
    <t>Korszerű technikák, technológiai eszközök - NKA pályázati támogatásból</t>
  </si>
  <si>
    <t>Tegulárium Téglagyűjtemény eszközbeszerzés -  NKA pályázati támogatásból</t>
  </si>
  <si>
    <t>9 személyes kisbusz beszerzése</t>
  </si>
  <si>
    <t>Tehergépjármű raktérburkolás</t>
  </si>
  <si>
    <r>
      <t xml:space="preserve">Tárgyi eszköz beszerzés </t>
    </r>
    <r>
      <rPr>
        <i/>
        <sz val="10"/>
        <rFont val="Palatino Linotype"/>
        <family val="1"/>
        <charset val="238"/>
      </rPr>
      <t>(munkaállomások)</t>
    </r>
  </si>
  <si>
    <t>Bútorok, székek beszerzése</t>
  </si>
  <si>
    <t>5 személyes személygépkocsi vásárlás</t>
  </si>
  <si>
    <t>7 személyes kisbusz vásárlás</t>
  </si>
  <si>
    <r>
      <t xml:space="preserve">Országos Dokumentumellátó Rendszer eszközbeszerzés </t>
    </r>
    <r>
      <rPr>
        <i/>
        <sz val="10"/>
        <rFont val="Palatino Linotype"/>
        <family val="1"/>
        <charset val="238"/>
      </rPr>
      <t>(könyvtári könyvek beszerzése)</t>
    </r>
  </si>
  <si>
    <t xml:space="preserve"> - Orlandó Énekegyüttes</t>
  </si>
  <si>
    <t>Európa Kulturális Fővárosa</t>
  </si>
  <si>
    <t>MKSZ Kézilabdacsarnok 2024. évi közüzemi díjak finanszírozása</t>
  </si>
  <si>
    <t>Komplex Integrált Települési Vízgazdálkodási Terv (ITVT) és komplex Vízrendezési akcióterv (VAT) és Fenntartható Városi Mobilitás Terv (SUMP) felülvizsgálat</t>
  </si>
  <si>
    <t>EKF 2024 kísérőprogramjai és utókommunikációja</t>
  </si>
  <si>
    <t>VESZOL - Veszprém, Pápai u. 37. sz. munkásszálló működtetési feladatai</t>
  </si>
  <si>
    <t>Csizmadia kerámiák restaurálása és elhelyezése</t>
  </si>
  <si>
    <t>XXVI. Magyar Ingatlanfejlesztési Nívódíj pályázat részvételi díja</t>
  </si>
  <si>
    <t>Köztéri szobrok, emléktáblák, lektorátus - Enn Uibo szobor</t>
  </si>
  <si>
    <t>Közművelődési szolgáltatás</t>
  </si>
  <si>
    <t>Veszprémi Családsegítő és Gyermekjóléti Integrált Int.</t>
  </si>
  <si>
    <t>Helikoni Ünnepségek Keszthelyen</t>
  </si>
  <si>
    <t>Önkormányzati Intézmények  működési célú támogatások Áht.-n belülről</t>
  </si>
  <si>
    <t xml:space="preserve">           Helyi Környezetvédelmi Alap bevételei</t>
  </si>
  <si>
    <t>Felhalmozási célú támogatások Áht.-n belülről</t>
  </si>
  <si>
    <t>Önkormányzati Intézmények felhalmozási célú támogatások Áht.-n belülről</t>
  </si>
  <si>
    <t xml:space="preserve"> - Intézményi felmentési idő, jub. jut., végkielégítés és működési kiadások</t>
  </si>
  <si>
    <t xml:space="preserve"> - Helyi Környezetvédelmi Alap</t>
  </si>
  <si>
    <t>Felhalmozási célú támogatás Áht.-n belülről</t>
  </si>
  <si>
    <t>Működési célú támogatás Áht.-n belülről</t>
  </si>
  <si>
    <t>Eötvös Károly Könyvtár</t>
  </si>
  <si>
    <t>Könyvtár kistelepülési könyvtári és közművelődési célú kiegészítő állami támogatás</t>
  </si>
  <si>
    <t>Munk.a. terh. jár. és szoc. hj. adó</t>
  </si>
  <si>
    <t>Veszprémi Kistérség Többcélú Társulásának pénzeszköz átadás (Egyesített Szoc. Int.)</t>
  </si>
  <si>
    <t>V-Busz Kft.</t>
  </si>
  <si>
    <t>Kapcsolat 96 Mentálhigiénés Egyesület</t>
  </si>
  <si>
    <t>2025. évi Tour de Hongrie támogatása</t>
  </si>
  <si>
    <t>Teljesítés                      2023.          12. 31-ig</t>
  </si>
  <si>
    <t>Ingatlanrendezési ügyek (kisajátítások, más célú haszn., humuszvédelmi terv, erdővédelmi járulék)</t>
  </si>
  <si>
    <t>Veszprém 0393/1 hrsz.-ú ingatlanon tervezett Állatvédelmi Kompetenciaközpont megépítése érdekében szükséges, szabályozási tervben foglalt út funkciójú ingatlan kisajátítás</t>
  </si>
  <si>
    <t>Közvilágítás bővítések (tervezés, kivitelezés) 2011. évi CLXXXIX. törvény</t>
  </si>
  <si>
    <t>Stadion utca 3-5. számú épületeknél parkoló tervezés</t>
  </si>
  <si>
    <t>Energiamenedzsment pályázat benyújtása</t>
  </si>
  <si>
    <t xml:space="preserve">TOP+ Általános iskolák pályázati megalapozó dokumentációk elkészítése </t>
  </si>
  <si>
    <t>Teljesítés 2023. 12. 31-ig</t>
  </si>
  <si>
    <t>Teljesítés                      2023.          12. 31.-ig**</t>
  </si>
  <si>
    <t xml:space="preserve">          - Szabad Sajtó Kulturális és Ifjúsági Közhasznú Egyesület - Veszprém Portré magazin</t>
  </si>
  <si>
    <t>2025. évi eredeti  előirányzat</t>
  </si>
  <si>
    <t>2024. évi        tény</t>
  </si>
  <si>
    <t>Kisértékű tárgyi eszközök beszerzése (ventilátor)</t>
  </si>
  <si>
    <t>Okostábla és állvány</t>
  </si>
  <si>
    <t>Rugós udvari játékok</t>
  </si>
  <si>
    <t>Bútorok</t>
  </si>
  <si>
    <t>Irodatechnikai gépek, berendezések</t>
  </si>
  <si>
    <t>Ajtóbehúzó</t>
  </si>
  <si>
    <t>Konyhai légkondicionáló</t>
  </si>
  <si>
    <t>Mozgásérzékelős lámpa, világítástechnika, színháztechnikai eszközök</t>
  </si>
  <si>
    <t>Kisértékű tárgyi eszközök beszerzése (konyhai és szakmai eszközök, bútorok)</t>
  </si>
  <si>
    <t>Kisértékű tárgyi eszközök beszerzése (szakmai eszközök, bútorok)</t>
  </si>
  <si>
    <t>Külső adattároló</t>
  </si>
  <si>
    <r>
      <t xml:space="preserve">Tárgyi eszközök beszerzése </t>
    </r>
    <r>
      <rPr>
        <i/>
        <sz val="10"/>
        <rFont val="Palatino Linotype"/>
        <family val="1"/>
        <charset val="238"/>
      </rPr>
      <t>(mikrohullámú sütő)</t>
    </r>
  </si>
  <si>
    <t>Számítógépek, munkaállomások</t>
  </si>
  <si>
    <t>Informatikai eszközök beszerzése (önkölcsönző, telefon, nyomtató, vonalkódolvasó, laptop, szervergép, RFID olvasó, hangfal)</t>
  </si>
  <si>
    <t>Tárgyi eszköz beszerzés ( lamináló, takarítógép, ventilátor, lapvágó, hűtő, árnyékoló szalagfüggöny, vágógép, hősugárzó, állományvédelmi kapu, telefontöltő állomás)</t>
  </si>
  <si>
    <t>Bútorbeszerzés (asztal, szék, polc, irodai szék, fotel)</t>
  </si>
  <si>
    <t>Kis földmunkagép</t>
  </si>
  <si>
    <t>Zuhanyzók kialakítása</t>
  </si>
  <si>
    <t xml:space="preserve">Személygépkocsi vásárlás </t>
  </si>
  <si>
    <t>Térfigyelő rendszer fejlesztése</t>
  </si>
  <si>
    <t>Eötvös Károly Könyvtár fűtési rendszerébe tágulási tartály beszerzése</t>
  </si>
  <si>
    <t>Hatósági engedélyek beszerzése, hatályban tartása, E-építési napló rendszerhasználati díja</t>
  </si>
  <si>
    <t xml:space="preserve">Köztéri szobrok, emléktáblák, lektorátus </t>
  </si>
  <si>
    <t>Számítógép- és monitor cserék Win (11-re történő átállás)</t>
  </si>
  <si>
    <t>Wifi rendszer kiépítése (IT biztonság)</t>
  </si>
  <si>
    <t>Szervergép csere (IT biztonság, adatok mentése)</t>
  </si>
  <si>
    <t xml:space="preserve">          - Brusznyai Hangverseny</t>
  </si>
  <si>
    <t>Védőoltások támogatása</t>
  </si>
  <si>
    <t xml:space="preserve"> 2. vk. 1 db Urban pad beszerzése és kihelyezése a Haszkovó utca 25. közelében</t>
  </si>
  <si>
    <t xml:space="preserve"> 2. vk. 4 db kutyaürülék-gyűjtő edény beszerzése és kihelyezése</t>
  </si>
  <si>
    <t>11. vk. 2 db Közterületi pad elhelyezése (régi cseréje) - Kiskőrösi utca, kavicsfogú álteknős szobor mellett</t>
  </si>
  <si>
    <t>1. vk. Kádárta Faluház sportpálya pad</t>
  </si>
  <si>
    <t xml:space="preserve"> 1. vk. Játszótér - járdaépítés</t>
  </si>
  <si>
    <t xml:space="preserve"> 8. vk. Kemence telepítése Szabadságpusztára</t>
  </si>
  <si>
    <t xml:space="preserve"> 2. vk.  VKTT Egyesített Szociális Intézmény I. sz. Idősek Otthonában kerti bútor beszerzése</t>
  </si>
  <si>
    <t>2. vk. 6 db "Tiszántúli" szemétgyűjtő beszerzése és kihelyezése</t>
  </si>
  <si>
    <t xml:space="preserve"> - Esélyegyenlőségi feladatok megvalósítása</t>
  </si>
  <si>
    <t>2024. évi tény</t>
  </si>
  <si>
    <t>2024. évi     tény</t>
  </si>
  <si>
    <t>Informatikai eszközök beszerzése érdekeltségnövelő támogatásból</t>
  </si>
  <si>
    <t>2024. évi              tény</t>
  </si>
  <si>
    <t>Völgyhíd védőkorlát tervezése</t>
  </si>
  <si>
    <t>Jutas Őrmester túra</t>
  </si>
  <si>
    <t>Jutaspusztáért Egyesület támogatása - Közösségi sütőhely kialakítása Jutaspusztán</t>
  </si>
  <si>
    <t>Táplálékallergiás gyermekek részére étkeztetés biztosítása</t>
  </si>
  <si>
    <t>12.vk.támogatása Eötvös Károly Könyvtár Dózsavárosi Fiókkönyvtára - áramhálózat bővítése</t>
  </si>
  <si>
    <t>Önkormányzatiság kialakulásának évfordulója</t>
  </si>
  <si>
    <t>2024. évi              tény**</t>
  </si>
  <si>
    <t>Beruházások közműdíjai, közműszolgáltatások díjai</t>
  </si>
  <si>
    <t>VESZOL - Veszprém, Pápai u. 37. sz. munkásszálló működtetési feladatai – eszközpótlások (konyhai eszközök, felszerelések, bútorok, mosógép, szárítógép, párnák, matracok, takarók, monitor, ágyneműk, irodai eszközök, informatikai gépek, eszközök, TV, fagyasztó)</t>
  </si>
  <si>
    <t>Biztonsági kamerarendszer</t>
  </si>
  <si>
    <t>Cholnoky Jenő utca 19. szám alatti 17-18. számú felnőtt háziorvosi rendelő felújításának tervezése</t>
  </si>
  <si>
    <t>Parafa fal</t>
  </si>
  <si>
    <t>Asztali számítógép, laptopok vásárlása Windows programmal</t>
  </si>
  <si>
    <t>Informatikai eszközök, szoftverek</t>
  </si>
  <si>
    <t>Tárgyi eszközök beszerzése (összecsukható asztalok, szerszámkészletek, USB átalakítók, mikroport övek, tesztelő csomag, LED lámpák, UV derítő, gumiszőnyeg, tömlőkocsi készlet, akkus belövő, nyári gumik, fodrászcikkek, ruhagőzölő, olló, hajsütő, hajnyírógép, kefe, festőeszközök, ülepítő tartály, akkus belövő, telefonkészülékek, hűtőtáska, pohár, mosogató)</t>
  </si>
  <si>
    <t xml:space="preserve">          - Rasovszky Kristóf _ Szokolai László könyv</t>
  </si>
  <si>
    <t>SzeretFilm Stúdió Egyesület támogatása</t>
  </si>
  <si>
    <t>Orlando Egyesület támogatása</t>
  </si>
  <si>
    <t>Kisértékű tárgyieszköz beszerzés (hűtőgép, telefon, vízforraló, informatikai, szakmai eszközök)</t>
  </si>
  <si>
    <t>2025. évi módosított előirányzat 2</t>
  </si>
  <si>
    <t xml:space="preserve"> módosított előirányzat 2</t>
  </si>
  <si>
    <t xml:space="preserve">    módosított előirányzat 2</t>
  </si>
  <si>
    <t>módosított előirányzat 2</t>
  </si>
  <si>
    <t xml:space="preserve">       módosított előirányzat 2</t>
  </si>
  <si>
    <t xml:space="preserve">        módosított előirányzat 2</t>
  </si>
  <si>
    <t>Vámosi úti temető bővítése</t>
  </si>
  <si>
    <t>VKTT Egyesített Szociális Intézmény 1. számú Idősek Otthona (Török Ignác u. 10.) - További alapmegerősítések tervezése, kivitelezése</t>
  </si>
  <si>
    <t>Informatikai eszközök beszerzése - Expertbook 8 db, antenna UBiQUti Wireless A.P.</t>
  </si>
  <si>
    <t>Kisértékű tárgyi eszközök beszerzése (szakmai eszközök)</t>
  </si>
  <si>
    <t>"BiodiverCity" esőkert telepítése</t>
  </si>
  <si>
    <t>Kisértékű tárgyi eszközök beszerzése (Okos TV állvány, Flipchart tábla, spirálozó gép, iratmegsemmisítő, mágnestábla, mobil telefon, hordozható telefon, lombfújó, akkus fúró tartozékokkal, flex tartozékokkal)</t>
  </si>
  <si>
    <t>Kisértékű tárgyi eszközök beszerzése (kézikocsi, iratmegsemmisítő, számítógépek, bútorok, napvitorla)</t>
  </si>
  <si>
    <t>Kisértékű tárgyi eszközök beszerzése (iratmegsemmisítő, monitor, memória, maghőmérők, hulladéktároló edény)</t>
  </si>
  <si>
    <t>Kisértékű tárgyi eszközök beszerzése (hulladéktároló edények)</t>
  </si>
  <si>
    <t>Komakút téri fogorvosi rendelőkbe autokláv</t>
  </si>
  <si>
    <t>Kisértékű tárgyieszköz vásárlás ( nyomtató, kuka, előadás díszlet, molinók, zászlók, roll-upok és előadáshoz kapcsolódó eszközbeszerzések, létra, zászló, szerszámok, színházi műszaki berendezések)</t>
  </si>
  <si>
    <t>Mester utca környékén akcióterületi terv</t>
  </si>
  <si>
    <t>Közterületek fejlesztésének tervezése Cholnokyvárosban</t>
  </si>
  <si>
    <t>Tüzér utcában járda építése és gyalogátkelőhely kialakítása</t>
  </si>
  <si>
    <t xml:space="preserve">          - Hegyi Zoltán: Garázsmenet könyv kiadása</t>
  </si>
  <si>
    <t>Veszprém-Nagytemplom Református Egyházközség Templomkert építészeti és kertészeti rendezésének támogatása</t>
  </si>
  <si>
    <t>Megyei Jogú Városok Szövetsége - Parajdot sújtó természeti katasztrófa megsegítésére</t>
  </si>
  <si>
    <t>Csapadékvíz elvezető árkok fenntartása</t>
  </si>
  <si>
    <t>Rendőrjárőrként felvett személyek támogatása</t>
  </si>
  <si>
    <t>Mentőorvosi kocsi (MOK) beszerzése</t>
  </si>
  <si>
    <t>Veszprémi Hivatásos Tűzoltóparancsnokság részére eszközbeszerzés</t>
  </si>
  <si>
    <t>Veszprémi Rendőrkapitányság közbiztonság fejlesztése I. ütem</t>
  </si>
  <si>
    <t>Veszprém Vármegyei Csolnoky Ferenc Kórház 8200 Veszprém, Komakút tér 1. szám alatti telephelyének, egykori "SZTK" Rendelőintézetének részleges felújítása - 1. ütem (Fogadótér)</t>
  </si>
  <si>
    <t>Veszprém, Völgyikút u. 2. Idősek Otthona klímatizálása</t>
  </si>
  <si>
    <t xml:space="preserve">           - "Otthon - Veszprémben"- önálló lakhatást, letelepedést elősegítő és helyi munkavállalást ösztönző támogatás (Veszprémi Ifjúsági Közalapítvány)</t>
  </si>
  <si>
    <t xml:space="preserve">           - Veszprémi újszülöttek támogatása (Veszprémi Ifjúsági Közalapítvány)</t>
  </si>
  <si>
    <t>Beruházások</t>
  </si>
  <si>
    <t>Felújítások</t>
  </si>
  <si>
    <t>FELHALMOZÁSI KIADÁSOK MINDÖSSZESEN:</t>
  </si>
  <si>
    <t>Kisértékű tárgyi eszközök beszerzése (egér, pendrive, SSD meghajtó, router, memória, mobil telefon, játkékok, konyhai eszközök, bútorok, szőnyegek, autógumi, elektromos léghűtő berendezés)</t>
  </si>
  <si>
    <t>Árnyékolás 2 pavilon teraszán (napvitorla)</t>
  </si>
  <si>
    <t>Hóvirág Bölcsőde - Teraszárnyékoló 1 pavilonban</t>
  </si>
  <si>
    <t>Aprófalvi Bölcsőde - Árnyékoló felszerelése</t>
  </si>
  <si>
    <t>SZEOSZ - Mozgás Éjszakája 2025 program</t>
  </si>
  <si>
    <t>Felnőtt háziorvosi rendelők akadálymentesítése Veszprémben</t>
  </si>
  <si>
    <t>Amerikai Kuckó eszközbeszerzés</t>
  </si>
  <si>
    <t>Napvitorla felszerelése a Pöltenberg Ernő utcai játszótéren</t>
  </si>
  <si>
    <t xml:space="preserve"> teljesítés </t>
  </si>
  <si>
    <t xml:space="preserve"> teljesítés</t>
  </si>
  <si>
    <t xml:space="preserve">    teljesítés </t>
  </si>
  <si>
    <t xml:space="preserve">teljesítés </t>
  </si>
  <si>
    <t>teljesítés</t>
  </si>
  <si>
    <t xml:space="preserve">       teljesítés </t>
  </si>
  <si>
    <t xml:space="preserve">        teljesítés </t>
  </si>
  <si>
    <t xml:space="preserve">teljesítés  </t>
  </si>
  <si>
    <t>Teljesítés</t>
  </si>
  <si>
    <t>2025. I. félévi teljesítés</t>
  </si>
  <si>
    <t>1. melléklet</t>
  </si>
  <si>
    <t xml:space="preserve">2. melléklet </t>
  </si>
  <si>
    <t xml:space="preserve">3. melléklet </t>
  </si>
  <si>
    <t xml:space="preserve">4. melléklet </t>
  </si>
  <si>
    <t xml:space="preserve">5. melléklet </t>
  </si>
  <si>
    <t xml:space="preserve">6. melléklet </t>
  </si>
  <si>
    <t xml:space="preserve">7. melléklet </t>
  </si>
  <si>
    <t xml:space="preserve">8. melléklet </t>
  </si>
  <si>
    <t xml:space="preserve">9. melléklet </t>
  </si>
  <si>
    <t xml:space="preserve">10. melléklet </t>
  </si>
  <si>
    <t>2025. évi költségvetési bevételeinek I. félévi teljesítése</t>
  </si>
  <si>
    <t>2025. évi költségvetési kiadásainak I. félévi teljesítése</t>
  </si>
  <si>
    <t>2025. évi felhalmozási költségvetési kiadásainak I. félévi teljesítése</t>
  </si>
  <si>
    <t>Önkormányzati feladatok és egyéb kötelezettségek 2025. évi működési költségvetési kiadásainak I. félévi teljesítése</t>
  </si>
  <si>
    <t>2025. évi beruházási és egyéb felhalmozási célú kiadásinak I. félévi teljesítése</t>
  </si>
  <si>
    <t>2025. évi felújítási kiadásainak I. félévi teljesítése</t>
  </si>
  <si>
    <t>Támogatásból megvalósuló programok, projektek 2025. évi költségvetési kiadásainak I. félévi teljesítése</t>
  </si>
  <si>
    <t>KÖLTSÉGVETÉSI BEVÉTELEI ÉS KIADÁSAI 2025. I. FÉLÉVBEN</t>
  </si>
  <si>
    <t>KIMUTATÁS</t>
  </si>
  <si>
    <t>a Veszprém Megyei Jogú Város Önkormányzata támogatási szerződéssel rendelkező</t>
  </si>
  <si>
    <t xml:space="preserve"> Európai Uniós forrásból finanszírozott támogatással megvalósuló programok, projektek bevételeiről és kiadásairól az Ávr. 24. § (1) bekezdés a) pontjának és b) pont bd) alpontjának megfelelően</t>
  </si>
  <si>
    <t xml:space="preserve">A  </t>
  </si>
  <si>
    <t>Program megnevezés</t>
  </si>
  <si>
    <t>Program megvalósításának ideje</t>
  </si>
  <si>
    <t>Projekt forrás összetétel</t>
  </si>
  <si>
    <t>Projekt költség megbontás</t>
  </si>
  <si>
    <t>Projekt teljes költség</t>
  </si>
  <si>
    <t>Saját erő</t>
  </si>
  <si>
    <t>Projekthez kapcsolódó működési bevétel (ÁFA)</t>
  </si>
  <si>
    <t>EU támogatás összesen</t>
  </si>
  <si>
    <t>Előirányzat 2026-tól</t>
  </si>
  <si>
    <t>2025. évi előiráyzat</t>
  </si>
  <si>
    <t>2022-2029</t>
  </si>
  <si>
    <t>2023-2025</t>
  </si>
  <si>
    <t>2024-2026</t>
  </si>
  <si>
    <t>2024-2028</t>
  </si>
  <si>
    <t>*** A projekt a támogatási szerződés szerint részben nettó módon finanszírozott.</t>
  </si>
  <si>
    <t xml:space="preserve">11. melléklet </t>
  </si>
  <si>
    <t>Q</t>
  </si>
  <si>
    <t>R</t>
  </si>
  <si>
    <t>Karos napellenző 2 db</t>
  </si>
  <si>
    <t>Laptop 2 db</t>
  </si>
  <si>
    <t>12. vk. támogatása - készségfejlesztő eszközök beszerzésére</t>
  </si>
  <si>
    <t>Laptop 1 db</t>
  </si>
  <si>
    <t>Kisértékű tárgyi eszközök beszerzése (udvari játszóeszköz, lóca, biciklitároló, konyhai berendezések és eszközök, tálalókocsi, hűtőszekrény, mikrohullámú sütő, salgó polc, infokommunikációs és informatikai eszközök, irodaeszközök és bútorzat, székek, asztalok, szőnyeg, iratmegsemmisítő, laptopok, asztali gépek, csoportszobai eszközök és bútorzat, tornatermi eszközök és bútorok, padok, karnis)</t>
  </si>
  <si>
    <t>2. vk. támogatása - udvari eszközök beszerzésére</t>
  </si>
  <si>
    <t>10. vk. támogatása - Hársfa Tagóvoda - kerékpártároló kiépítése</t>
  </si>
  <si>
    <t>3. vk. támogatása udvari játékokra</t>
  </si>
  <si>
    <t>Napvitorla tartószerkezettel - homokozó fölé 2 db</t>
  </si>
  <si>
    <t>Informatikai eszközök beszerzése - Expertbook 8 db</t>
  </si>
  <si>
    <t>3. vk. támogatása - udvari játékokra</t>
  </si>
  <si>
    <t>7. vk. támogatása - árnyékoló beszerzésére</t>
  </si>
  <si>
    <t>Új tűzjelző rendszer kiépítése a Mikszáth K. u. 13. székhelyen</t>
  </si>
  <si>
    <t>Tűzriasztó rendszer felújítása Török I. u. 7.</t>
  </si>
  <si>
    <t>Meglévő tűzjelző rendszer felújítása a Mikszáth K. u. 13. székhelyen</t>
  </si>
  <si>
    <t>2025. európai parlamenti, helyi önkormányzati és nemzetiségi önkormányzati választások lebonyolítása / 2024. évi EPON</t>
  </si>
  <si>
    <t>2. vk. 2 db pad beszerzése és kihelyezése a Pöltenberg Ernő utcai közpark keleti részében</t>
  </si>
  <si>
    <t>2. vk. Veszprémi Deák Ferenc Általános Iskola - sorompó beszerzése és telepítése</t>
  </si>
  <si>
    <t>2. vk. VKTT Egyesített Szociális Intézmény 1.sz. Idősek Otthonában betegágy beszerzésének támogatása</t>
  </si>
  <si>
    <t>4. vk. Haszkovó u. 18. mögötti szelektív hulladékgyűjtő sziget helyén 3 állásos parkoló kialakítása</t>
  </si>
  <si>
    <t>5. vk. Március 15. úti játszótér bekerítése</t>
  </si>
  <si>
    <t>10. vk. Dózsa György Általános Iskola - Kül-és beltéri bútorok beszerzése</t>
  </si>
  <si>
    <t>12. vk. Dózsa György Általános Iskola - játszótér bővítésére</t>
  </si>
  <si>
    <t>V-Busz Kft. - Új V-Bike kerékpárok beszerzése (40 db), új V-bike állomás ActiCity, dokkolók (15 db), Jutaspuszta, Kisréti út - hiányzó burkolt buszmegálló kiadásaira</t>
  </si>
  <si>
    <t>Kossuth L. u. locsolórendszer felújítása</t>
  </si>
  <si>
    <t>adósságot keletkeztető ügyletekből származó kötelezettségei</t>
  </si>
  <si>
    <t>Euribor:1,995 %, Bubor:6,5 %</t>
  </si>
  <si>
    <t>Euribor: 1,939 %; Bubor 6,5 %</t>
  </si>
  <si>
    <t>Hitel megnevezése</t>
  </si>
  <si>
    <t>Hitelt nyújtó pénzintézet</t>
  </si>
  <si>
    <t>Hitel- szerződés dátuma</t>
  </si>
  <si>
    <t>Lejárat idő- pontja</t>
  </si>
  <si>
    <t>Hitelkeret</t>
  </si>
  <si>
    <t>Hitel-állomány  2024. 12. 31.</t>
  </si>
  <si>
    <t>Hitelfelvétel 2025</t>
  </si>
  <si>
    <t>Tőke-törlesztés 2025.I. félév</t>
  </si>
  <si>
    <t>Hitel-állomány  2025.06.30</t>
  </si>
  <si>
    <t>Tőke-törlesztés 2025.II. félév</t>
  </si>
  <si>
    <t>Hitel-állomány  2025.12.31</t>
  </si>
  <si>
    <t>Kamat 2025</t>
  </si>
  <si>
    <t>Tőke-törlesztés /Kamat- fizetés 2026</t>
  </si>
  <si>
    <t>Tőke-törlesztés /Kamat- fizetés 2027</t>
  </si>
  <si>
    <t>Tőke-törlesztés /Kamat- fizetés 2028</t>
  </si>
  <si>
    <t>Tőke-törlesztés /Kamat- fizetés 2029</t>
  </si>
  <si>
    <t>Tőke-törlesztés /Kamat- fizetés 2030</t>
  </si>
  <si>
    <t>Tőke-törlesztés /Kamat- fizetés 2031</t>
  </si>
  <si>
    <t>Tőke-törlesztés /Kamat- fizetés 2032</t>
  </si>
  <si>
    <t>Tőke-törlesztés /Kamat- fizetés 2033</t>
  </si>
  <si>
    <t>Tőke-törlesztés /Kamat- fizetés 2034</t>
  </si>
  <si>
    <t>Tőke-törlesztés /Kamat- fizetés 2035</t>
  </si>
  <si>
    <t>Kamatkondíciók</t>
  </si>
  <si>
    <t>Kamat % 2025.05.31</t>
  </si>
  <si>
    <t>Kamat % 2025.06.30</t>
  </si>
  <si>
    <t>1.</t>
  </si>
  <si>
    <t>Hitelszerződés - MFB ÖIP 2013.</t>
  </si>
  <si>
    <t>Takarékbank/MBH</t>
  </si>
  <si>
    <t>3 havi EURIBOR+RKO+2%</t>
  </si>
  <si>
    <t>MFB Refinanszírozási Szerződés</t>
  </si>
  <si>
    <t>Előtörlesztés</t>
  </si>
  <si>
    <t>2.</t>
  </si>
  <si>
    <t>Hitelszerződés - MFB ÖIP 2014</t>
  </si>
  <si>
    <t>UniCredit Bank</t>
  </si>
  <si>
    <t>3 havi EURIBOR+RKO+1,13%</t>
  </si>
  <si>
    <t>3.</t>
  </si>
  <si>
    <t>Kölcsönszerződés - Célhitel 2019</t>
  </si>
  <si>
    <t>OTP Bank</t>
  </si>
  <si>
    <t>3 havi Bubor +1,05%</t>
  </si>
  <si>
    <t>4.</t>
  </si>
  <si>
    <t>Fejlesztési hitel - 2021</t>
  </si>
  <si>
    <t>UniCreditBank</t>
  </si>
  <si>
    <t>3 havi Bubor +0,25%</t>
  </si>
  <si>
    <t>I.</t>
  </si>
  <si>
    <t>Pénzintézetekkel szemben fenálló kötelezettségek összesen</t>
  </si>
  <si>
    <t>Ebből tőketörlesztés</t>
  </si>
  <si>
    <t>Ebből kamatfizetés</t>
  </si>
  <si>
    <t xml:space="preserve">12. melléklet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</si>
</sst>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F_t_-;\-* #,##0.00\ _F_t_-;_-* &quot;-&quot;??\ _F_t_-;_-@_-"/>
    <numFmt numFmtId="165" formatCode="0.0%"/>
    <numFmt numFmtId="166" formatCode="0.000"/>
  </numFmts>
  <fonts count="61"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name val="Palatino Linotype"/>
      <family val="1"/>
      <charset val="238"/>
    </font>
    <font>
      <sz val="10"/>
      <name val="Arial"/>
      <family val="2"/>
      <charset val="238"/>
    </font>
    <font>
      <b/>
      <sz val="11"/>
      <name val="Palatino Linotype"/>
      <family val="1"/>
      <charset val="238"/>
    </font>
    <font>
      <i/>
      <sz val="11"/>
      <name val="Palatino Linotype"/>
      <family val="1"/>
      <charset val="238"/>
    </font>
    <font>
      <sz val="9"/>
      <name val="Palatino Linotype"/>
      <family val="1"/>
      <charset val="238"/>
    </font>
    <font>
      <sz val="8"/>
      <name val="Arial CE"/>
      <charset val="238"/>
    </font>
    <font>
      <sz val="12"/>
      <name val="Times New Roman"/>
      <family val="1"/>
      <charset val="238"/>
    </font>
    <font>
      <sz val="10"/>
      <name val="Palatino Linotype"/>
      <family val="1"/>
      <charset val="238"/>
    </font>
    <font>
      <b/>
      <sz val="9"/>
      <name val="Palatino Linotype"/>
      <family val="1"/>
      <charset val="238"/>
    </font>
    <font>
      <i/>
      <sz val="10"/>
      <name val="Palatino Linotype"/>
      <family val="1"/>
      <charset val="238"/>
    </font>
    <font>
      <b/>
      <sz val="10"/>
      <name val="Palatino Linotype"/>
      <family val="1"/>
      <charset val="238"/>
    </font>
    <font>
      <sz val="9"/>
      <name val="Arial CE"/>
      <charset val="238"/>
    </font>
    <font>
      <i/>
      <u/>
      <sz val="10"/>
      <name val="Palatino Linotype"/>
      <family val="1"/>
      <charset val="238"/>
    </font>
    <font>
      <b/>
      <i/>
      <sz val="10"/>
      <name val="Palatino Linotype"/>
      <family val="1"/>
      <charset val="238"/>
    </font>
    <font>
      <b/>
      <i/>
      <sz val="11"/>
      <name val="Palatino Linotype"/>
      <family val="1"/>
      <charset val="238"/>
    </font>
    <font>
      <sz val="7"/>
      <name val="Palatino Linotype"/>
      <family val="1"/>
      <charset val="238"/>
    </font>
    <font>
      <i/>
      <sz val="10"/>
      <name val="Arial CE"/>
      <charset val="238"/>
    </font>
    <font>
      <sz val="11"/>
      <name val="Arial CE"/>
      <charset val="238"/>
    </font>
    <font>
      <b/>
      <u/>
      <sz val="10"/>
      <name val="Palatino Linotype"/>
      <family val="1"/>
      <charset val="238"/>
    </font>
    <font>
      <b/>
      <u/>
      <sz val="11"/>
      <name val="Palatino Linotype"/>
      <family val="1"/>
      <charset val="238"/>
    </font>
    <font>
      <u/>
      <sz val="10"/>
      <name val="Palatino Linotype"/>
      <family val="1"/>
      <charset val="238"/>
    </font>
    <font>
      <sz val="11"/>
      <color theme="1"/>
      <name val="Calibri"/>
      <family val="2"/>
      <charset val="238"/>
      <scheme val="minor"/>
    </font>
    <font>
      <sz val="11"/>
      <color rgb="FFFF0000"/>
      <name val="Palatino Linotype"/>
      <family val="1"/>
      <charset val="238"/>
    </font>
    <font>
      <b/>
      <sz val="10"/>
      <color theme="5" tint="-0.499984740745262"/>
      <name val="Palatino Linotype"/>
      <family val="1"/>
      <charset val="238"/>
    </font>
    <font>
      <b/>
      <i/>
      <sz val="10"/>
      <color theme="5" tint="-0.499984740745262"/>
      <name val="Palatino Linotype"/>
      <family val="1"/>
      <charset val="238"/>
    </font>
    <font>
      <b/>
      <sz val="10"/>
      <color theme="5" tint="-0.499984740745262"/>
      <name val="Arial CE"/>
      <charset val="238"/>
    </font>
    <font>
      <b/>
      <i/>
      <sz val="10"/>
      <color theme="5" tint="-0.499984740745262"/>
      <name val="Arial CE"/>
      <charset val="238"/>
    </font>
    <font>
      <b/>
      <sz val="11"/>
      <color theme="5" tint="-0.499984740745262"/>
      <name val="Palatino Linotype"/>
      <family val="1"/>
      <charset val="238"/>
    </font>
    <font>
      <sz val="11"/>
      <color theme="5" tint="-0.499984740745262"/>
      <name val="Palatino Linotype"/>
      <family val="1"/>
      <charset val="238"/>
    </font>
    <font>
      <sz val="11"/>
      <color theme="1"/>
      <name val="Palatino Linotype"/>
      <family val="1"/>
      <charset val="238"/>
    </font>
    <font>
      <b/>
      <i/>
      <sz val="11"/>
      <color theme="5" tint="-0.499984740745262"/>
      <name val="Palatino Linotype"/>
      <family val="1"/>
      <charset val="238"/>
    </font>
    <font>
      <sz val="10"/>
      <color theme="5" tint="-0.499984740745262"/>
      <name val="Palatino Linotype"/>
      <family val="1"/>
      <charset val="238"/>
    </font>
    <font>
      <i/>
      <sz val="10"/>
      <color theme="5" tint="-0.499984740745262"/>
      <name val="Palatino Linotype"/>
      <family val="1"/>
      <charset val="238"/>
    </font>
    <font>
      <b/>
      <u/>
      <sz val="11"/>
      <color theme="1"/>
      <name val="Palatino Linotype"/>
      <family val="1"/>
      <charset val="238"/>
    </font>
    <font>
      <b/>
      <i/>
      <sz val="11"/>
      <color theme="1"/>
      <name val="Palatino Linotype"/>
      <family val="1"/>
      <charset val="238"/>
    </font>
    <font>
      <b/>
      <sz val="11"/>
      <color rgb="FF800000"/>
      <name val="Palatino Linotype"/>
      <family val="1"/>
      <charset val="238"/>
    </font>
    <font>
      <b/>
      <sz val="10"/>
      <color rgb="FF632523"/>
      <name val="Palatino Linotype"/>
      <family val="1"/>
      <charset val="238"/>
    </font>
    <font>
      <b/>
      <sz val="10"/>
      <color theme="9" tint="-0.499984740745262"/>
      <name val="Palatino Linotype"/>
      <family val="1"/>
      <charset val="238"/>
    </font>
    <font>
      <sz val="10.5"/>
      <name val="Palatino Linotype"/>
      <family val="1"/>
      <charset val="238"/>
    </font>
    <font>
      <sz val="12"/>
      <name val="Palatino Linotype"/>
      <family val="1"/>
      <charset val="238"/>
    </font>
    <font>
      <b/>
      <sz val="11"/>
      <color theme="1"/>
      <name val="Palatino Linotype"/>
      <family val="1"/>
      <charset val="238"/>
    </font>
    <font>
      <sz val="10"/>
      <color rgb="FF632523"/>
      <name val="Palatino Linotype"/>
      <family val="1"/>
      <charset val="238"/>
    </font>
    <font>
      <sz val="10"/>
      <color rgb="FF800000"/>
      <name val="Palatino Linotype"/>
      <family val="1"/>
      <charset val="238"/>
    </font>
    <font>
      <b/>
      <sz val="10"/>
      <color rgb="FF800000"/>
      <name val="Palatino Linotype"/>
      <family val="1"/>
      <charset val="238"/>
    </font>
    <font>
      <i/>
      <sz val="11"/>
      <color theme="5" tint="-0.499984740745262"/>
      <name val="Palatino Linotype"/>
      <family val="1"/>
      <charset val="238"/>
    </font>
    <font>
      <sz val="11"/>
      <color rgb="FF000000"/>
      <name val="Calibri"/>
      <family val="2"/>
      <charset val="238"/>
    </font>
    <font>
      <sz val="10"/>
      <color rgb="FF080808"/>
      <name val="Palatino Linotype"/>
      <family val="1"/>
      <charset val="238"/>
    </font>
    <font>
      <sz val="10"/>
      <color theme="9" tint="-0.499984740745262"/>
      <name val="Palatino Linotype"/>
      <family val="1"/>
      <charset val="238"/>
    </font>
    <font>
      <sz val="10"/>
      <name val="Times New Roman"/>
      <family val="1"/>
      <charset val="238"/>
    </font>
    <font>
      <sz val="16"/>
      <name val="Palatino Linotype"/>
      <family val="1"/>
      <charset val="238"/>
    </font>
  </fonts>
  <fills count="4">
    <fill>
      <patternFill patternType="none"/>
    </fill>
    <fill>
      <patternFill patternType="gray125"/>
    </fill>
    <fill>
      <patternFill patternType="solid">
        <fgColor theme="6" tint="0.79998168889431442"/>
        <bgColor indexed="64"/>
      </patternFill>
    </fill>
    <fill>
      <patternFill patternType="solid">
        <fgColor rgb="FFFFFFFF"/>
        <bgColor rgb="FF000000"/>
      </patternFill>
    </fill>
  </fills>
  <borders count="25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style="double">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double">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double">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thin">
        <color indexed="64"/>
      </top>
      <bottom style="thin">
        <color indexed="64"/>
      </bottom>
      <diagonal/>
    </border>
    <border>
      <left style="hair">
        <color indexed="64"/>
      </left>
      <right style="hair">
        <color indexed="64"/>
      </right>
      <top style="medium">
        <color indexed="64"/>
      </top>
      <bottom/>
      <diagonal/>
    </border>
    <border>
      <left style="double">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double">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medium">
        <color indexed="64"/>
      </top>
      <bottom/>
      <diagonal/>
    </border>
    <border>
      <left/>
      <right style="hair">
        <color indexed="64"/>
      </right>
      <top style="medium">
        <color indexed="64"/>
      </top>
      <bottom style="medium">
        <color indexed="64"/>
      </bottom>
      <diagonal/>
    </border>
    <border>
      <left/>
      <right/>
      <top/>
      <bottom style="hair">
        <color indexed="64"/>
      </bottom>
      <diagonal/>
    </border>
    <border>
      <left/>
      <right/>
      <top style="medium">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medium">
        <color indexed="64"/>
      </top>
      <bottom/>
      <diagonal/>
    </border>
    <border>
      <left/>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hair">
        <color indexed="64"/>
      </left>
      <right style="double">
        <color indexed="64"/>
      </right>
      <top style="double">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medium">
        <color indexed="64"/>
      </left>
      <right style="medium">
        <color indexed="64"/>
      </right>
      <top/>
      <bottom/>
      <diagonal/>
    </border>
    <border>
      <left style="hair">
        <color indexed="64"/>
      </left>
      <right/>
      <top style="double">
        <color indexed="64"/>
      </top>
      <bottom style="medium">
        <color indexed="64"/>
      </bottom>
      <diagonal/>
    </border>
    <border>
      <left style="hair">
        <color indexed="64"/>
      </left>
      <right/>
      <top style="medium">
        <color indexed="64"/>
      </top>
      <bottom style="medium">
        <color indexed="64"/>
      </bottom>
      <diagonal/>
    </border>
    <border>
      <left style="hair">
        <color indexed="64"/>
      </left>
      <right style="double">
        <color indexed="64"/>
      </right>
      <top/>
      <bottom style="hair">
        <color indexed="64"/>
      </bottom>
      <diagonal/>
    </border>
    <border>
      <left style="double">
        <color indexed="64"/>
      </left>
      <right style="medium">
        <color indexed="64"/>
      </right>
      <top style="hair">
        <color indexed="64"/>
      </top>
      <bottom/>
      <diagonal/>
    </border>
    <border>
      <left style="hair">
        <color indexed="64"/>
      </left>
      <right style="double">
        <color indexed="64"/>
      </right>
      <top style="hair">
        <color indexed="64"/>
      </top>
      <bottom/>
      <diagonal/>
    </border>
    <border>
      <left/>
      <right style="hair">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hair">
        <color indexed="64"/>
      </bottom>
      <diagonal/>
    </border>
    <border>
      <left style="hair">
        <color indexed="64"/>
      </left>
      <right style="double">
        <color indexed="64"/>
      </right>
      <top/>
      <bottom/>
      <diagonal/>
    </border>
    <border>
      <left style="double">
        <color indexed="64"/>
      </left>
      <right style="hair">
        <color indexed="64"/>
      </right>
      <top/>
      <bottom/>
      <diagonal/>
    </border>
    <border>
      <left style="hair">
        <color indexed="64"/>
      </left>
      <right style="double">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double">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medium">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medium">
        <color indexed="64"/>
      </top>
      <bottom/>
      <diagonal/>
    </border>
    <border>
      <left style="medium">
        <color indexed="64"/>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hair">
        <color indexed="64"/>
      </left>
      <right/>
      <top/>
      <bottom/>
      <diagonal/>
    </border>
    <border>
      <left/>
      <right style="medium">
        <color indexed="64"/>
      </right>
      <top style="double">
        <color indexed="64"/>
      </top>
      <bottom style="hair">
        <color indexed="64"/>
      </bottom>
      <diagonal/>
    </border>
    <border>
      <left style="double">
        <color indexed="64"/>
      </left>
      <right/>
      <top style="medium">
        <color indexed="64"/>
      </top>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hair">
        <color indexed="64"/>
      </bottom>
      <diagonal/>
    </border>
    <border>
      <left/>
      <right style="medium">
        <color indexed="64"/>
      </right>
      <top style="hair">
        <color indexed="64"/>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right style="medium">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hair">
        <color indexed="64"/>
      </left>
      <right style="medium">
        <color indexed="64"/>
      </right>
      <top style="double">
        <color indexed="64"/>
      </top>
      <bottom/>
      <diagonal/>
    </border>
    <border>
      <left/>
      <right/>
      <top style="thin">
        <color indexed="64"/>
      </top>
      <bottom/>
      <diagonal/>
    </border>
    <border>
      <left style="double">
        <color indexed="64"/>
      </left>
      <right/>
      <top style="medium">
        <color indexed="64"/>
      </top>
      <bottom style="hair">
        <color indexed="64"/>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style="hair">
        <color indexed="64"/>
      </left>
      <right style="double">
        <color indexed="64"/>
      </right>
      <top/>
      <bottom style="double">
        <color indexed="64"/>
      </bottom>
      <diagonal/>
    </border>
    <border>
      <left/>
      <right style="hair">
        <color indexed="64"/>
      </right>
      <top/>
      <bottom style="double">
        <color indexed="64"/>
      </bottom>
      <diagonal/>
    </border>
    <border>
      <left style="hair">
        <color indexed="64"/>
      </left>
      <right style="medium">
        <color indexed="64"/>
      </right>
      <top/>
      <bottom style="double">
        <color indexed="64"/>
      </bottom>
      <diagonal/>
    </border>
    <border>
      <left/>
      <right style="double">
        <color indexed="64"/>
      </right>
      <top style="hair">
        <color indexed="64"/>
      </top>
      <bottom style="medium">
        <color indexed="64"/>
      </bottom>
      <diagonal/>
    </border>
    <border>
      <left/>
      <right style="thin">
        <color auto="1"/>
      </right>
      <top style="medium">
        <color auto="1"/>
      </top>
      <bottom style="medium">
        <color auto="1"/>
      </bottom>
      <diagonal/>
    </border>
    <border>
      <left style="double">
        <color indexed="64"/>
      </left>
      <right style="double">
        <color indexed="64"/>
      </right>
      <top style="medium">
        <color indexed="64"/>
      </top>
      <bottom/>
      <diagonal/>
    </border>
    <border>
      <left/>
      <right style="double">
        <color auto="1"/>
      </right>
      <top style="medium">
        <color auto="1"/>
      </top>
      <bottom style="thin">
        <color auto="1"/>
      </bottom>
      <diagonal/>
    </border>
    <border>
      <left style="double">
        <color indexed="64"/>
      </left>
      <right style="double">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thin">
        <color indexed="64"/>
      </bottom>
      <diagonal/>
    </border>
    <border>
      <left style="double">
        <color indexed="64"/>
      </left>
      <right style="hair">
        <color indexed="64"/>
      </right>
      <top style="medium">
        <color indexed="64"/>
      </top>
      <bottom/>
      <diagonal/>
    </border>
    <border>
      <left style="hair">
        <color indexed="64"/>
      </left>
      <right/>
      <top style="medium">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hair">
        <color indexed="64"/>
      </top>
      <bottom/>
      <diagonal/>
    </border>
    <border>
      <left style="double">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right style="hair">
        <color indexed="64"/>
      </right>
      <top style="double">
        <color indexed="64"/>
      </top>
      <bottom style="double">
        <color indexed="64"/>
      </bottom>
      <diagonal/>
    </border>
  </borders>
  <cellStyleXfs count="59">
    <xf numFmtId="0" fontId="0" fillId="0" borderId="0"/>
    <xf numFmtId="164" fontId="16" fillId="0" borderId="0" applyFont="0" applyFill="0" applyBorder="0" applyAlignment="0" applyProtection="0"/>
    <xf numFmtId="164" fontId="17"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2" fillId="0" borderId="0" applyFont="0" applyFill="0" applyBorder="0" applyAlignment="0" applyProtection="0"/>
    <xf numFmtId="0" fontId="32" fillId="0" borderId="0"/>
    <xf numFmtId="0" fontId="16" fillId="0" borderId="0"/>
    <xf numFmtId="0" fontId="17" fillId="0" borderId="0"/>
    <xf numFmtId="0" fontId="17"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xf numFmtId="0" fontId="12" fillId="0" borderId="0"/>
    <xf numFmtId="0" fontId="10" fillId="0" borderId="0"/>
    <xf numFmtId="0" fontId="12" fillId="0" borderId="0"/>
    <xf numFmtId="0" fontId="12"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64" fontId="8" fillId="0" borderId="0" applyFont="0" applyFill="0" applyBorder="0" applyAlignment="0" applyProtection="0"/>
    <xf numFmtId="0" fontId="7" fillId="0" borderId="0"/>
    <xf numFmtId="0" fontId="7" fillId="0" borderId="0"/>
    <xf numFmtId="0" fontId="6" fillId="0" borderId="0"/>
    <xf numFmtId="0" fontId="5" fillId="0" borderId="0"/>
    <xf numFmtId="0" fontId="5" fillId="0" borderId="0"/>
    <xf numFmtId="0" fontId="4" fillId="0" borderId="0"/>
    <xf numFmtId="0" fontId="4" fillId="0" borderId="0"/>
    <xf numFmtId="164" fontId="3" fillId="0" borderId="0" applyFont="0" applyFill="0" applyBorder="0" applyAlignment="0" applyProtection="0"/>
    <xf numFmtId="164" fontId="2" fillId="0" borderId="0" applyFont="0" applyFill="0" applyBorder="0" applyAlignment="0" applyProtection="0"/>
    <xf numFmtId="0" fontId="56" fillId="0" borderId="0"/>
    <xf numFmtId="0" fontId="59" fillId="0" borderId="0"/>
    <xf numFmtId="0" fontId="59" fillId="0" borderId="0"/>
    <xf numFmtId="0" fontId="59" fillId="0" borderId="0"/>
    <xf numFmtId="164" fontId="1" fillId="0" borderId="0" applyFont="0" applyFill="0" applyBorder="0" applyAlignment="0" applyProtection="0"/>
  </cellStyleXfs>
  <cellXfs count="1860">
    <xf numFmtId="0" fontId="0" fillId="0" borderId="0" xfId="0"/>
    <xf numFmtId="0" fontId="11" fillId="0" borderId="0" xfId="0" applyFont="1" applyAlignment="1">
      <alignment vertical="center"/>
    </xf>
    <xf numFmtId="3" fontId="11" fillId="0" borderId="0" xfId="0" applyNumberFormat="1" applyFont="1"/>
    <xf numFmtId="0" fontId="11" fillId="0" borderId="0" xfId="0" applyFont="1" applyAlignment="1">
      <alignment horizontal="center" vertical="center"/>
    </xf>
    <xf numFmtId="0" fontId="11" fillId="0" borderId="0" xfId="0" applyFont="1"/>
    <xf numFmtId="3" fontId="15" fillId="0" borderId="0" xfId="0" applyNumberFormat="1" applyFont="1" applyAlignment="1">
      <alignment horizontal="center"/>
    </xf>
    <xf numFmtId="0" fontId="11" fillId="0" borderId="1" xfId="0" applyFont="1" applyBorder="1" applyAlignment="1">
      <alignment horizont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vertical="center"/>
    </xf>
    <xf numFmtId="0" fontId="11" fillId="0" borderId="0" xfId="0" applyFont="1" applyAlignment="1">
      <alignment horizontal="center"/>
    </xf>
    <xf numFmtId="3" fontId="20" fillId="0" borderId="0" xfId="0" applyNumberFormat="1" applyFont="1" applyAlignment="1">
      <alignment horizontal="right" vertical="center"/>
    </xf>
    <xf numFmtId="3" fontId="15" fillId="0" borderId="0" xfId="0" applyNumberFormat="1" applyFont="1"/>
    <xf numFmtId="0" fontId="11" fillId="0" borderId="6" xfId="0" applyFont="1" applyBorder="1" applyAlignment="1">
      <alignment horizontal="center"/>
    </xf>
    <xf numFmtId="0" fontId="13" fillId="0" borderId="23" xfId="0" applyFont="1" applyBorder="1" applyAlignment="1">
      <alignment horizontal="center" vertical="center"/>
    </xf>
    <xf numFmtId="0" fontId="11" fillId="0" borderId="0" xfId="0" applyFont="1" applyAlignment="1">
      <alignment horizontal="right"/>
    </xf>
    <xf numFmtId="0" fontId="11" fillId="0" borderId="0" xfId="31" applyFont="1"/>
    <xf numFmtId="0" fontId="11" fillId="0" borderId="13" xfId="31" applyFont="1" applyBorder="1" applyAlignment="1">
      <alignment horizontal="center" vertical="top"/>
    </xf>
    <xf numFmtId="0" fontId="11" fillId="0" borderId="13" xfId="28" applyFont="1" applyBorder="1" applyAlignment="1">
      <alignment wrapText="1"/>
    </xf>
    <xf numFmtId="0" fontId="11" fillId="0" borderId="0" xfId="31" applyFont="1" applyAlignment="1">
      <alignment vertical="center"/>
    </xf>
    <xf numFmtId="3" fontId="11" fillId="0" borderId="18" xfId="28" applyNumberFormat="1" applyFont="1" applyBorder="1" applyAlignment="1">
      <alignment horizontal="right"/>
    </xf>
    <xf numFmtId="3" fontId="11" fillId="0" borderId="19" xfId="31" applyNumberFormat="1" applyFont="1" applyBorder="1" applyAlignment="1">
      <alignment horizontal="right"/>
    </xf>
    <xf numFmtId="3" fontId="11" fillId="0" borderId="18" xfId="31" applyNumberFormat="1" applyFont="1" applyBorder="1" applyAlignment="1">
      <alignment horizontal="right"/>
    </xf>
    <xf numFmtId="0" fontId="11" fillId="0" borderId="0" xfId="31" applyFont="1" applyAlignment="1">
      <alignment horizontal="left"/>
    </xf>
    <xf numFmtId="3" fontId="11" fillId="0" borderId="13" xfId="31" applyNumberFormat="1" applyFont="1" applyBorder="1" applyAlignment="1">
      <alignment horizontal="right"/>
    </xf>
    <xf numFmtId="3" fontId="11" fillId="0" borderId="17" xfId="31" applyNumberFormat="1" applyFont="1" applyBorder="1" applyAlignment="1">
      <alignment horizontal="right"/>
    </xf>
    <xf numFmtId="3" fontId="11" fillId="0" borderId="0" xfId="32" applyNumberFormat="1" applyFont="1" applyAlignment="1">
      <alignment horizontal="right"/>
    </xf>
    <xf numFmtId="3" fontId="11" fillId="0" borderId="0" xfId="32" applyNumberFormat="1" applyFont="1" applyAlignment="1">
      <alignment horizontal="right" wrapText="1"/>
    </xf>
    <xf numFmtId="0" fontId="11" fillId="0" borderId="13" xfId="31" applyFont="1" applyBorder="1" applyAlignment="1">
      <alignment horizontal="center"/>
    </xf>
    <xf numFmtId="3" fontId="11" fillId="0" borderId="0" xfId="0" applyNumberFormat="1" applyFont="1" applyAlignment="1">
      <alignment vertical="center"/>
    </xf>
    <xf numFmtId="0" fontId="11" fillId="0" borderId="0" xfId="0" applyFont="1" applyAlignment="1">
      <alignment horizontal="right" vertical="center"/>
    </xf>
    <xf numFmtId="3" fontId="11" fillId="0" borderId="54" xfId="0" applyNumberFormat="1" applyFont="1" applyBorder="1"/>
    <xf numFmtId="0" fontId="13" fillId="0" borderId="5" xfId="0" applyFont="1" applyBorder="1" applyAlignment="1">
      <alignment horizontal="left" vertical="center"/>
    </xf>
    <xf numFmtId="3" fontId="13" fillId="0" borderId="56" xfId="0" applyNumberFormat="1" applyFont="1" applyBorder="1" applyAlignment="1">
      <alignment vertical="center"/>
    </xf>
    <xf numFmtId="3" fontId="11" fillId="0" borderId="54" xfId="0" applyNumberFormat="1" applyFont="1" applyBorder="1" applyAlignment="1">
      <alignment horizontal="right"/>
    </xf>
    <xf numFmtId="0" fontId="13" fillId="0" borderId="23" xfId="0" applyFont="1" applyBorder="1" applyAlignment="1">
      <alignment horizontal="left" vertical="center"/>
    </xf>
    <xf numFmtId="0" fontId="13" fillId="0" borderId="60" xfId="0" applyFont="1" applyBorder="1" applyAlignment="1">
      <alignment horizontal="center" vertical="center"/>
    </xf>
    <xf numFmtId="0" fontId="11" fillId="0" borderId="23" xfId="0" applyFont="1" applyBorder="1" applyAlignment="1">
      <alignment vertical="center"/>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11" fillId="0" borderId="3" xfId="0" applyFont="1" applyBorder="1"/>
    <xf numFmtId="3" fontId="13" fillId="0" borderId="54" xfId="0" applyNumberFormat="1" applyFont="1" applyBorder="1" applyAlignment="1">
      <alignment horizontal="right"/>
    </xf>
    <xf numFmtId="3" fontId="13" fillId="0" borderId="67" xfId="0" applyNumberFormat="1" applyFont="1" applyBorder="1" applyAlignment="1">
      <alignment horizontal="right" vertical="center"/>
    </xf>
    <xf numFmtId="3" fontId="11" fillId="0" borderId="54" xfId="0" applyNumberFormat="1" applyFont="1" applyBorder="1" applyAlignment="1">
      <alignment horizontal="right" vertical="center"/>
    </xf>
    <xf numFmtId="3" fontId="11" fillId="0" borderId="67" xfId="0" applyNumberFormat="1" applyFont="1" applyBorder="1" applyAlignment="1">
      <alignment horizontal="right" vertical="center"/>
    </xf>
    <xf numFmtId="3" fontId="13" fillId="0" borderId="68" xfId="0" applyNumberFormat="1" applyFont="1" applyBorder="1" applyAlignment="1">
      <alignment horizontal="right" vertical="center"/>
    </xf>
    <xf numFmtId="3" fontId="13" fillId="0" borderId="54" xfId="0" applyNumberFormat="1" applyFont="1" applyBorder="1" applyAlignment="1">
      <alignment horizontal="right" vertical="center"/>
    </xf>
    <xf numFmtId="3" fontId="13" fillId="0" borderId="69" xfId="0" applyNumberFormat="1" applyFont="1" applyBorder="1" applyAlignment="1">
      <alignment horizontal="right" vertical="center"/>
    </xf>
    <xf numFmtId="165" fontId="11" fillId="0" borderId="54" xfId="33" applyNumberFormat="1" applyFont="1" applyFill="1" applyBorder="1" applyAlignment="1">
      <alignment horizontal="right"/>
    </xf>
    <xf numFmtId="165" fontId="11" fillId="0" borderId="70" xfId="33" applyNumberFormat="1" applyFont="1" applyFill="1" applyBorder="1" applyAlignment="1">
      <alignment horizontal="right"/>
    </xf>
    <xf numFmtId="0" fontId="11" fillId="0" borderId="12" xfId="31" applyFont="1" applyBorder="1" applyAlignment="1">
      <alignment horizontal="center"/>
    </xf>
    <xf numFmtId="3" fontId="11" fillId="0" borderId="0" xfId="15" applyNumberFormat="1" applyFont="1" applyAlignment="1">
      <alignment horizontal="right"/>
    </xf>
    <xf numFmtId="0" fontId="11" fillId="0" borderId="0" xfId="15" applyFont="1"/>
    <xf numFmtId="3" fontId="18" fillId="0" borderId="0" xfId="31" applyNumberFormat="1" applyFont="1" applyAlignment="1">
      <alignment horizontal="right"/>
    </xf>
    <xf numFmtId="0" fontId="18" fillId="0" borderId="0" xfId="31" applyFont="1"/>
    <xf numFmtId="3" fontId="20" fillId="0" borderId="0" xfId="31" applyNumberFormat="1" applyFont="1" applyAlignment="1">
      <alignment horizontal="right"/>
    </xf>
    <xf numFmtId="0" fontId="18" fillId="0" borderId="0" xfId="31" applyFont="1" applyAlignment="1">
      <alignment horizontal="center"/>
    </xf>
    <xf numFmtId="3" fontId="11" fillId="0" borderId="0" xfId="15" applyNumberFormat="1" applyFont="1" applyAlignment="1">
      <alignment horizontal="center"/>
    </xf>
    <xf numFmtId="3" fontId="11" fillId="0" borderId="0" xfId="31" applyNumberFormat="1" applyFont="1" applyAlignment="1">
      <alignment horizontal="center" wrapText="1"/>
    </xf>
    <xf numFmtId="3" fontId="11" fillId="0" borderId="4" xfId="31" applyNumberFormat="1" applyFont="1" applyBorder="1" applyAlignment="1">
      <alignment horizontal="center" vertical="center" wrapText="1"/>
    </xf>
    <xf numFmtId="3" fontId="11" fillId="0" borderId="2" xfId="31" applyNumberFormat="1" applyFont="1" applyBorder="1" applyAlignment="1">
      <alignment horizontal="center" vertical="center" wrapText="1"/>
    </xf>
    <xf numFmtId="0" fontId="13" fillId="0" borderId="20" xfId="31" applyFont="1" applyBorder="1" applyAlignment="1">
      <alignment horizontal="center"/>
    </xf>
    <xf numFmtId="0" fontId="13" fillId="0" borderId="0" xfId="31" applyFont="1"/>
    <xf numFmtId="3" fontId="11" fillId="0" borderId="92" xfId="31" applyNumberFormat="1" applyFont="1" applyBorder="1" applyAlignment="1">
      <alignment horizontal="right"/>
    </xf>
    <xf numFmtId="0" fontId="11" fillId="0" borderId="13" xfId="28" applyFont="1" applyBorder="1" applyAlignment="1">
      <alignment horizontal="left"/>
    </xf>
    <xf numFmtId="3" fontId="11" fillId="0" borderId="93" xfId="31" applyNumberFormat="1" applyFont="1" applyBorder="1" applyAlignment="1">
      <alignment horizontal="right"/>
    </xf>
    <xf numFmtId="3" fontId="11" fillId="0" borderId="0" xfId="15" applyNumberFormat="1" applyFont="1" applyAlignment="1">
      <alignment horizontal="left"/>
    </xf>
    <xf numFmtId="3" fontId="33" fillId="0" borderId="0" xfId="15" applyNumberFormat="1" applyFont="1" applyAlignment="1">
      <alignment horizontal="left"/>
    </xf>
    <xf numFmtId="0" fontId="13" fillId="0" borderId="12" xfId="31" applyFont="1" applyBorder="1" applyAlignment="1">
      <alignment horizontal="center"/>
    </xf>
    <xf numFmtId="0" fontId="30" fillId="0" borderId="18" xfId="31" applyFont="1" applyBorder="1" applyAlignment="1">
      <alignment horizontal="left"/>
    </xf>
    <xf numFmtId="0" fontId="11" fillId="0" borderId="13" xfId="28" applyFont="1" applyBorder="1"/>
    <xf numFmtId="3" fontId="18" fillId="0" borderId="0" xfId="31" applyNumberFormat="1" applyFont="1" applyAlignment="1">
      <alignment horizontal="center" vertical="center"/>
    </xf>
    <xf numFmtId="3" fontId="13" fillId="0" borderId="0" xfId="31" applyNumberFormat="1" applyFont="1" applyAlignment="1">
      <alignment horizontal="right"/>
    </xf>
    <xf numFmtId="3" fontId="13" fillId="0" borderId="0" xfId="32" applyNumberFormat="1" applyFont="1" applyAlignment="1">
      <alignment horizontal="right"/>
    </xf>
    <xf numFmtId="0" fontId="15" fillId="0" borderId="0" xfId="0" applyFont="1"/>
    <xf numFmtId="3" fontId="11" fillId="0" borderId="0" xfId="31" applyNumberFormat="1" applyFont="1" applyAlignment="1">
      <alignment horizontal="right"/>
    </xf>
    <xf numFmtId="0" fontId="11" fillId="0" borderId="0" xfId="31" applyFont="1" applyAlignment="1">
      <alignment horizontal="center"/>
    </xf>
    <xf numFmtId="3" fontId="29" fillId="0" borderId="29" xfId="27" applyNumberFormat="1" applyFont="1" applyBorder="1" applyAlignment="1">
      <alignment horizontal="left"/>
    </xf>
    <xf numFmtId="3" fontId="18" fillId="0" borderId="0" xfId="31" applyNumberFormat="1" applyFont="1" applyAlignment="1">
      <alignment horizontal="center" wrapText="1"/>
    </xf>
    <xf numFmtId="3" fontId="21" fillId="0" borderId="0" xfId="31" applyNumberFormat="1" applyFont="1" applyAlignment="1">
      <alignment horizontal="right"/>
    </xf>
    <xf numFmtId="0" fontId="15" fillId="0" borderId="0" xfId="31" applyFont="1" applyAlignment="1">
      <alignment horizontal="center"/>
    </xf>
    <xf numFmtId="0" fontId="15" fillId="0" borderId="0" xfId="32" applyFont="1" applyAlignment="1">
      <alignment horizontal="center" wrapText="1"/>
    </xf>
    <xf numFmtId="3" fontId="15" fillId="0" borderId="0" xfId="32" applyNumberFormat="1" applyFont="1" applyAlignment="1">
      <alignment horizontal="center"/>
    </xf>
    <xf numFmtId="0" fontId="11" fillId="0" borderId="82" xfId="28" applyFont="1" applyBorder="1" applyAlignment="1">
      <alignment vertical="top" wrapText="1"/>
    </xf>
    <xf numFmtId="3" fontId="11" fillId="0" borderId="88" xfId="29" applyNumberFormat="1" applyFont="1" applyBorder="1" applyAlignment="1">
      <alignment horizontal="left"/>
    </xf>
    <xf numFmtId="3" fontId="38" fillId="0" borderId="95" xfId="28" applyNumberFormat="1" applyFont="1" applyBorder="1" applyAlignment="1">
      <alignment horizontal="right" wrapText="1"/>
    </xf>
    <xf numFmtId="0" fontId="38" fillId="0" borderId="13" xfId="28" applyFont="1" applyBorder="1" applyAlignment="1">
      <alignment horizontal="left"/>
    </xf>
    <xf numFmtId="3" fontId="38" fillId="0" borderId="13" xfId="31" applyNumberFormat="1" applyFont="1" applyBorder="1" applyAlignment="1">
      <alignment horizontal="right"/>
    </xf>
    <xf numFmtId="3" fontId="38" fillId="0" borderId="13" xfId="28" applyNumberFormat="1" applyFont="1" applyBorder="1" applyAlignment="1">
      <alignment horizontal="right" wrapText="1"/>
    </xf>
    <xf numFmtId="0" fontId="38" fillId="0" borderId="82" xfId="28" applyFont="1" applyBorder="1"/>
    <xf numFmtId="3" fontId="11" fillId="0" borderId="16" xfId="31" applyNumberFormat="1" applyFont="1" applyBorder="1" applyAlignment="1">
      <alignment horizontal="center" vertical="center" wrapText="1"/>
    </xf>
    <xf numFmtId="0" fontId="11" fillId="0" borderId="46" xfId="31" applyFont="1" applyBorder="1" applyAlignment="1">
      <alignment horizontal="center" wrapText="1"/>
    </xf>
    <xf numFmtId="0" fontId="11" fillId="0" borderId="33" xfId="31" applyFont="1" applyBorder="1" applyAlignment="1">
      <alignment horizontal="center" wrapText="1"/>
    </xf>
    <xf numFmtId="0" fontId="18"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vertical="center"/>
    </xf>
    <xf numFmtId="3" fontId="39" fillId="0" borderId="13" xfId="31" applyNumberFormat="1" applyFont="1" applyBorder="1" applyAlignment="1">
      <alignment horizontal="right"/>
    </xf>
    <xf numFmtId="3" fontId="39" fillId="0" borderId="86" xfId="28" applyNumberFormat="1" applyFont="1" applyBorder="1" applyAlignment="1">
      <alignment horizontal="right" wrapText="1"/>
    </xf>
    <xf numFmtId="3" fontId="39" fillId="0" borderId="78" xfId="28" applyNumberFormat="1" applyFont="1" applyBorder="1" applyAlignment="1">
      <alignment horizontal="right" wrapText="1"/>
    </xf>
    <xf numFmtId="3" fontId="38" fillId="0" borderId="96" xfId="28" applyNumberFormat="1" applyFont="1" applyBorder="1" applyAlignment="1">
      <alignment horizontal="right" wrapText="1"/>
    </xf>
    <xf numFmtId="3" fontId="38" fillId="0" borderId="95" xfId="31" applyNumberFormat="1" applyFont="1" applyBorder="1" applyAlignment="1">
      <alignment horizontal="right"/>
    </xf>
    <xf numFmtId="0" fontId="11" fillId="0" borderId="33" xfId="31" applyFont="1" applyBorder="1" applyAlignment="1">
      <alignment horizontal="center" vertical="top" wrapText="1"/>
    </xf>
    <xf numFmtId="3" fontId="11" fillId="0" borderId="111" xfId="31" applyNumberFormat="1" applyFont="1" applyBorder="1" applyAlignment="1">
      <alignment horizontal="right"/>
    </xf>
    <xf numFmtId="3" fontId="38" fillId="0" borderId="112" xfId="28" applyNumberFormat="1" applyFont="1" applyBorder="1" applyAlignment="1">
      <alignment horizontal="right" wrapText="1"/>
    </xf>
    <xf numFmtId="0" fontId="38" fillId="0" borderId="97" xfId="28" applyFont="1" applyBorder="1"/>
    <xf numFmtId="3" fontId="11" fillId="0" borderId="31" xfId="31" applyNumberFormat="1" applyFont="1" applyBorder="1" applyAlignment="1">
      <alignment horizontal="right"/>
    </xf>
    <xf numFmtId="3" fontId="11" fillId="0" borderId="102" xfId="31" applyNumberFormat="1" applyFont="1" applyBorder="1" applyAlignment="1">
      <alignment horizontal="right"/>
    </xf>
    <xf numFmtId="0" fontId="11" fillId="0" borderId="103" xfId="31" applyFont="1" applyBorder="1" applyAlignment="1">
      <alignment horizontal="center" wrapText="1"/>
    </xf>
    <xf numFmtId="3" fontId="34" fillId="0" borderId="18" xfId="27" applyNumberFormat="1" applyFont="1" applyBorder="1" applyAlignment="1">
      <alignment wrapText="1"/>
    </xf>
    <xf numFmtId="0" fontId="11" fillId="0" borderId="13" xfId="28" applyFont="1" applyBorder="1" applyAlignment="1">
      <alignment vertical="center" wrapText="1"/>
    </xf>
    <xf numFmtId="0" fontId="13" fillId="0" borderId="47" xfId="31" applyFont="1" applyBorder="1" applyAlignment="1">
      <alignment horizontal="center"/>
    </xf>
    <xf numFmtId="3" fontId="13" fillId="0" borderId="13" xfId="31" applyNumberFormat="1" applyFont="1" applyBorder="1" applyAlignment="1">
      <alignment horizontal="right"/>
    </xf>
    <xf numFmtId="3" fontId="38" fillId="0" borderId="75" xfId="31" applyNumberFormat="1" applyFont="1" applyBorder="1" applyAlignment="1">
      <alignment horizontal="right"/>
    </xf>
    <xf numFmtId="0" fontId="11" fillId="0" borderId="82" xfId="28" applyFont="1" applyBorder="1" applyAlignment="1">
      <alignment wrapText="1"/>
    </xf>
    <xf numFmtId="3" fontId="18" fillId="0" borderId="13" xfId="0" applyNumberFormat="1" applyFont="1" applyBorder="1"/>
    <xf numFmtId="3" fontId="20" fillId="0" borderId="13" xfId="0" applyNumberFormat="1" applyFont="1" applyBorder="1"/>
    <xf numFmtId="3" fontId="34" fillId="0" borderId="13" xfId="0" applyNumberFormat="1" applyFont="1" applyBorder="1" applyAlignment="1">
      <alignment horizontal="right"/>
    </xf>
    <xf numFmtId="3" fontId="21" fillId="0" borderId="13" xfId="30" applyNumberFormat="1" applyFont="1" applyBorder="1"/>
    <xf numFmtId="3" fontId="21" fillId="0" borderId="13" xfId="0" applyNumberFormat="1" applyFont="1" applyBorder="1"/>
    <xf numFmtId="3" fontId="20" fillId="0" borderId="14" xfId="0" applyNumberFormat="1" applyFont="1" applyBorder="1"/>
    <xf numFmtId="3" fontId="15" fillId="0" borderId="72" xfId="0" applyNumberFormat="1" applyFont="1" applyBorder="1"/>
    <xf numFmtId="0" fontId="11" fillId="0" borderId="3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8" xfId="0" applyFont="1" applyBorder="1" applyAlignment="1">
      <alignment horizontal="center"/>
    </xf>
    <xf numFmtId="0" fontId="11" fillId="0" borderId="5" xfId="0" applyFont="1" applyBorder="1" applyAlignment="1">
      <alignment horizontal="center"/>
    </xf>
    <xf numFmtId="0" fontId="11" fillId="0" borderId="39" xfId="0" applyFont="1" applyBorder="1" applyAlignment="1">
      <alignment horizontal="center"/>
    </xf>
    <xf numFmtId="0" fontId="11" fillId="0" borderId="23" xfId="0" applyFont="1" applyBorder="1" applyAlignment="1">
      <alignment horizontal="center"/>
    </xf>
    <xf numFmtId="0" fontId="11" fillId="0" borderId="59" xfId="0" applyFont="1" applyBorder="1" applyAlignment="1">
      <alignment horizontal="center"/>
    </xf>
    <xf numFmtId="0" fontId="11" fillId="0" borderId="132" xfId="0" applyFont="1" applyBorder="1" applyAlignment="1">
      <alignment horizontal="center"/>
    </xf>
    <xf numFmtId="0" fontId="11" fillId="0" borderId="61" xfId="0" applyFont="1" applyBorder="1" applyAlignment="1">
      <alignment horizontal="center"/>
    </xf>
    <xf numFmtId="0" fontId="11" fillId="0" borderId="62" xfId="0" applyFont="1" applyBorder="1" applyAlignment="1">
      <alignment horizontal="center"/>
    </xf>
    <xf numFmtId="0" fontId="11" fillId="0" borderId="64"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3" fontId="11" fillId="0" borderId="5" xfId="0" applyNumberFormat="1" applyFont="1" applyBorder="1" applyAlignment="1">
      <alignment horizontal="center"/>
    </xf>
    <xf numFmtId="3" fontId="11" fillId="0" borderId="23" xfId="0" applyNumberFormat="1" applyFont="1" applyBorder="1" applyAlignment="1">
      <alignment horizontal="center"/>
    </xf>
    <xf numFmtId="3" fontId="11" fillId="0" borderId="6" xfId="0" applyNumberFormat="1" applyFont="1" applyBorder="1" applyAlignment="1">
      <alignment horizontal="center"/>
    </xf>
    <xf numFmtId="0" fontId="11" fillId="0" borderId="52" xfId="0" applyFont="1" applyBorder="1" applyAlignment="1">
      <alignment horizontal="center" vertical="center"/>
    </xf>
    <xf numFmtId="3" fontId="11" fillId="0" borderId="26" xfId="31" applyNumberFormat="1" applyFont="1" applyBorder="1" applyAlignment="1">
      <alignment horizontal="right"/>
    </xf>
    <xf numFmtId="3" fontId="11" fillId="0" borderId="13" xfId="31" applyNumberFormat="1" applyFont="1" applyBorder="1" applyAlignment="1">
      <alignment horizontal="right" vertical="top"/>
    </xf>
    <xf numFmtId="0" fontId="11" fillId="0" borderId="31" xfId="31" applyFont="1" applyBorder="1" applyAlignment="1">
      <alignment horizontal="center" vertical="top"/>
    </xf>
    <xf numFmtId="3" fontId="38" fillId="0" borderId="85" xfId="31" applyNumberFormat="1" applyFont="1" applyBorder="1" applyAlignment="1">
      <alignment horizontal="right"/>
    </xf>
    <xf numFmtId="3" fontId="38" fillId="0" borderId="31" xfId="31" applyNumberFormat="1" applyFont="1" applyBorder="1" applyAlignment="1">
      <alignment horizontal="right"/>
    </xf>
    <xf numFmtId="3" fontId="39" fillId="0" borderId="31" xfId="31" applyNumberFormat="1" applyFont="1" applyBorder="1" applyAlignment="1">
      <alignment horizontal="right"/>
    </xf>
    <xf numFmtId="3" fontId="11" fillId="0" borderId="17" xfId="31" applyNumberFormat="1" applyFont="1" applyBorder="1" applyAlignment="1">
      <alignment horizontal="right" vertical="top"/>
    </xf>
    <xf numFmtId="3" fontId="13" fillId="0" borderId="75" xfId="31" applyNumberFormat="1" applyFont="1" applyBorder="1" applyAlignment="1">
      <alignment horizontal="right"/>
    </xf>
    <xf numFmtId="0" fontId="11" fillId="0" borderId="117" xfId="31" applyFont="1" applyBorder="1" applyAlignment="1">
      <alignment horizontal="center" wrapText="1"/>
    </xf>
    <xf numFmtId="3" fontId="38" fillId="0" borderId="116" xfId="28" applyNumberFormat="1" applyFont="1" applyBorder="1" applyAlignment="1">
      <alignment horizontal="right" wrapText="1"/>
    </xf>
    <xf numFmtId="3" fontId="46" fillId="0" borderId="99" xfId="28" applyNumberFormat="1" applyFont="1" applyBorder="1" applyAlignment="1">
      <alignment vertical="center" wrapText="1"/>
    </xf>
    <xf numFmtId="3" fontId="46" fillId="0" borderId="100" xfId="28" applyNumberFormat="1" applyFont="1" applyBorder="1" applyAlignment="1">
      <alignment vertical="center" wrapText="1"/>
    </xf>
    <xf numFmtId="3" fontId="38" fillId="0" borderId="49" xfId="31" applyNumberFormat="1" applyFont="1" applyBorder="1" applyAlignment="1">
      <alignment horizontal="right"/>
    </xf>
    <xf numFmtId="3" fontId="39" fillId="0" borderId="49" xfId="31" applyNumberFormat="1" applyFont="1" applyBorder="1" applyAlignment="1">
      <alignment horizontal="right"/>
    </xf>
    <xf numFmtId="0" fontId="11" fillId="0" borderId="0" xfId="0" applyFont="1" applyAlignment="1">
      <alignment horizontal="left"/>
    </xf>
    <xf numFmtId="0" fontId="11" fillId="0" borderId="0" xfId="32" applyFont="1"/>
    <xf numFmtId="0" fontId="11" fillId="0" borderId="0" xfId="32" applyFont="1" applyAlignment="1">
      <alignment horizontal="center"/>
    </xf>
    <xf numFmtId="0" fontId="13" fillId="0" borderId="163" xfId="31" applyFont="1" applyBorder="1" applyAlignment="1">
      <alignment horizontal="center"/>
    </xf>
    <xf numFmtId="3" fontId="11" fillId="0" borderId="97" xfId="31" applyNumberFormat="1" applyFont="1" applyBorder="1" applyAlignment="1">
      <alignment horizontal="right"/>
    </xf>
    <xf numFmtId="3" fontId="39" fillId="0" borderId="85" xfId="31" applyNumberFormat="1" applyFont="1" applyBorder="1" applyAlignment="1">
      <alignment horizontal="right"/>
    </xf>
    <xf numFmtId="0" fontId="11" fillId="0" borderId="103" xfId="31" applyFont="1" applyBorder="1" applyAlignment="1">
      <alignment horizontal="center" vertical="top" wrapText="1"/>
    </xf>
    <xf numFmtId="3" fontId="11" fillId="0" borderId="97" xfId="31" applyNumberFormat="1" applyFont="1" applyBorder="1" applyAlignment="1">
      <alignment horizontal="right" vertical="top"/>
    </xf>
    <xf numFmtId="3" fontId="38" fillId="0" borderId="14" xfId="31" applyNumberFormat="1" applyFont="1" applyBorder="1" applyAlignment="1">
      <alignment horizontal="right"/>
    </xf>
    <xf numFmtId="3" fontId="34" fillId="0" borderId="13" xfId="27" applyNumberFormat="1" applyFont="1" applyBorder="1" applyAlignment="1">
      <alignment wrapText="1"/>
    </xf>
    <xf numFmtId="3" fontId="11" fillId="0" borderId="31" xfId="31" applyNumberFormat="1" applyFont="1" applyBorder="1" applyAlignment="1">
      <alignment horizontal="right" vertical="top"/>
    </xf>
    <xf numFmtId="0" fontId="18" fillId="0" borderId="13" xfId="31" applyFont="1" applyBorder="1" applyAlignment="1">
      <alignment horizontal="center" vertical="top"/>
    </xf>
    <xf numFmtId="0" fontId="15" fillId="0" borderId="0" xfId="15" applyFont="1" applyAlignment="1">
      <alignment horizontal="center" vertical="center"/>
    </xf>
    <xf numFmtId="3" fontId="11" fillId="0" borderId="0" xfId="15" applyNumberFormat="1" applyFont="1" applyAlignment="1">
      <alignment horizontal="center" vertical="center"/>
    </xf>
    <xf numFmtId="0" fontId="15" fillId="0" borderId="0" xfId="31" applyFont="1" applyAlignment="1">
      <alignment horizontal="center" vertical="center"/>
    </xf>
    <xf numFmtId="0" fontId="18" fillId="0" borderId="0" xfId="31" applyFont="1" applyAlignment="1">
      <alignment horizontal="center" vertical="center"/>
    </xf>
    <xf numFmtId="0" fontId="18" fillId="0" borderId="0" xfId="31" applyFont="1" applyAlignment="1">
      <alignment horizontal="center" vertical="top"/>
    </xf>
    <xf numFmtId="0" fontId="18" fillId="0" borderId="0" xfId="31" applyFont="1" applyAlignment="1">
      <alignment wrapText="1"/>
    </xf>
    <xf numFmtId="3" fontId="18" fillId="0" borderId="0" xfId="31" applyNumberFormat="1" applyFont="1" applyAlignment="1">
      <alignment horizontal="center" vertical="center" wrapText="1"/>
    </xf>
    <xf numFmtId="0" fontId="15" fillId="0" borderId="0" xfId="32" applyFont="1" applyAlignment="1">
      <alignment horizontal="center" vertical="center" wrapText="1"/>
    </xf>
    <xf numFmtId="3" fontId="15" fillId="0" borderId="0" xfId="32" applyNumberFormat="1" applyFont="1" applyAlignment="1">
      <alignment horizontal="center" vertical="center"/>
    </xf>
    <xf numFmtId="3" fontId="18" fillId="0" borderId="3" xfId="31" applyNumberFormat="1" applyFont="1" applyBorder="1" applyAlignment="1">
      <alignment horizontal="center" vertical="center" wrapText="1"/>
    </xf>
    <xf numFmtId="3" fontId="18" fillId="0" borderId="4" xfId="31" applyNumberFormat="1" applyFont="1" applyBorder="1" applyAlignment="1">
      <alignment horizontal="center" vertical="center" wrapText="1"/>
    </xf>
    <xf numFmtId="3" fontId="15" fillId="0" borderId="0" xfId="31" applyNumberFormat="1" applyFont="1" applyAlignment="1">
      <alignment horizontal="center" vertical="center"/>
    </xf>
    <xf numFmtId="0" fontId="18" fillId="0" borderId="20" xfId="31" applyFont="1" applyBorder="1" applyAlignment="1">
      <alignment horizontal="center"/>
    </xf>
    <xf numFmtId="3" fontId="18" fillId="0" borderId="88" xfId="29" applyNumberFormat="1" applyFont="1" applyBorder="1" applyAlignment="1">
      <alignment horizontal="left" vertical="center" wrapText="1"/>
    </xf>
    <xf numFmtId="3" fontId="18" fillId="0" borderId="18" xfId="31" applyNumberFormat="1" applyFont="1" applyBorder="1" applyAlignment="1">
      <alignment horizontal="right" vertical="center"/>
    </xf>
    <xf numFmtId="3" fontId="18" fillId="0" borderId="18" xfId="28" applyNumberFormat="1" applyFont="1" applyBorder="1" applyAlignment="1">
      <alignment horizontal="right" vertical="center"/>
    </xf>
    <xf numFmtId="3" fontId="18" fillId="0" borderId="19" xfId="31" applyNumberFormat="1" applyFont="1" applyBorder="1" applyAlignment="1">
      <alignment horizontal="right" vertical="center"/>
    </xf>
    <xf numFmtId="0" fontId="18" fillId="0" borderId="46" xfId="31" applyFont="1" applyBorder="1" applyAlignment="1">
      <alignment horizontal="center" vertical="center" wrapText="1"/>
    </xf>
    <xf numFmtId="3" fontId="18" fillId="0" borderId="84" xfId="28" applyNumberFormat="1" applyFont="1" applyBorder="1" applyAlignment="1">
      <alignment horizontal="right" vertical="center" wrapText="1"/>
    </xf>
    <xf numFmtId="3" fontId="18" fillId="0" borderId="29" xfId="28" applyNumberFormat="1" applyFont="1" applyBorder="1" applyAlignment="1">
      <alignment horizontal="right" vertical="center" wrapText="1"/>
    </xf>
    <xf numFmtId="3" fontId="18" fillId="0" borderId="94" xfId="28" applyNumberFormat="1" applyFont="1" applyBorder="1" applyAlignment="1">
      <alignment horizontal="right" vertical="center" wrapText="1"/>
    </xf>
    <xf numFmtId="3" fontId="18" fillId="0" borderId="92" xfId="31" applyNumberFormat="1" applyFont="1" applyBorder="1" applyAlignment="1">
      <alignment horizontal="right" vertical="center"/>
    </xf>
    <xf numFmtId="0" fontId="18" fillId="0" borderId="12" xfId="31" applyFont="1" applyBorder="1" applyAlignment="1">
      <alignment horizontal="center" vertical="center"/>
    </xf>
    <xf numFmtId="3" fontId="18" fillId="0" borderId="13" xfId="31" applyNumberFormat="1" applyFont="1" applyBorder="1" applyAlignment="1">
      <alignment horizontal="right" vertical="center"/>
    </xf>
    <xf numFmtId="3" fontId="18" fillId="0" borderId="13" xfId="28" applyNumberFormat="1" applyFont="1" applyBorder="1" applyAlignment="1">
      <alignment horizontal="right" vertical="center"/>
    </xf>
    <xf numFmtId="3" fontId="18" fillId="0" borderId="75" xfId="28" applyNumberFormat="1" applyFont="1" applyBorder="1" applyAlignment="1">
      <alignment horizontal="right" vertical="center" wrapText="1"/>
    </xf>
    <xf numFmtId="3" fontId="18" fillId="0" borderId="13" xfId="28" applyNumberFormat="1" applyFont="1" applyBorder="1" applyAlignment="1">
      <alignment horizontal="right" vertical="center" wrapText="1"/>
    </xf>
    <xf numFmtId="3" fontId="18" fillId="0" borderId="95" xfId="28" applyNumberFormat="1" applyFont="1" applyBorder="1" applyAlignment="1">
      <alignment horizontal="right" vertical="center" wrapText="1"/>
    </xf>
    <xf numFmtId="3" fontId="18" fillId="0" borderId="93" xfId="31" applyNumberFormat="1" applyFont="1" applyBorder="1" applyAlignment="1">
      <alignment horizontal="right" vertical="center"/>
    </xf>
    <xf numFmtId="0" fontId="18" fillId="0" borderId="13" xfId="31" applyFont="1" applyBorder="1" applyAlignment="1">
      <alignment horizontal="center"/>
    </xf>
    <xf numFmtId="0" fontId="11" fillId="0" borderId="13" xfId="31" applyFont="1" applyBorder="1" applyAlignment="1">
      <alignment wrapText="1"/>
    </xf>
    <xf numFmtId="3" fontId="18" fillId="0" borderId="164" xfId="31" applyNumberFormat="1" applyFont="1" applyBorder="1" applyAlignment="1">
      <alignment horizontal="right" vertical="center"/>
    </xf>
    <xf numFmtId="3" fontId="18" fillId="0" borderId="95" xfId="31" applyNumberFormat="1" applyFont="1" applyBorder="1" applyAlignment="1">
      <alignment horizontal="right" vertical="center"/>
    </xf>
    <xf numFmtId="0" fontId="18" fillId="0" borderId="75" xfId="31" applyFont="1" applyBorder="1" applyAlignment="1">
      <alignment horizontal="center" vertical="center" wrapText="1"/>
    </xf>
    <xf numFmtId="3" fontId="18" fillId="0" borderId="112" xfId="28" applyNumberFormat="1" applyFont="1" applyBorder="1" applyAlignment="1">
      <alignment horizontal="right" vertical="center" wrapText="1"/>
    </xf>
    <xf numFmtId="3" fontId="34" fillId="0" borderId="48" xfId="27" applyNumberFormat="1" applyFont="1" applyBorder="1" applyAlignment="1">
      <alignment wrapText="1"/>
    </xf>
    <xf numFmtId="3" fontId="21" fillId="0" borderId="112" xfId="28" applyNumberFormat="1" applyFont="1" applyBorder="1" applyAlignment="1">
      <alignment horizontal="right" vertical="center" wrapText="1"/>
    </xf>
    <xf numFmtId="3" fontId="20" fillId="0" borderId="112" xfId="28" applyNumberFormat="1" applyFont="1" applyBorder="1" applyAlignment="1">
      <alignment horizontal="right" vertical="center" wrapText="1"/>
    </xf>
    <xf numFmtId="3" fontId="18" fillId="0" borderId="0" xfId="31" applyNumberFormat="1" applyFont="1" applyAlignment="1">
      <alignment horizontal="right" vertical="center"/>
    </xf>
    <xf numFmtId="3" fontId="18" fillId="0" borderId="0" xfId="15" applyNumberFormat="1" applyFont="1" applyAlignment="1">
      <alignment horizontal="left" vertical="top"/>
    </xf>
    <xf numFmtId="3" fontId="18" fillId="0" borderId="0" xfId="32" applyNumberFormat="1" applyFont="1" applyAlignment="1">
      <alignment horizontal="right"/>
    </xf>
    <xf numFmtId="3" fontId="18" fillId="0" borderId="0" xfId="32" applyNumberFormat="1" applyFont="1" applyAlignment="1">
      <alignment horizontal="right" wrapText="1"/>
    </xf>
    <xf numFmtId="3" fontId="18" fillId="0" borderId="0" xfId="15" applyNumberFormat="1" applyFont="1" applyAlignment="1">
      <alignment horizontal="center" vertical="center"/>
    </xf>
    <xf numFmtId="3" fontId="18" fillId="0" borderId="0" xfId="15" applyNumberFormat="1" applyFont="1" applyAlignment="1">
      <alignment horizontal="right"/>
    </xf>
    <xf numFmtId="0" fontId="40" fillId="0" borderId="13" xfId="31" applyFont="1" applyBorder="1" applyAlignment="1">
      <alignment horizontal="left" wrapText="1" indent="1"/>
    </xf>
    <xf numFmtId="3" fontId="21" fillId="0" borderId="99" xfId="28" applyNumberFormat="1" applyFont="1" applyBorder="1" applyAlignment="1">
      <alignment vertical="center" wrapText="1"/>
    </xf>
    <xf numFmtId="0" fontId="18" fillId="0" borderId="170" xfId="31" applyFont="1" applyBorder="1" applyAlignment="1">
      <alignment horizontal="center" vertical="center"/>
    </xf>
    <xf numFmtId="3" fontId="18" fillId="0" borderId="110" xfId="28" applyNumberFormat="1" applyFont="1" applyBorder="1" applyAlignment="1">
      <alignment horizontal="right" vertical="center" wrapText="1"/>
    </xf>
    <xf numFmtId="3" fontId="11" fillId="0" borderId="53" xfId="0" applyNumberFormat="1" applyFont="1" applyBorder="1" applyAlignment="1">
      <alignment horizontal="center" vertical="center" wrapText="1"/>
    </xf>
    <xf numFmtId="3" fontId="11" fillId="0" borderId="144" xfId="0" applyNumberFormat="1" applyFont="1" applyBorder="1" applyAlignment="1">
      <alignment horizontal="center" vertical="center" wrapText="1"/>
    </xf>
    <xf numFmtId="3" fontId="11" fillId="0" borderId="54" xfId="0" applyNumberFormat="1" applyFont="1" applyBorder="1" applyAlignment="1">
      <alignment horizontal="right" vertical="center" textRotation="180"/>
    </xf>
    <xf numFmtId="3" fontId="11" fillId="0" borderId="161" xfId="0" applyNumberFormat="1" applyFont="1" applyBorder="1" applyAlignment="1">
      <alignment horizontal="right" vertical="center" textRotation="180"/>
    </xf>
    <xf numFmtId="3" fontId="11" fillId="0" borderId="152" xfId="0" applyNumberFormat="1" applyFont="1" applyBorder="1" applyAlignment="1">
      <alignment horizontal="right"/>
    </xf>
    <xf numFmtId="3" fontId="13" fillId="0" borderId="56" xfId="0" applyNumberFormat="1" applyFont="1" applyBorder="1" applyAlignment="1">
      <alignment horizontal="right" vertical="center"/>
    </xf>
    <xf numFmtId="3" fontId="13" fillId="0" borderId="145" xfId="0" applyNumberFormat="1" applyFont="1" applyBorder="1" applyAlignment="1">
      <alignment horizontal="right" vertical="center"/>
    </xf>
    <xf numFmtId="3" fontId="11" fillId="0" borderId="152" xfId="0" applyNumberFormat="1" applyFont="1" applyBorder="1" applyAlignment="1">
      <alignment horizontal="right" vertical="center" textRotation="180"/>
    </xf>
    <xf numFmtId="3" fontId="13" fillId="0" borderId="171" xfId="0" applyNumberFormat="1" applyFont="1" applyBorder="1" applyAlignment="1">
      <alignment horizontal="right" vertical="center"/>
    </xf>
    <xf numFmtId="3" fontId="13" fillId="0" borderId="172" xfId="0" applyNumberFormat="1" applyFont="1" applyBorder="1" applyAlignment="1">
      <alignment horizontal="right" vertical="center"/>
    </xf>
    <xf numFmtId="3" fontId="13" fillId="0" borderId="173" xfId="0" applyNumberFormat="1" applyFont="1" applyBorder="1" applyAlignment="1">
      <alignment horizontal="right" vertical="center"/>
    </xf>
    <xf numFmtId="3" fontId="11" fillId="0" borderId="152" xfId="0" applyNumberFormat="1" applyFont="1" applyBorder="1" applyAlignment="1">
      <alignment horizontal="right" vertical="center"/>
    </xf>
    <xf numFmtId="3" fontId="11" fillId="0" borderId="171" xfId="0" applyNumberFormat="1" applyFont="1" applyBorder="1" applyAlignment="1">
      <alignment horizontal="right" vertical="center"/>
    </xf>
    <xf numFmtId="3" fontId="11" fillId="0" borderId="69" xfId="0" applyNumberFormat="1" applyFont="1" applyBorder="1" applyAlignment="1">
      <alignment horizontal="right" vertical="center"/>
    </xf>
    <xf numFmtId="3" fontId="11" fillId="0" borderId="174" xfId="0" applyNumberFormat="1" applyFont="1" applyBorder="1" applyAlignment="1">
      <alignment horizontal="right" vertical="center"/>
    </xf>
    <xf numFmtId="165" fontId="11" fillId="0" borderId="152" xfId="33" applyNumberFormat="1" applyFont="1" applyFill="1" applyBorder="1" applyAlignment="1">
      <alignment horizontal="right"/>
    </xf>
    <xf numFmtId="165" fontId="11" fillId="0" borderId="114" xfId="33" applyNumberFormat="1" applyFont="1" applyFill="1" applyBorder="1" applyAlignment="1">
      <alignment horizontal="right"/>
    </xf>
    <xf numFmtId="3" fontId="18" fillId="0" borderId="107" xfId="31" applyNumberFormat="1" applyFont="1" applyBorder="1" applyAlignment="1">
      <alignment horizontal="center" vertical="center" wrapText="1"/>
    </xf>
    <xf numFmtId="0" fontId="44" fillId="0" borderId="13" xfId="31" applyFont="1" applyBorder="1" applyAlignment="1">
      <alignment horizontal="left"/>
    </xf>
    <xf numFmtId="0" fontId="45" fillId="0" borderId="13" xfId="31" applyFont="1" applyBorder="1" applyAlignment="1">
      <alignment wrapText="1"/>
    </xf>
    <xf numFmtId="0" fontId="40" fillId="0" borderId="13" xfId="31" applyFont="1" applyBorder="1" applyAlignment="1">
      <alignment horizontal="left" vertical="center" wrapText="1" indent="1"/>
    </xf>
    <xf numFmtId="0" fontId="40" fillId="0" borderId="13" xfId="31" applyFont="1" applyBorder="1" applyAlignment="1">
      <alignment horizontal="left" indent="1" shrinkToFit="1"/>
    </xf>
    <xf numFmtId="0" fontId="44" fillId="0" borderId="13" xfId="31" applyFont="1" applyBorder="1" applyAlignment="1">
      <alignment horizontal="left" wrapText="1"/>
    </xf>
    <xf numFmtId="0" fontId="44" fillId="0" borderId="13" xfId="31" applyFont="1" applyBorder="1" applyAlignment="1">
      <alignment horizontal="left" shrinkToFit="1"/>
    </xf>
    <xf numFmtId="3" fontId="21" fillId="0" borderId="175" xfId="28" applyNumberFormat="1" applyFont="1" applyBorder="1" applyAlignment="1">
      <alignment vertical="center" wrapText="1"/>
    </xf>
    <xf numFmtId="3" fontId="21" fillId="0" borderId="11" xfId="28" applyNumberFormat="1" applyFont="1" applyBorder="1" applyAlignment="1">
      <alignment vertical="center" wrapText="1"/>
    </xf>
    <xf numFmtId="0" fontId="18" fillId="0" borderId="79" xfId="31" applyFont="1" applyBorder="1" applyAlignment="1">
      <alignment horizontal="center" vertical="center" wrapText="1"/>
    </xf>
    <xf numFmtId="3" fontId="18" fillId="0" borderId="104" xfId="28" applyNumberFormat="1" applyFont="1" applyBorder="1" applyAlignment="1">
      <alignment horizontal="right" vertical="center" wrapText="1"/>
    </xf>
    <xf numFmtId="3" fontId="21" fillId="0" borderId="12" xfId="28" applyNumberFormat="1" applyFont="1" applyBorder="1" applyAlignment="1">
      <alignment vertical="center" wrapText="1"/>
    </xf>
    <xf numFmtId="3" fontId="21" fillId="0" borderId="13" xfId="28" applyNumberFormat="1" applyFont="1" applyBorder="1" applyAlignment="1">
      <alignment vertical="center" wrapText="1"/>
    </xf>
    <xf numFmtId="3" fontId="21" fillId="0" borderId="33" xfId="28" applyNumberFormat="1" applyFont="1" applyBorder="1" applyAlignment="1">
      <alignment horizontal="right" vertical="center" wrapText="1"/>
    </xf>
    <xf numFmtId="3" fontId="21" fillId="0" borderId="13" xfId="28" applyNumberFormat="1" applyFont="1" applyBorder="1" applyAlignment="1">
      <alignment horizontal="right" vertical="center" wrapText="1"/>
    </xf>
    <xf numFmtId="3" fontId="21" fillId="0" borderId="164" xfId="28" applyNumberFormat="1" applyFont="1" applyBorder="1" applyAlignment="1">
      <alignment horizontal="right" vertical="center" wrapText="1"/>
    </xf>
    <xf numFmtId="3" fontId="21" fillId="0" borderId="95" xfId="28" applyNumberFormat="1" applyFont="1" applyBorder="1" applyAlignment="1">
      <alignment horizontal="right" vertical="center" wrapText="1"/>
    </xf>
    <xf numFmtId="3" fontId="21" fillId="0" borderId="110" xfId="28" applyNumberFormat="1" applyFont="1" applyBorder="1" applyAlignment="1">
      <alignment horizontal="right" vertical="center" wrapText="1"/>
    </xf>
    <xf numFmtId="3" fontId="21" fillId="0" borderId="20" xfId="28" applyNumberFormat="1" applyFont="1" applyBorder="1" applyAlignment="1">
      <alignment vertical="center" wrapText="1"/>
    </xf>
    <xf numFmtId="3" fontId="21" fillId="0" borderId="18" xfId="28" applyNumberFormat="1" applyFont="1" applyBorder="1" applyAlignment="1">
      <alignment vertical="center" wrapText="1"/>
    </xf>
    <xf numFmtId="3" fontId="18" fillId="0" borderId="76" xfId="28" applyNumberFormat="1" applyFont="1" applyBorder="1" applyAlignment="1">
      <alignment horizontal="right" vertical="center" wrapText="1"/>
    </xf>
    <xf numFmtId="3" fontId="18" fillId="0" borderId="11" xfId="28" applyNumberFormat="1" applyFont="1" applyBorder="1" applyAlignment="1">
      <alignment horizontal="right" vertical="center" wrapText="1"/>
    </xf>
    <xf numFmtId="3" fontId="18" fillId="0" borderId="177" xfId="31" applyNumberFormat="1" applyFont="1" applyBorder="1" applyAlignment="1">
      <alignment horizontal="right" vertical="center"/>
    </xf>
    <xf numFmtId="3" fontId="38" fillId="0" borderId="50" xfId="31" applyNumberFormat="1" applyFont="1" applyBorder="1" applyAlignment="1">
      <alignment horizontal="right"/>
    </xf>
    <xf numFmtId="3" fontId="38" fillId="0" borderId="18" xfId="31" applyNumberFormat="1" applyFont="1" applyBorder="1" applyAlignment="1">
      <alignment horizontal="right"/>
    </xf>
    <xf numFmtId="3" fontId="39" fillId="0" borderId="18" xfId="31" applyNumberFormat="1" applyFont="1" applyBorder="1" applyAlignment="1">
      <alignment horizontal="right"/>
    </xf>
    <xf numFmtId="3" fontId="38" fillId="0" borderId="110" xfId="31" applyNumberFormat="1" applyFont="1" applyBorder="1" applyAlignment="1">
      <alignment horizontal="right"/>
    </xf>
    <xf numFmtId="3" fontId="39" fillId="0" borderId="75" xfId="31" applyNumberFormat="1" applyFont="1" applyBorder="1" applyAlignment="1">
      <alignment horizontal="right"/>
    </xf>
    <xf numFmtId="3" fontId="38" fillId="0" borderId="93" xfId="31" applyNumberFormat="1" applyFont="1" applyBorder="1" applyAlignment="1">
      <alignment horizontal="right"/>
    </xf>
    <xf numFmtId="0" fontId="11" fillId="0" borderId="75" xfId="28" applyFont="1" applyBorder="1" applyAlignment="1">
      <alignment wrapText="1"/>
    </xf>
    <xf numFmtId="0" fontId="51" fillId="0" borderId="13" xfId="31" applyFont="1" applyBorder="1" applyAlignment="1">
      <alignment wrapText="1"/>
    </xf>
    <xf numFmtId="0" fontId="13" fillId="0" borderId="81" xfId="31" applyFont="1" applyBorder="1" applyAlignment="1">
      <alignment horizontal="center"/>
    </xf>
    <xf numFmtId="3" fontId="11" fillId="0" borderId="82" xfId="31" applyNumberFormat="1" applyFont="1" applyBorder="1" applyAlignment="1">
      <alignment horizontal="right"/>
    </xf>
    <xf numFmtId="3" fontId="38" fillId="0" borderId="164" xfId="31" applyNumberFormat="1" applyFont="1" applyBorder="1" applyAlignment="1">
      <alignment horizontal="right"/>
    </xf>
    <xf numFmtId="3" fontId="11" fillId="0" borderId="13" xfId="28" applyNumberFormat="1" applyFont="1" applyBorder="1" applyAlignment="1">
      <alignment horizontal="right" vertical="top"/>
    </xf>
    <xf numFmtId="3" fontId="11" fillId="0" borderId="82" xfId="31" applyNumberFormat="1" applyFont="1" applyBorder="1" applyAlignment="1">
      <alignment horizontal="right" vertical="top"/>
    </xf>
    <xf numFmtId="3" fontId="20" fillId="0" borderId="18" xfId="27" applyNumberFormat="1" applyFont="1" applyBorder="1" applyAlignment="1">
      <alignment horizontal="left" vertical="top" wrapText="1" indent="4"/>
    </xf>
    <xf numFmtId="3" fontId="34" fillId="0" borderId="17" xfId="27" applyNumberFormat="1" applyFont="1" applyBorder="1" applyAlignment="1">
      <alignment wrapText="1"/>
    </xf>
    <xf numFmtId="3" fontId="21" fillId="0" borderId="17" xfId="27" applyNumberFormat="1" applyFont="1" applyBorder="1" applyAlignment="1">
      <alignment wrapText="1"/>
    </xf>
    <xf numFmtId="3" fontId="13" fillId="0" borderId="179" xfId="0" applyNumberFormat="1" applyFont="1" applyBorder="1" applyAlignment="1">
      <alignment horizontal="right" vertical="center"/>
    </xf>
    <xf numFmtId="3" fontId="13" fillId="0" borderId="178" xfId="0" applyNumberFormat="1" applyFont="1" applyBorder="1" applyAlignment="1">
      <alignment horizontal="right" vertical="center"/>
    </xf>
    <xf numFmtId="0" fontId="11" fillId="0" borderId="31" xfId="31" applyFont="1" applyBorder="1" applyAlignment="1">
      <alignment horizontal="center"/>
    </xf>
    <xf numFmtId="0" fontId="49" fillId="0" borderId="13" xfId="28" applyFont="1" applyBorder="1"/>
    <xf numFmtId="0" fontId="11" fillId="0" borderId="82" xfId="28" applyFont="1" applyBorder="1"/>
    <xf numFmtId="0" fontId="20" fillId="0" borderId="17" xfId="28" applyFont="1" applyBorder="1" applyAlignment="1">
      <alignment horizontal="left"/>
    </xf>
    <xf numFmtId="3" fontId="20" fillId="0" borderId="75" xfId="0" applyNumberFormat="1" applyFont="1" applyBorder="1"/>
    <xf numFmtId="0" fontId="0" fillId="0" borderId="168" xfId="0" applyBorder="1" applyAlignment="1">
      <alignment horizontal="left" wrapText="1"/>
    </xf>
    <xf numFmtId="3" fontId="34" fillId="0" borderId="31" xfId="27" applyNumberFormat="1" applyFont="1" applyBorder="1" applyAlignment="1">
      <alignment wrapText="1"/>
    </xf>
    <xf numFmtId="3" fontId="21" fillId="0" borderId="17" xfId="30" applyNumberFormat="1" applyFont="1" applyBorder="1"/>
    <xf numFmtId="3" fontId="34" fillId="0" borderId="19" xfId="27" applyNumberFormat="1" applyFont="1" applyBorder="1" applyAlignment="1">
      <alignment wrapText="1"/>
    </xf>
    <xf numFmtId="3" fontId="47" fillId="0" borderId="97" xfId="27" applyNumberFormat="1" applyFont="1" applyBorder="1" applyAlignment="1">
      <alignment wrapText="1"/>
    </xf>
    <xf numFmtId="3" fontId="21" fillId="0" borderId="31" xfId="0" applyNumberFormat="1" applyFont="1" applyBorder="1"/>
    <xf numFmtId="0" fontId="0" fillId="0" borderId="13" xfId="0" applyBorder="1" applyAlignment="1">
      <alignment horizontal="left" wrapText="1"/>
    </xf>
    <xf numFmtId="0" fontId="0" fillId="0" borderId="142" xfId="0" applyBorder="1" applyAlignment="1">
      <alignment wrapText="1"/>
    </xf>
    <xf numFmtId="3" fontId="34" fillId="0" borderId="102" xfId="27" applyNumberFormat="1" applyFont="1" applyBorder="1" applyAlignment="1">
      <alignment wrapText="1"/>
    </xf>
    <xf numFmtId="0" fontId="0" fillId="0" borderId="185" xfId="0" applyBorder="1" applyAlignment="1">
      <alignment wrapText="1"/>
    </xf>
    <xf numFmtId="0" fontId="0" fillId="0" borderId="168" xfId="0" applyBorder="1" applyAlignment="1">
      <alignment wrapText="1"/>
    </xf>
    <xf numFmtId="0" fontId="0" fillId="0" borderId="13" xfId="0" applyBorder="1" applyAlignment="1">
      <alignment wrapText="1"/>
    </xf>
    <xf numFmtId="0" fontId="18" fillId="0" borderId="18" xfId="31" applyFont="1" applyBorder="1" applyAlignment="1">
      <alignment horizontal="center"/>
    </xf>
    <xf numFmtId="3" fontId="18" fillId="0" borderId="168" xfId="31" applyNumberFormat="1" applyFont="1" applyBorder="1" applyAlignment="1">
      <alignment horizontal="right" vertical="center"/>
    </xf>
    <xf numFmtId="0" fontId="18" fillId="0" borderId="50" xfId="31" applyFont="1" applyBorder="1" applyAlignment="1">
      <alignment horizontal="center" vertical="center" wrapText="1"/>
    </xf>
    <xf numFmtId="3" fontId="18" fillId="0" borderId="50" xfId="28" applyNumberFormat="1" applyFont="1" applyBorder="1" applyAlignment="1">
      <alignment horizontal="right" vertical="center" wrapText="1"/>
    </xf>
    <xf numFmtId="3" fontId="18" fillId="0" borderId="18" xfId="28" applyNumberFormat="1" applyFont="1" applyBorder="1" applyAlignment="1">
      <alignment horizontal="right" vertical="center" wrapText="1"/>
    </xf>
    <xf numFmtId="3" fontId="21" fillId="0" borderId="117" xfId="28" applyNumberFormat="1" applyFont="1" applyBorder="1" applyAlignment="1">
      <alignment horizontal="right" vertical="center" wrapText="1"/>
    </xf>
    <xf numFmtId="3" fontId="20" fillId="0" borderId="75" xfId="28" applyNumberFormat="1" applyFont="1" applyBorder="1" applyAlignment="1">
      <alignment horizontal="right" vertical="center" wrapText="1"/>
    </xf>
    <xf numFmtId="3" fontId="20" fillId="0" borderId="13" xfId="28" applyNumberFormat="1" applyFont="1" applyBorder="1" applyAlignment="1">
      <alignment horizontal="right" vertical="center" wrapText="1"/>
    </xf>
    <xf numFmtId="3" fontId="20" fillId="0" borderId="95" xfId="28" applyNumberFormat="1" applyFont="1" applyBorder="1" applyAlignment="1">
      <alignment horizontal="right" vertical="center" wrapText="1"/>
    </xf>
    <xf numFmtId="3" fontId="53" fillId="0" borderId="13" xfId="28" applyNumberFormat="1" applyFont="1" applyBorder="1" applyAlignment="1">
      <alignment horizontal="right" vertical="center" wrapText="1"/>
    </xf>
    <xf numFmtId="3" fontId="53" fillId="0" borderId="95" xfId="28" applyNumberFormat="1" applyFont="1" applyBorder="1" applyAlignment="1">
      <alignment horizontal="right" vertical="center" wrapText="1"/>
    </xf>
    <xf numFmtId="3" fontId="21" fillId="0" borderId="47" xfId="28" applyNumberFormat="1" applyFont="1" applyBorder="1" applyAlignment="1">
      <alignment vertical="center" wrapText="1"/>
    </xf>
    <xf numFmtId="3" fontId="21" fillId="0" borderId="31" xfId="28" applyNumberFormat="1" applyFont="1" applyBorder="1" applyAlignment="1">
      <alignment vertical="center" wrapText="1"/>
    </xf>
    <xf numFmtId="0" fontId="20" fillId="0" borderId="102" xfId="28" applyFont="1" applyBorder="1" applyAlignment="1">
      <alignment horizontal="left"/>
    </xf>
    <xf numFmtId="3" fontId="34" fillId="0" borderId="185" xfId="27" applyNumberFormat="1" applyFont="1" applyBorder="1" applyAlignment="1">
      <alignment wrapText="1"/>
    </xf>
    <xf numFmtId="3" fontId="21" fillId="0" borderId="26" xfId="28" applyNumberFormat="1" applyFont="1" applyBorder="1" applyAlignment="1">
      <alignment horizontal="right" vertical="center" wrapText="1"/>
    </xf>
    <xf numFmtId="3" fontId="21" fillId="0" borderId="46" xfId="28" applyNumberFormat="1" applyFont="1" applyBorder="1" applyAlignment="1">
      <alignment horizontal="right" vertical="center" wrapText="1"/>
    </xf>
    <xf numFmtId="3" fontId="21" fillId="0" borderId="18" xfId="28" applyNumberFormat="1" applyFont="1" applyBorder="1" applyAlignment="1">
      <alignment horizontal="right" vertical="center" wrapText="1"/>
    </xf>
    <xf numFmtId="3" fontId="21" fillId="0" borderId="115" xfId="28" applyNumberFormat="1" applyFont="1" applyBorder="1" applyAlignment="1">
      <alignment horizontal="right" vertical="center" wrapText="1"/>
    </xf>
    <xf numFmtId="3" fontId="20" fillId="0" borderId="17" xfId="0" applyNumberFormat="1" applyFont="1" applyBorder="1" applyAlignment="1">
      <alignment wrapText="1"/>
    </xf>
    <xf numFmtId="0" fontId="0" fillId="0" borderId="31" xfId="0" applyBorder="1" applyAlignment="1">
      <alignment wrapText="1"/>
    </xf>
    <xf numFmtId="3" fontId="21" fillId="0" borderId="103" xfId="28" applyNumberFormat="1" applyFont="1" applyBorder="1" applyAlignment="1">
      <alignment horizontal="right" vertical="center" wrapText="1"/>
    </xf>
    <xf numFmtId="3" fontId="18" fillId="0" borderId="31" xfId="28" applyNumberFormat="1" applyFont="1" applyBorder="1" applyAlignment="1">
      <alignment horizontal="right" vertical="center" wrapText="1"/>
    </xf>
    <xf numFmtId="3" fontId="21" fillId="0" borderId="186" xfId="28" applyNumberFormat="1" applyFont="1" applyBorder="1" applyAlignment="1">
      <alignment horizontal="right" vertical="center" wrapText="1"/>
    </xf>
    <xf numFmtId="3" fontId="21" fillId="0" borderId="75" xfId="28" applyNumberFormat="1" applyFont="1" applyBorder="1" applyAlignment="1">
      <alignment horizontal="right" vertical="center" wrapText="1"/>
    </xf>
    <xf numFmtId="0" fontId="0" fillId="0" borderId="118" xfId="0" applyBorder="1" applyAlignment="1">
      <alignment horizontal="left" wrapText="1"/>
    </xf>
    <xf numFmtId="3" fontId="53" fillId="0" borderId="112" xfId="28" applyNumberFormat="1" applyFont="1" applyBorder="1" applyAlignment="1">
      <alignment horizontal="right" vertical="center" wrapText="1"/>
    </xf>
    <xf numFmtId="3" fontId="20" fillId="0" borderId="50" xfId="28" applyNumberFormat="1" applyFont="1" applyBorder="1" applyAlignment="1">
      <alignment horizontal="right" vertical="center" wrapText="1"/>
    </xf>
    <xf numFmtId="3" fontId="20" fillId="0" borderId="18" xfId="28" applyNumberFormat="1" applyFont="1" applyBorder="1" applyAlignment="1">
      <alignment horizontal="right" vertical="center" wrapText="1"/>
    </xf>
    <xf numFmtId="3" fontId="54" fillId="0" borderId="48" xfId="28" applyNumberFormat="1" applyFont="1" applyBorder="1" applyAlignment="1">
      <alignment horizontal="right" vertical="center" wrapText="1"/>
    </xf>
    <xf numFmtId="3" fontId="54" fillId="0" borderId="116" xfId="28" applyNumberFormat="1" applyFont="1" applyBorder="1" applyAlignment="1">
      <alignment horizontal="right" vertical="center" wrapText="1"/>
    </xf>
    <xf numFmtId="3" fontId="20" fillId="0" borderId="31" xfId="28" applyNumberFormat="1" applyFont="1" applyBorder="1" applyAlignment="1">
      <alignment horizontal="right" vertical="center" wrapText="1"/>
    </xf>
    <xf numFmtId="0" fontId="11" fillId="0" borderId="163" xfId="31" applyFont="1" applyBorder="1" applyAlignment="1">
      <alignment horizontal="center"/>
    </xf>
    <xf numFmtId="3" fontId="38" fillId="0" borderId="186" xfId="31" applyNumberFormat="1" applyFont="1" applyBorder="1" applyAlignment="1">
      <alignment horizontal="right"/>
    </xf>
    <xf numFmtId="3" fontId="38" fillId="0" borderId="92" xfId="31" applyNumberFormat="1" applyFont="1" applyBorder="1" applyAlignment="1">
      <alignment horizontal="right"/>
    </xf>
    <xf numFmtId="0" fontId="11" fillId="0" borderId="82" xfId="31" applyFont="1" applyBorder="1" applyAlignment="1">
      <alignment horizontal="center" vertical="top"/>
    </xf>
    <xf numFmtId="3" fontId="46" fillId="0" borderId="47" xfId="28" applyNumberFormat="1" applyFont="1" applyBorder="1" applyAlignment="1">
      <alignment vertical="center" wrapText="1"/>
    </xf>
    <xf numFmtId="3" fontId="46" fillId="0" borderId="31" xfId="28" applyNumberFormat="1" applyFont="1" applyBorder="1" applyAlignment="1">
      <alignment vertical="center" wrapText="1"/>
    </xf>
    <xf numFmtId="3" fontId="46" fillId="0" borderId="185" xfId="28" applyNumberFormat="1" applyFont="1" applyBorder="1" applyAlignment="1">
      <alignment vertical="center" wrapText="1"/>
    </xf>
    <xf numFmtId="3" fontId="11" fillId="0" borderId="103" xfId="28" applyNumberFormat="1" applyFont="1" applyBorder="1" applyAlignment="1">
      <alignment horizontal="right" vertical="center" wrapText="1"/>
    </xf>
    <xf numFmtId="3" fontId="46" fillId="0" borderId="85" xfId="28" applyNumberFormat="1" applyFont="1" applyBorder="1" applyAlignment="1">
      <alignment horizontal="right" vertical="center" wrapText="1"/>
    </xf>
    <xf numFmtId="3" fontId="46" fillId="0" borderId="112" xfId="28" applyNumberFormat="1" applyFont="1" applyBorder="1" applyAlignment="1">
      <alignment horizontal="right" vertical="center" wrapText="1"/>
    </xf>
    <xf numFmtId="3" fontId="46" fillId="0" borderId="111" xfId="28" applyNumberFormat="1" applyFont="1" applyBorder="1" applyAlignment="1">
      <alignment horizontal="right" vertical="center" wrapText="1"/>
    </xf>
    <xf numFmtId="3" fontId="46" fillId="0" borderId="13" xfId="28" applyNumberFormat="1" applyFont="1" applyBorder="1" applyAlignment="1">
      <alignment vertical="center" wrapText="1"/>
    </xf>
    <xf numFmtId="3" fontId="46" fillId="0" borderId="118" xfId="28" applyNumberFormat="1" applyFont="1" applyBorder="1" applyAlignment="1">
      <alignment vertical="center" wrapText="1"/>
    </xf>
    <xf numFmtId="0" fontId="14" fillId="0" borderId="17" xfId="28" applyFont="1" applyBorder="1"/>
    <xf numFmtId="3" fontId="13" fillId="0" borderId="13" xfId="30" applyNumberFormat="1" applyFont="1" applyBorder="1"/>
    <xf numFmtId="3" fontId="13" fillId="0" borderId="85" xfId="31" applyNumberFormat="1" applyFont="1" applyBorder="1" applyAlignment="1">
      <alignment horizontal="right"/>
    </xf>
    <xf numFmtId="3" fontId="11" fillId="0" borderId="85" xfId="31" applyNumberFormat="1" applyFont="1" applyBorder="1" applyAlignment="1">
      <alignment horizontal="right"/>
    </xf>
    <xf numFmtId="3" fontId="13" fillId="0" borderId="95" xfId="28" applyNumberFormat="1" applyFont="1" applyBorder="1" applyAlignment="1">
      <alignment horizontal="right" wrapText="1"/>
    </xf>
    <xf numFmtId="3" fontId="14" fillId="0" borderId="85" xfId="31" applyNumberFormat="1" applyFont="1" applyBorder="1" applyAlignment="1">
      <alignment horizontal="right"/>
    </xf>
    <xf numFmtId="3" fontId="14" fillId="0" borderId="95" xfId="28" applyNumberFormat="1" applyFont="1" applyBorder="1" applyAlignment="1">
      <alignment horizontal="right" wrapText="1"/>
    </xf>
    <xf numFmtId="3" fontId="13" fillId="0" borderId="112" xfId="28" applyNumberFormat="1" applyFont="1" applyBorder="1" applyAlignment="1">
      <alignment horizontal="right" wrapText="1"/>
    </xf>
    <xf numFmtId="3" fontId="14" fillId="0" borderId="112" xfId="28" applyNumberFormat="1" applyFont="1" applyBorder="1" applyAlignment="1">
      <alignment horizontal="right" wrapText="1"/>
    </xf>
    <xf numFmtId="3" fontId="13" fillId="0" borderId="50" xfId="31" applyNumberFormat="1" applyFont="1" applyBorder="1" applyAlignment="1">
      <alignment horizontal="right"/>
    </xf>
    <xf numFmtId="3" fontId="11" fillId="0" borderId="50" xfId="31" applyNumberFormat="1" applyFont="1" applyBorder="1" applyAlignment="1">
      <alignment horizontal="right"/>
    </xf>
    <xf numFmtId="3" fontId="14" fillId="0" borderId="50" xfId="31" applyNumberFormat="1" applyFont="1" applyBorder="1" applyAlignment="1">
      <alignment horizontal="right"/>
    </xf>
    <xf numFmtId="3" fontId="55" fillId="0" borderId="75" xfId="31" applyNumberFormat="1" applyFont="1" applyBorder="1" applyAlignment="1">
      <alignment horizontal="right"/>
    </xf>
    <xf numFmtId="3" fontId="14" fillId="0" borderId="75" xfId="31" applyNumberFormat="1" applyFont="1" applyBorder="1" applyAlignment="1">
      <alignment horizontal="right"/>
    </xf>
    <xf numFmtId="3" fontId="14" fillId="0" borderId="13" xfId="31" applyNumberFormat="1" applyFont="1" applyBorder="1" applyAlignment="1">
      <alignment horizontal="right"/>
    </xf>
    <xf numFmtId="3" fontId="11" fillId="0" borderId="75" xfId="31" applyNumberFormat="1" applyFont="1" applyBorder="1" applyAlignment="1">
      <alignment horizontal="right"/>
    </xf>
    <xf numFmtId="3" fontId="13" fillId="0" borderId="13" xfId="28" applyNumberFormat="1" applyFont="1" applyBorder="1" applyAlignment="1">
      <alignment horizontal="right" wrapText="1"/>
    </xf>
    <xf numFmtId="3" fontId="14" fillId="0" borderId="13" xfId="28" applyNumberFormat="1" applyFont="1" applyBorder="1" applyAlignment="1">
      <alignment horizontal="right" wrapText="1"/>
    </xf>
    <xf numFmtId="3" fontId="13" fillId="0" borderId="75" xfId="28" applyNumberFormat="1" applyFont="1" applyBorder="1" applyAlignment="1">
      <alignment horizontal="right" wrapText="1"/>
    </xf>
    <xf numFmtId="3" fontId="14" fillId="0" borderId="85" xfId="28" applyNumberFormat="1" applyFont="1" applyBorder="1" applyAlignment="1">
      <alignment horizontal="right" vertical="center" wrapText="1"/>
    </xf>
    <xf numFmtId="3" fontId="14" fillId="0" borderId="112" xfId="28" applyNumberFormat="1" applyFont="1" applyBorder="1" applyAlignment="1">
      <alignment horizontal="right" vertical="center" wrapText="1"/>
    </xf>
    <xf numFmtId="0" fontId="18" fillId="0" borderId="18" xfId="31" applyFont="1" applyBorder="1" applyAlignment="1">
      <alignment horizontal="center" vertical="top"/>
    </xf>
    <xf numFmtId="3" fontId="13" fillId="0" borderId="132" xfId="0" applyNumberFormat="1" applyFont="1" applyBorder="1" applyAlignment="1">
      <alignment horizontal="right" vertical="center"/>
    </xf>
    <xf numFmtId="3" fontId="18" fillId="0" borderId="31" xfId="28" applyNumberFormat="1" applyFont="1" applyBorder="1" applyAlignment="1">
      <alignment horizontal="right" vertical="center"/>
    </xf>
    <xf numFmtId="0" fontId="11" fillId="0" borderId="97" xfId="31" applyFont="1" applyBorder="1" applyAlignment="1">
      <alignment horizontal="center" vertical="top"/>
    </xf>
    <xf numFmtId="3" fontId="11" fillId="0" borderId="85" xfId="28" applyNumberFormat="1" applyFont="1" applyBorder="1" applyAlignment="1">
      <alignment horizontal="right" vertical="center" wrapText="1"/>
    </xf>
    <xf numFmtId="3" fontId="46" fillId="0" borderId="186" xfId="28" applyNumberFormat="1" applyFont="1" applyBorder="1" applyAlignment="1">
      <alignment horizontal="right" vertical="center" wrapText="1"/>
    </xf>
    <xf numFmtId="3" fontId="13" fillId="0" borderId="85" xfId="28" applyNumberFormat="1" applyFont="1" applyBorder="1" applyAlignment="1">
      <alignment horizontal="right" vertical="center" wrapText="1"/>
    </xf>
    <xf numFmtId="3" fontId="13" fillId="0" borderId="112" xfId="28" applyNumberFormat="1" applyFont="1" applyBorder="1" applyAlignment="1">
      <alignment horizontal="right" vertical="center" wrapText="1"/>
    </xf>
    <xf numFmtId="3" fontId="21" fillId="0" borderId="85" xfId="28" applyNumberFormat="1" applyFont="1" applyBorder="1" applyAlignment="1">
      <alignment horizontal="right" vertical="center" wrapText="1"/>
    </xf>
    <xf numFmtId="3" fontId="18" fillId="0" borderId="31" xfId="31" applyNumberFormat="1" applyFont="1" applyBorder="1" applyAlignment="1">
      <alignment horizontal="right" vertical="center"/>
    </xf>
    <xf numFmtId="0" fontId="11" fillId="0" borderId="13" xfId="28" applyFont="1" applyBorder="1" applyAlignment="1">
      <alignment shrinkToFit="1"/>
    </xf>
    <xf numFmtId="0" fontId="11" fillId="0" borderId="13" xfId="28" applyFont="1" applyBorder="1" applyAlignment="1">
      <alignment wrapText="1" shrinkToFit="1"/>
    </xf>
    <xf numFmtId="3" fontId="11" fillId="0" borderId="0" xfId="15" applyNumberFormat="1" applyFont="1" applyAlignment="1">
      <alignment horizontal="right" vertical="center"/>
    </xf>
    <xf numFmtId="3" fontId="20" fillId="0" borderId="0" xfId="31" applyNumberFormat="1" applyFont="1" applyAlignment="1">
      <alignment horizontal="right" vertical="center"/>
    </xf>
    <xf numFmtId="0" fontId="11" fillId="0" borderId="17" xfId="28" applyFont="1" applyBorder="1" applyAlignment="1">
      <alignment vertical="center" wrapText="1"/>
    </xf>
    <xf numFmtId="3" fontId="18" fillId="0" borderId="17" xfId="31" applyNumberFormat="1" applyFont="1" applyBorder="1" applyAlignment="1">
      <alignment horizontal="right" vertical="center"/>
    </xf>
    <xf numFmtId="0" fontId="18" fillId="0" borderId="33" xfId="31" applyFont="1" applyBorder="1" applyAlignment="1">
      <alignment horizontal="center" vertical="center" wrapText="1"/>
    </xf>
    <xf numFmtId="3" fontId="21" fillId="0" borderId="19" xfId="27" applyNumberFormat="1" applyFont="1" applyBorder="1" applyAlignment="1">
      <alignment wrapText="1"/>
    </xf>
    <xf numFmtId="0" fontId="11" fillId="0" borderId="17" xfId="28" applyFont="1" applyBorder="1" applyAlignment="1">
      <alignment wrapText="1"/>
    </xf>
    <xf numFmtId="0" fontId="11" fillId="0" borderId="17" xfId="31" applyFont="1" applyBorder="1" applyAlignment="1">
      <alignment wrapText="1"/>
    </xf>
    <xf numFmtId="3" fontId="18" fillId="0" borderId="75" xfId="31" applyNumberFormat="1" applyFont="1" applyBorder="1" applyAlignment="1">
      <alignment horizontal="right" vertical="center"/>
    </xf>
    <xf numFmtId="0" fontId="18" fillId="0" borderId="0" xfId="31" applyFont="1" applyAlignment="1">
      <alignment vertical="center"/>
    </xf>
    <xf numFmtId="0" fontId="30" fillId="0" borderId="17" xfId="28" applyFont="1" applyBorder="1" applyAlignment="1">
      <alignment wrapText="1"/>
    </xf>
    <xf numFmtId="3" fontId="34" fillId="0" borderId="165" xfId="27" applyNumberFormat="1" applyFont="1" applyBorder="1" applyAlignment="1">
      <alignment wrapText="1"/>
    </xf>
    <xf numFmtId="3" fontId="21" fillId="0" borderId="13" xfId="31" applyNumberFormat="1" applyFont="1" applyBorder="1" applyAlignment="1">
      <alignment horizontal="right" vertical="center"/>
    </xf>
    <xf numFmtId="3" fontId="20" fillId="0" borderId="13" xfId="31" applyNumberFormat="1" applyFont="1" applyBorder="1" applyAlignment="1">
      <alignment horizontal="right" vertical="center"/>
    </xf>
    <xf numFmtId="3" fontId="20" fillId="0" borderId="17" xfId="27" applyNumberFormat="1" applyFont="1" applyBorder="1" applyAlignment="1">
      <alignment wrapText="1"/>
    </xf>
    <xf numFmtId="3" fontId="48" fillId="0" borderId="13" xfId="31" applyNumberFormat="1" applyFont="1" applyBorder="1" applyAlignment="1">
      <alignment horizontal="right" vertical="center"/>
    </xf>
    <xf numFmtId="3" fontId="48" fillId="0" borderId="112" xfId="28" applyNumberFormat="1" applyFont="1" applyBorder="1" applyAlignment="1">
      <alignment horizontal="right" vertical="center" wrapText="1"/>
    </xf>
    <xf numFmtId="3" fontId="43" fillId="0" borderId="19" xfId="27" applyNumberFormat="1" applyFont="1" applyBorder="1" applyAlignment="1">
      <alignment horizontal="left" vertical="top" wrapText="1" indent="4"/>
    </xf>
    <xf numFmtId="3" fontId="20" fillId="0" borderId="19" xfId="27" applyNumberFormat="1" applyFont="1" applyBorder="1" applyAlignment="1">
      <alignment horizontal="left" vertical="top" wrapText="1" indent="4"/>
    </xf>
    <xf numFmtId="3" fontId="20" fillId="0" borderId="19" xfId="27" applyNumberFormat="1" applyFont="1" applyBorder="1" applyAlignment="1">
      <alignment horizontal="left" wrapText="1" indent="4"/>
    </xf>
    <xf numFmtId="3" fontId="20" fillId="0" borderId="95" xfId="27" applyNumberFormat="1" applyFont="1" applyBorder="1" applyAlignment="1">
      <alignment horizontal="left" vertical="top" wrapText="1" indent="4"/>
    </xf>
    <xf numFmtId="3" fontId="20" fillId="0" borderId="50" xfId="27" applyNumberFormat="1" applyFont="1" applyBorder="1" applyAlignment="1">
      <alignment horizontal="left" vertical="top" wrapText="1" indent="4"/>
    </xf>
    <xf numFmtId="3" fontId="20" fillId="0" borderId="18" xfId="27" applyNumberFormat="1" applyFont="1" applyBorder="1" applyAlignment="1">
      <alignment vertical="center" wrapText="1"/>
    </xf>
    <xf numFmtId="3" fontId="47" fillId="0" borderId="17" xfId="27" applyNumberFormat="1" applyFont="1" applyBorder="1" applyAlignment="1">
      <alignment wrapText="1"/>
    </xf>
    <xf numFmtId="3" fontId="47" fillId="0" borderId="165" xfId="27" applyNumberFormat="1" applyFont="1" applyBorder="1" applyAlignment="1">
      <alignment wrapText="1"/>
    </xf>
    <xf numFmtId="0" fontId="18" fillId="0" borderId="81" xfId="31" applyFont="1" applyBorder="1" applyAlignment="1">
      <alignment horizontal="center" vertical="center"/>
    </xf>
    <xf numFmtId="0" fontId="11" fillId="0" borderId="17" xfId="28" applyFont="1" applyBorder="1" applyAlignment="1">
      <alignment wrapText="1" shrinkToFit="1"/>
    </xf>
    <xf numFmtId="3" fontId="18" fillId="0" borderId="82" xfId="31" applyNumberFormat="1" applyFont="1" applyBorder="1" applyAlignment="1">
      <alignment horizontal="right" vertical="center"/>
    </xf>
    <xf numFmtId="0" fontId="11" fillId="0" borderId="17" xfId="0" applyFont="1" applyBorder="1" applyAlignment="1">
      <alignment wrapText="1" shrinkToFit="1"/>
    </xf>
    <xf numFmtId="0" fontId="11" fillId="0" borderId="17" xfId="28" applyFont="1" applyBorder="1" applyAlignment="1">
      <alignment shrinkToFit="1"/>
    </xf>
    <xf numFmtId="3" fontId="18" fillId="0" borderId="88" xfId="31" applyNumberFormat="1" applyFont="1" applyBorder="1" applyAlignment="1">
      <alignment horizontal="right" vertical="center"/>
    </xf>
    <xf numFmtId="3" fontId="18" fillId="0" borderId="115" xfId="31" applyNumberFormat="1" applyFont="1" applyBorder="1" applyAlignment="1">
      <alignment horizontal="right" vertical="center"/>
    </xf>
    <xf numFmtId="3" fontId="20" fillId="0" borderId="18" xfId="31" applyNumberFormat="1" applyFont="1" applyBorder="1" applyAlignment="1">
      <alignment horizontal="right" vertical="center"/>
    </xf>
    <xf numFmtId="0" fontId="50" fillId="0" borderId="17" xfId="28" applyFont="1" applyBorder="1" applyAlignment="1">
      <alignment horizontal="left" wrapText="1"/>
    </xf>
    <xf numFmtId="0" fontId="11" fillId="0" borderId="17" xfId="28" applyFont="1" applyBorder="1" applyAlignment="1">
      <alignment horizontal="left" wrapText="1"/>
    </xf>
    <xf numFmtId="0" fontId="11" fillId="0" borderId="19" xfId="28" applyFont="1" applyBorder="1" applyAlignment="1">
      <alignment horizontal="left" wrapText="1"/>
    </xf>
    <xf numFmtId="3" fontId="30" fillId="0" borderId="17" xfId="30" applyNumberFormat="1" applyFont="1" applyBorder="1"/>
    <xf numFmtId="3" fontId="30" fillId="0" borderId="18" xfId="30" applyNumberFormat="1" applyFont="1" applyBorder="1" applyAlignment="1" applyProtection="1">
      <alignment horizontal="left"/>
      <protection locked="0"/>
    </xf>
    <xf numFmtId="3" fontId="18" fillId="0" borderId="11" xfId="31" applyNumberFormat="1" applyFont="1" applyBorder="1" applyAlignment="1">
      <alignment horizontal="right" vertical="center"/>
    </xf>
    <xf numFmtId="3" fontId="18" fillId="0" borderId="166" xfId="31" applyNumberFormat="1" applyFont="1" applyBorder="1" applyAlignment="1">
      <alignment horizontal="right" vertical="center"/>
    </xf>
    <xf numFmtId="3" fontId="21" fillId="0" borderId="1" xfId="28" applyNumberFormat="1" applyFont="1" applyBorder="1" applyAlignment="1">
      <alignment vertical="center" wrapText="1"/>
    </xf>
    <xf numFmtId="3" fontId="21" fillId="0" borderId="48" xfId="28" applyNumberFormat="1" applyFont="1" applyBorder="1" applyAlignment="1">
      <alignment vertical="center" wrapText="1"/>
    </xf>
    <xf numFmtId="3" fontId="47" fillId="0" borderId="31" xfId="27" applyNumberFormat="1" applyFont="1" applyBorder="1" applyAlignment="1">
      <alignment vertical="center" wrapText="1"/>
    </xf>
    <xf numFmtId="3" fontId="47" fillId="0" borderId="185" xfId="27" applyNumberFormat="1" applyFont="1" applyBorder="1" applyAlignment="1">
      <alignment vertical="center" wrapText="1"/>
    </xf>
    <xf numFmtId="3" fontId="21" fillId="0" borderId="81" xfId="28" applyNumberFormat="1" applyFont="1" applyBorder="1" applyAlignment="1">
      <alignment vertical="center" wrapText="1"/>
    </xf>
    <xf numFmtId="3" fontId="47" fillId="0" borderId="13" xfId="27" applyNumberFormat="1" applyFont="1" applyBorder="1" applyAlignment="1">
      <alignment vertical="center" wrapText="1"/>
    </xf>
    <xf numFmtId="3" fontId="47" fillId="0" borderId="142" xfId="27" applyNumberFormat="1" applyFont="1" applyBorder="1" applyAlignment="1">
      <alignment vertical="center" wrapText="1"/>
    </xf>
    <xf numFmtId="3" fontId="24" fillId="0" borderId="13" xfId="28" applyNumberFormat="1" applyFont="1" applyBorder="1" applyAlignment="1">
      <alignment horizontal="right" vertical="center" wrapText="1"/>
    </xf>
    <xf numFmtId="3" fontId="24" fillId="0" borderId="95" xfId="28" applyNumberFormat="1" applyFont="1" applyBorder="1" applyAlignment="1">
      <alignment horizontal="right" vertical="center" wrapText="1"/>
    </xf>
    <xf numFmtId="3" fontId="21" fillId="0" borderId="10" xfId="28" applyNumberFormat="1" applyFont="1" applyBorder="1" applyAlignment="1">
      <alignment vertical="center" wrapText="1"/>
    </xf>
    <xf numFmtId="3" fontId="21" fillId="0" borderId="79" xfId="28" applyNumberFormat="1" applyFont="1" applyBorder="1" applyAlignment="1">
      <alignment horizontal="right" vertical="center" wrapText="1"/>
    </xf>
    <xf numFmtId="3" fontId="21" fillId="0" borderId="11" xfId="28" applyNumberFormat="1" applyFont="1" applyBorder="1" applyAlignment="1">
      <alignment horizontal="right" vertical="center" wrapText="1"/>
    </xf>
    <xf numFmtId="3" fontId="21" fillId="0" borderId="104" xfId="28" applyNumberFormat="1" applyFont="1" applyBorder="1" applyAlignment="1">
      <alignment horizontal="right" vertical="center" wrapText="1"/>
    </xf>
    <xf numFmtId="3" fontId="21" fillId="0" borderId="166" xfId="28" applyNumberFormat="1" applyFont="1" applyBorder="1" applyAlignment="1">
      <alignment horizontal="right" vertical="center" wrapText="1"/>
    </xf>
    <xf numFmtId="0" fontId="0" fillId="0" borderId="95" xfId="0" applyBorder="1" applyAlignment="1">
      <alignment wrapText="1"/>
    </xf>
    <xf numFmtId="3" fontId="18" fillId="0" borderId="0" xfId="32" applyNumberFormat="1" applyFont="1" applyAlignment="1">
      <alignment horizontal="right" vertical="center"/>
    </xf>
    <xf numFmtId="3" fontId="18" fillId="0" borderId="0" xfId="32" applyNumberFormat="1" applyFont="1" applyAlignment="1">
      <alignment horizontal="right" vertical="center" wrapText="1"/>
    </xf>
    <xf numFmtId="3" fontId="18" fillId="0" borderId="0" xfId="15" applyNumberFormat="1" applyFont="1" applyAlignment="1">
      <alignment horizontal="right" vertical="center"/>
    </xf>
    <xf numFmtId="0" fontId="0" fillId="0" borderId="31" xfId="0" applyBorder="1" applyAlignment="1">
      <alignment horizontal="left" wrapText="1"/>
    </xf>
    <xf numFmtId="3" fontId="18" fillId="0" borderId="72" xfId="15" applyNumberFormat="1" applyFont="1" applyBorder="1" applyAlignment="1">
      <alignment horizontal="left" vertical="top"/>
    </xf>
    <xf numFmtId="0" fontId="20" fillId="0" borderId="31" xfId="28" applyFont="1" applyBorder="1" applyAlignment="1">
      <alignment horizontal="left"/>
    </xf>
    <xf numFmtId="3" fontId="18" fillId="0" borderId="72" xfId="32" applyNumberFormat="1" applyFont="1" applyBorder="1" applyAlignment="1">
      <alignment horizontal="right"/>
    </xf>
    <xf numFmtId="3" fontId="18" fillId="0" borderId="72" xfId="32" applyNumberFormat="1" applyFont="1" applyBorder="1" applyAlignment="1">
      <alignment horizontal="right" wrapText="1"/>
    </xf>
    <xf numFmtId="3" fontId="18" fillId="0" borderId="72" xfId="15" applyNumberFormat="1" applyFont="1" applyBorder="1" applyAlignment="1">
      <alignment horizontal="center" vertical="center"/>
    </xf>
    <xf numFmtId="3" fontId="20" fillId="0" borderId="100" xfId="28" applyNumberFormat="1" applyFont="1" applyBorder="1" applyAlignment="1">
      <alignment horizontal="right" vertical="center" wrapText="1"/>
    </xf>
    <xf numFmtId="3" fontId="18" fillId="0" borderId="72" xfId="31" applyNumberFormat="1" applyFont="1" applyBorder="1" applyAlignment="1">
      <alignment horizontal="right" vertical="center"/>
    </xf>
    <xf numFmtId="0" fontId="14" fillId="0" borderId="102" xfId="28" applyFont="1" applyBorder="1"/>
    <xf numFmtId="3" fontId="11" fillId="0" borderId="72" xfId="15" applyNumberFormat="1" applyFont="1" applyBorder="1" applyAlignment="1">
      <alignment horizontal="left"/>
    </xf>
    <xf numFmtId="3" fontId="11" fillId="0" borderId="106" xfId="28" applyNumberFormat="1" applyFont="1" applyBorder="1" applyAlignment="1">
      <alignment horizontal="right" vertical="center" wrapText="1"/>
    </xf>
    <xf numFmtId="3" fontId="11" fillId="0" borderId="72" xfId="32" applyNumberFormat="1" applyFont="1" applyBorder="1" applyAlignment="1">
      <alignment horizontal="right"/>
    </xf>
    <xf numFmtId="3" fontId="14" fillId="0" borderId="100" xfId="28" applyNumberFormat="1" applyFont="1" applyBorder="1" applyAlignment="1">
      <alignment horizontal="right" vertical="center" wrapText="1"/>
    </xf>
    <xf numFmtId="3" fontId="13" fillId="0" borderId="72" xfId="32" applyNumberFormat="1" applyFont="1" applyBorder="1" applyAlignment="1">
      <alignment horizontal="right"/>
    </xf>
    <xf numFmtId="3" fontId="46" fillId="0" borderId="32" xfId="28" applyNumberFormat="1" applyFont="1" applyBorder="1" applyAlignment="1">
      <alignment horizontal="right" vertical="center" wrapText="1"/>
    </xf>
    <xf numFmtId="3" fontId="11" fillId="0" borderId="72" xfId="31" applyNumberFormat="1" applyFont="1" applyBorder="1" applyAlignment="1">
      <alignment horizontal="right"/>
    </xf>
    <xf numFmtId="3" fontId="18" fillId="0" borderId="72" xfId="32" applyNumberFormat="1" applyFont="1" applyBorder="1" applyAlignment="1">
      <alignment horizontal="right" vertical="center"/>
    </xf>
    <xf numFmtId="3" fontId="18" fillId="0" borderId="72" xfId="32" applyNumberFormat="1" applyFont="1" applyBorder="1" applyAlignment="1">
      <alignment horizontal="right" vertical="center" wrapText="1"/>
    </xf>
    <xf numFmtId="3" fontId="21" fillId="0" borderId="106" xfId="28" applyNumberFormat="1" applyFont="1" applyBorder="1" applyAlignment="1">
      <alignment horizontal="right" vertical="center" wrapText="1"/>
    </xf>
    <xf numFmtId="3" fontId="24" fillId="0" borderId="112" xfId="28" applyNumberFormat="1" applyFont="1" applyBorder="1" applyAlignment="1">
      <alignment horizontal="right" vertical="center" wrapText="1"/>
    </xf>
    <xf numFmtId="0" fontId="20" fillId="0" borderId="105" xfId="28" applyFont="1" applyBorder="1" applyAlignment="1">
      <alignment horizontal="left"/>
    </xf>
    <xf numFmtId="3" fontId="14" fillId="0" borderId="159" xfId="0" applyNumberFormat="1" applyFont="1" applyBorder="1" applyAlignment="1">
      <alignment horizontal="center" vertical="center" wrapText="1"/>
    </xf>
    <xf numFmtId="3" fontId="25" fillId="0" borderId="187" xfId="0" applyNumberFormat="1" applyFont="1" applyBorder="1" applyAlignment="1">
      <alignment horizontal="right"/>
    </xf>
    <xf numFmtId="3" fontId="14" fillId="0" borderId="187" xfId="0" applyNumberFormat="1" applyFont="1" applyBorder="1"/>
    <xf numFmtId="3" fontId="25" fillId="0" borderId="188" xfId="0" applyNumberFormat="1" applyFont="1" applyBorder="1" applyAlignment="1">
      <alignment vertical="center"/>
    </xf>
    <xf numFmtId="3" fontId="14" fillId="0" borderId="187" xfId="0" applyNumberFormat="1" applyFont="1" applyBorder="1" applyAlignment="1">
      <alignment horizontal="right"/>
    </xf>
    <xf numFmtId="3" fontId="25" fillId="0" borderId="189" xfId="0" applyNumberFormat="1" applyFont="1" applyBorder="1" applyAlignment="1">
      <alignment horizontal="right" vertical="center"/>
    </xf>
    <xf numFmtId="3" fontId="25" fillId="0" borderId="190" xfId="0" applyNumberFormat="1" applyFont="1" applyBorder="1" applyAlignment="1">
      <alignment horizontal="right" vertical="center"/>
    </xf>
    <xf numFmtId="3" fontId="14" fillId="0" borderId="187" xfId="0" applyNumberFormat="1" applyFont="1" applyBorder="1" applyAlignment="1">
      <alignment horizontal="right" vertical="center"/>
    </xf>
    <xf numFmtId="3" fontId="14" fillId="0" borderId="189" xfId="0" applyNumberFormat="1" applyFont="1" applyBorder="1" applyAlignment="1">
      <alignment horizontal="right" vertical="center"/>
    </xf>
    <xf numFmtId="3" fontId="25" fillId="0" borderId="192" xfId="0" applyNumberFormat="1" applyFont="1" applyBorder="1" applyAlignment="1">
      <alignment horizontal="right" vertical="center"/>
    </xf>
    <xf numFmtId="3" fontId="25" fillId="0" borderId="187" xfId="0" applyNumberFormat="1" applyFont="1" applyBorder="1" applyAlignment="1">
      <alignment horizontal="right" vertical="center"/>
    </xf>
    <xf numFmtId="3" fontId="25" fillId="0" borderId="191" xfId="0" applyNumberFormat="1" applyFont="1" applyBorder="1" applyAlignment="1">
      <alignment horizontal="right" vertical="center"/>
    </xf>
    <xf numFmtId="165" fontId="14" fillId="0" borderId="187" xfId="33" applyNumberFormat="1" applyFont="1" applyFill="1" applyBorder="1" applyAlignment="1">
      <alignment horizontal="right"/>
    </xf>
    <xf numFmtId="165" fontId="14" fillId="0" borderId="129" xfId="33" applyNumberFormat="1" applyFont="1" applyFill="1" applyBorder="1" applyAlignment="1">
      <alignment horizontal="right"/>
    </xf>
    <xf numFmtId="3" fontId="21" fillId="0" borderId="201" xfId="28" applyNumberFormat="1" applyFont="1" applyBorder="1" applyAlignment="1">
      <alignment vertical="center" wrapText="1"/>
    </xf>
    <xf numFmtId="3" fontId="21" fillId="0" borderId="202" xfId="28" applyNumberFormat="1" applyFont="1" applyBorder="1" applyAlignment="1">
      <alignment vertical="center" wrapText="1"/>
    </xf>
    <xf numFmtId="0" fontId="20" fillId="0" borderId="203" xfId="28" applyFont="1" applyBorder="1" applyAlignment="1">
      <alignment horizontal="left"/>
    </xf>
    <xf numFmtId="3" fontId="34" fillId="0" borderId="202" xfId="27" applyNumberFormat="1" applyFont="1" applyBorder="1" applyAlignment="1">
      <alignment wrapText="1"/>
    </xf>
    <xf numFmtId="3" fontId="34" fillId="0" borderId="204" xfId="27" applyNumberFormat="1" applyFont="1" applyBorder="1" applyAlignment="1">
      <alignment wrapText="1"/>
    </xf>
    <xf numFmtId="3" fontId="21" fillId="0" borderId="205" xfId="28" applyNumberFormat="1" applyFont="1" applyBorder="1" applyAlignment="1">
      <alignment horizontal="right" vertical="center" wrapText="1"/>
    </xf>
    <xf numFmtId="3" fontId="20" fillId="0" borderId="202" xfId="28" applyNumberFormat="1" applyFont="1" applyBorder="1" applyAlignment="1">
      <alignment horizontal="right" vertical="center" wrapText="1"/>
    </xf>
    <xf numFmtId="3" fontId="20" fillId="0" borderId="206" xfId="28" applyNumberFormat="1" applyFont="1" applyBorder="1" applyAlignment="1">
      <alignment horizontal="right" vertical="center" wrapText="1"/>
    </xf>
    <xf numFmtId="3" fontId="21" fillId="0" borderId="207" xfId="28" applyNumberFormat="1" applyFont="1" applyBorder="1" applyAlignment="1">
      <alignment horizontal="right" vertical="center" wrapText="1"/>
    </xf>
    <xf numFmtId="0" fontId="13" fillId="0" borderId="208" xfId="31" applyFont="1" applyBorder="1" applyAlignment="1">
      <alignment horizontal="center"/>
    </xf>
    <xf numFmtId="0" fontId="11" fillId="0" borderId="202" xfId="31" applyFont="1" applyBorder="1" applyAlignment="1">
      <alignment horizontal="center" vertical="top"/>
    </xf>
    <xf numFmtId="0" fontId="14" fillId="0" borderId="203" xfId="28" applyFont="1" applyBorder="1"/>
    <xf numFmtId="3" fontId="11" fillId="0" borderId="202" xfId="31" applyNumberFormat="1" applyFont="1" applyBorder="1" applyAlignment="1">
      <alignment horizontal="right"/>
    </xf>
    <xf numFmtId="3" fontId="11" fillId="0" borderId="209" xfId="31" applyNumberFormat="1" applyFont="1" applyBorder="1" applyAlignment="1">
      <alignment horizontal="right"/>
    </xf>
    <xf numFmtId="0" fontId="11" fillId="0" borderId="205" xfId="31" applyFont="1" applyBorder="1" applyAlignment="1">
      <alignment horizontal="center" wrapText="1"/>
    </xf>
    <xf numFmtId="3" fontId="13" fillId="0" borderId="210" xfId="31" applyNumberFormat="1" applyFont="1" applyBorder="1" applyAlignment="1">
      <alignment horizontal="right"/>
    </xf>
    <xf numFmtId="3" fontId="14" fillId="0" borderId="210" xfId="31" applyNumberFormat="1" applyFont="1" applyBorder="1" applyAlignment="1">
      <alignment horizontal="right"/>
    </xf>
    <xf numFmtId="3" fontId="11" fillId="0" borderId="210" xfId="31" applyNumberFormat="1" applyFont="1" applyBorder="1" applyAlignment="1">
      <alignment horizontal="right"/>
    </xf>
    <xf numFmtId="3" fontId="14" fillId="0" borderId="206" xfId="28" applyNumberFormat="1" applyFont="1" applyBorder="1" applyAlignment="1">
      <alignment horizontal="right" wrapText="1"/>
    </xf>
    <xf numFmtId="3" fontId="38" fillId="0" borderId="207" xfId="31" applyNumberFormat="1" applyFont="1" applyBorder="1" applyAlignment="1">
      <alignment horizontal="right"/>
    </xf>
    <xf numFmtId="3" fontId="20" fillId="0" borderId="202" xfId="0" applyNumberFormat="1" applyFont="1" applyBorder="1"/>
    <xf numFmtId="0" fontId="11" fillId="0" borderId="144" xfId="0" applyFont="1" applyBorder="1" applyAlignment="1">
      <alignment horizontal="center" vertical="center" wrapText="1"/>
    </xf>
    <xf numFmtId="0" fontId="11" fillId="0" borderId="152" xfId="0" applyFont="1" applyBorder="1"/>
    <xf numFmtId="3" fontId="11" fillId="0" borderId="152" xfId="0" applyNumberFormat="1" applyFont="1" applyBorder="1"/>
    <xf numFmtId="0" fontId="11" fillId="0" borderId="152" xfId="0" applyFont="1" applyBorder="1" applyAlignment="1">
      <alignment vertical="center"/>
    </xf>
    <xf numFmtId="0" fontId="11" fillId="0" borderId="174" xfId="0" applyFont="1" applyBorder="1" applyAlignment="1">
      <alignment vertical="center"/>
    </xf>
    <xf numFmtId="0" fontId="14" fillId="0" borderId="146" xfId="0" applyFont="1" applyBorder="1" applyAlignment="1">
      <alignment horizontal="center" vertical="center" wrapText="1"/>
    </xf>
    <xf numFmtId="0" fontId="13" fillId="0" borderId="0" xfId="0" applyFont="1" applyAlignment="1">
      <alignment horizontal="center"/>
    </xf>
    <xf numFmtId="0" fontId="11" fillId="0" borderId="15" xfId="0" applyFont="1" applyBorder="1"/>
    <xf numFmtId="0" fontId="11" fillId="0" borderId="0" xfId="0" applyFont="1" applyAlignment="1">
      <alignment wrapText="1"/>
    </xf>
    <xf numFmtId="0" fontId="11" fillId="0" borderId="0" xfId="0" applyFont="1" applyAlignment="1">
      <alignment vertical="top"/>
    </xf>
    <xf numFmtId="1" fontId="11" fillId="0" borderId="0" xfId="0" applyNumberFormat="1" applyFont="1" applyAlignment="1">
      <alignment horizontal="center"/>
    </xf>
    <xf numFmtId="3" fontId="11" fillId="0" borderId="0" xfId="0" applyNumberFormat="1" applyFont="1" applyAlignment="1">
      <alignment horizontal="center"/>
    </xf>
    <xf numFmtId="0" fontId="13" fillId="0" borderId="0" xfId="0" applyFont="1" applyAlignment="1">
      <alignment horizontal="left" vertical="center"/>
    </xf>
    <xf numFmtId="0" fontId="11" fillId="0" borderId="0" xfId="0" applyFont="1" applyAlignment="1">
      <alignment horizontal="left" indent="2"/>
    </xf>
    <xf numFmtId="0" fontId="13" fillId="0" borderId="0" xfId="0" applyFont="1" applyAlignment="1">
      <alignment horizontal="left" vertical="center" wrapText="1"/>
    </xf>
    <xf numFmtId="3" fontId="14" fillId="0" borderId="15" xfId="0" applyNumberFormat="1" applyFont="1" applyBorder="1"/>
    <xf numFmtId="3" fontId="25" fillId="0" borderId="147" xfId="0" applyNumberFormat="1" applyFont="1" applyBorder="1" applyAlignment="1">
      <alignment horizontal="right" vertical="center"/>
    </xf>
    <xf numFmtId="0" fontId="14" fillId="0" borderId="15" xfId="0" applyFont="1" applyBorder="1"/>
    <xf numFmtId="3" fontId="14" fillId="0" borderId="15" xfId="0" applyNumberFormat="1" applyFont="1" applyBorder="1" applyAlignment="1">
      <alignment horizontal="right"/>
    </xf>
    <xf numFmtId="3" fontId="25" fillId="0" borderId="212" xfId="0" applyNumberFormat="1" applyFont="1" applyBorder="1" applyAlignment="1">
      <alignment horizontal="right" vertical="center"/>
    </xf>
    <xf numFmtId="3" fontId="25" fillId="0" borderId="83" xfId="0" applyNumberFormat="1" applyFont="1" applyBorder="1" applyAlignment="1">
      <alignment horizontal="right" vertical="center"/>
    </xf>
    <xf numFmtId="0" fontId="14" fillId="0" borderId="15" xfId="0" applyFont="1" applyBorder="1" applyAlignment="1">
      <alignment vertical="center"/>
    </xf>
    <xf numFmtId="3" fontId="14" fillId="0" borderId="15" xfId="0" applyNumberFormat="1" applyFont="1" applyBorder="1" applyAlignment="1">
      <alignment horizontal="right" vertical="center"/>
    </xf>
    <xf numFmtId="3" fontId="14" fillId="0" borderId="212" xfId="0" applyNumberFormat="1" applyFont="1" applyBorder="1" applyAlignment="1">
      <alignment horizontal="right" vertical="center"/>
    </xf>
    <xf numFmtId="0" fontId="14" fillId="0" borderId="71" xfId="0" applyFont="1" applyBorder="1" applyAlignment="1">
      <alignment vertical="center"/>
    </xf>
    <xf numFmtId="165" fontId="14" fillId="0" borderId="15" xfId="33" applyNumberFormat="1" applyFont="1" applyFill="1" applyBorder="1" applyAlignment="1">
      <alignment horizontal="right"/>
    </xf>
    <xf numFmtId="165" fontId="14" fillId="0" borderId="16" xfId="33" applyNumberFormat="1" applyFont="1" applyFill="1" applyBorder="1" applyAlignment="1">
      <alignment horizontal="right"/>
    </xf>
    <xf numFmtId="3" fontId="14" fillId="0" borderId="75" xfId="28" applyNumberFormat="1" applyFont="1" applyBorder="1" applyAlignment="1">
      <alignment horizontal="right" wrapText="1"/>
    </xf>
    <xf numFmtId="3" fontId="11" fillId="0" borderId="0" xfId="29" applyNumberFormat="1" applyFont="1" applyAlignment="1">
      <alignment horizontal="center" vertical="center"/>
    </xf>
    <xf numFmtId="0" fontId="11" fillId="0" borderId="0" xfId="0" applyFont="1" applyAlignment="1">
      <alignment horizontal="left" vertical="top"/>
    </xf>
    <xf numFmtId="3" fontId="11" fillId="0" borderId="0" xfId="29" applyNumberFormat="1" applyFont="1"/>
    <xf numFmtId="3" fontId="18" fillId="0" borderId="0" xfId="29" applyNumberFormat="1" applyFont="1" applyAlignment="1">
      <alignment horizontal="center"/>
    </xf>
    <xf numFmtId="3" fontId="18" fillId="0" borderId="0" xfId="29" applyNumberFormat="1" applyFont="1" applyAlignment="1">
      <alignment horizontal="left" wrapText="1"/>
    </xf>
    <xf numFmtId="14" fontId="18" fillId="0" borderId="0" xfId="29" applyNumberFormat="1" applyFont="1" applyAlignment="1">
      <alignment horizontal="center"/>
    </xf>
    <xf numFmtId="3" fontId="18" fillId="0" borderId="0" xfId="29" applyNumberFormat="1" applyFont="1"/>
    <xf numFmtId="3" fontId="18" fillId="0" borderId="0" xfId="29" applyNumberFormat="1" applyFont="1" applyAlignment="1">
      <alignment horizontal="center" wrapText="1"/>
    </xf>
    <xf numFmtId="3" fontId="18" fillId="0" borderId="15" xfId="29" applyNumberFormat="1" applyFont="1" applyBorder="1" applyAlignment="1">
      <alignment horizontal="center" vertical="center" wrapText="1"/>
    </xf>
    <xf numFmtId="3" fontId="11" fillId="0" borderId="221" xfId="29" applyNumberFormat="1" applyFont="1" applyBorder="1" applyAlignment="1">
      <alignment horizontal="center" vertical="center" wrapText="1"/>
    </xf>
    <xf numFmtId="3" fontId="11" fillId="0" borderId="72" xfId="29" applyNumberFormat="1" applyFont="1" applyBorder="1" applyAlignment="1">
      <alignment horizontal="center" vertical="center" wrapText="1"/>
    </xf>
    <xf numFmtId="3" fontId="11" fillId="0" borderId="0" xfId="29" applyNumberFormat="1" applyFont="1" applyAlignment="1">
      <alignment horizontal="center" vertical="center" wrapText="1"/>
    </xf>
    <xf numFmtId="3" fontId="11" fillId="0" borderId="223" xfId="29" applyNumberFormat="1" applyFont="1" applyBorder="1" applyAlignment="1">
      <alignment horizontal="center" vertical="center" wrapText="1"/>
    </xf>
    <xf numFmtId="0" fontId="11" fillId="0" borderId="143" xfId="29" applyFont="1" applyBorder="1" applyAlignment="1">
      <alignment horizontal="center" vertical="center" wrapText="1"/>
    </xf>
    <xf numFmtId="3" fontId="11" fillId="0" borderId="70" xfId="29" applyNumberFormat="1" applyFont="1" applyBorder="1" applyAlignment="1">
      <alignment horizontal="center" vertical="center" wrapText="1"/>
    </xf>
    <xf numFmtId="3" fontId="11" fillId="0" borderId="114" xfId="29" applyNumberFormat="1" applyFont="1" applyBorder="1" applyAlignment="1">
      <alignment horizontal="center" vertical="center" wrapText="1"/>
    </xf>
    <xf numFmtId="3" fontId="18" fillId="0" borderId="0" xfId="29" applyNumberFormat="1" applyFont="1" applyAlignment="1">
      <alignment horizontal="center" vertical="center" wrapText="1"/>
    </xf>
    <xf numFmtId="3" fontId="11" fillId="0" borderId="1" xfId="29" applyNumberFormat="1" applyFont="1" applyBorder="1" applyAlignment="1">
      <alignment horizontal="center" wrapText="1"/>
    </xf>
    <xf numFmtId="3" fontId="30" fillId="0" borderId="49" xfId="29" applyNumberFormat="1" applyFont="1" applyBorder="1" applyAlignment="1">
      <alignment horizontal="left"/>
    </xf>
    <xf numFmtId="3" fontId="11" fillId="0" borderId="48" xfId="29" applyNumberFormat="1" applyFont="1" applyBorder="1" applyAlignment="1">
      <alignment horizontal="center" wrapText="1"/>
    </xf>
    <xf numFmtId="14" fontId="11" fillId="0" borderId="96" xfId="29" applyNumberFormat="1" applyFont="1" applyBorder="1" applyAlignment="1">
      <alignment horizontal="center" vertical="center" wrapText="1"/>
    </xf>
    <xf numFmtId="3" fontId="11" fillId="0" borderId="228" xfId="29" applyNumberFormat="1" applyFont="1" applyBorder="1" applyAlignment="1">
      <alignment horizontal="center" vertical="center" wrapText="1"/>
    </xf>
    <xf numFmtId="3" fontId="11" fillId="0" borderId="86" xfId="29" applyNumberFormat="1" applyFont="1" applyBorder="1" applyAlignment="1">
      <alignment horizontal="center" vertical="center" wrapText="1"/>
    </xf>
    <xf numFmtId="0" fontId="11" fillId="0" borderId="229" xfId="29" applyFont="1" applyBorder="1" applyAlignment="1">
      <alignment horizontal="center" vertical="center" wrapText="1"/>
    </xf>
    <xf numFmtId="3" fontId="11" fillId="0" borderId="96" xfId="29" applyNumberFormat="1" applyFont="1" applyBorder="1" applyAlignment="1">
      <alignment horizontal="center" vertical="center" wrapText="1"/>
    </xf>
    <xf numFmtId="3" fontId="11" fillId="0" borderId="229" xfId="29" applyNumberFormat="1" applyFont="1" applyBorder="1" applyAlignment="1">
      <alignment horizontal="center" vertical="center" wrapText="1"/>
    </xf>
    <xf numFmtId="3" fontId="11" fillId="0" borderId="81" xfId="29" applyNumberFormat="1" applyFont="1" applyBorder="1" applyAlignment="1">
      <alignment horizontal="center" wrapText="1"/>
    </xf>
    <xf numFmtId="3" fontId="11" fillId="0" borderId="13" xfId="29" applyNumberFormat="1" applyFont="1" applyBorder="1" applyAlignment="1">
      <alignment horizontal="center" vertical="top" wrapText="1"/>
    </xf>
    <xf numFmtId="14" fontId="11" fillId="0" borderId="95" xfId="29" applyNumberFormat="1" applyFont="1" applyBorder="1" applyAlignment="1">
      <alignment horizontal="center" vertical="center" wrapText="1"/>
    </xf>
    <xf numFmtId="3" fontId="11" fillId="0" borderId="82" xfId="29" applyNumberFormat="1" applyFont="1" applyBorder="1" applyAlignment="1">
      <alignment horizontal="center" vertical="center" wrapText="1"/>
    </xf>
    <xf numFmtId="3" fontId="11" fillId="0" borderId="33" xfId="29" applyNumberFormat="1" applyFont="1" applyBorder="1" applyAlignment="1">
      <alignment horizontal="right" vertical="center" wrapText="1"/>
    </xf>
    <xf numFmtId="3" fontId="11" fillId="0" borderId="75" xfId="29" applyNumberFormat="1" applyFont="1" applyBorder="1" applyAlignment="1">
      <alignment horizontal="center" vertical="center" wrapText="1"/>
    </xf>
    <xf numFmtId="3" fontId="11" fillId="0" borderId="17" xfId="29" applyNumberFormat="1" applyFont="1" applyBorder="1" applyAlignment="1">
      <alignment horizontal="right" vertical="center" wrapText="1"/>
    </xf>
    <xf numFmtId="3" fontId="11" fillId="0" borderId="95" xfId="29" applyNumberFormat="1" applyFont="1" applyBorder="1" applyAlignment="1">
      <alignment horizontal="right" vertical="center" wrapText="1"/>
    </xf>
    <xf numFmtId="3" fontId="11" fillId="0" borderId="81" xfId="29" applyNumberFormat="1" applyFont="1" applyBorder="1" applyAlignment="1">
      <alignment horizontal="center" vertical="center" wrapText="1"/>
    </xf>
    <xf numFmtId="14" fontId="11" fillId="0" borderId="112" xfId="29" applyNumberFormat="1" applyFont="1" applyBorder="1" applyAlignment="1">
      <alignment horizontal="center" vertical="center" wrapText="1"/>
    </xf>
    <xf numFmtId="3" fontId="11" fillId="0" borderId="46" xfId="29" applyNumberFormat="1" applyFont="1" applyBorder="1" applyAlignment="1">
      <alignment horizontal="right" vertical="center" wrapText="1"/>
    </xf>
    <xf numFmtId="3" fontId="11" fillId="0" borderId="85" xfId="29" applyNumberFormat="1" applyFont="1" applyBorder="1" applyAlignment="1">
      <alignment horizontal="right" vertical="center" wrapText="1"/>
    </xf>
    <xf numFmtId="3" fontId="11" fillId="0" borderId="102" xfId="29" applyNumberFormat="1" applyFont="1" applyBorder="1" applyAlignment="1">
      <alignment horizontal="right" vertical="center" wrapText="1"/>
    </xf>
    <xf numFmtId="3" fontId="11" fillId="0" borderId="13" xfId="29" applyNumberFormat="1" applyFont="1" applyBorder="1" applyAlignment="1">
      <alignment horizontal="center" wrapText="1"/>
    </xf>
    <xf numFmtId="3" fontId="11" fillId="0" borderId="223" xfId="29" applyNumberFormat="1" applyFont="1" applyBorder="1" applyAlignment="1">
      <alignment horizontal="right" vertical="center" wrapText="1"/>
    </xf>
    <xf numFmtId="3" fontId="11" fillId="0" borderId="13" xfId="29" applyNumberFormat="1" applyFont="1" applyBorder="1" applyAlignment="1">
      <alignment horizontal="right" vertical="center" wrapText="1"/>
    </xf>
    <xf numFmtId="3" fontId="11" fillId="0" borderId="230" xfId="29" applyNumberFormat="1" applyFont="1" applyBorder="1" applyAlignment="1">
      <alignment horizontal="right" vertical="center" wrapText="1"/>
    </xf>
    <xf numFmtId="3" fontId="11" fillId="0" borderId="50" xfId="29" applyNumberFormat="1" applyFont="1" applyBorder="1" applyAlignment="1">
      <alignment horizontal="right" vertical="center" wrapText="1"/>
    </xf>
    <xf numFmtId="3" fontId="11" fillId="0" borderId="165" xfId="29" applyNumberFormat="1" applyFont="1" applyBorder="1" applyAlignment="1">
      <alignment horizontal="right" vertical="center" wrapText="1"/>
    </xf>
    <xf numFmtId="3" fontId="13" fillId="0" borderId="231" xfId="29" applyNumberFormat="1" applyFont="1" applyBorder="1" applyAlignment="1">
      <alignment horizontal="right" vertical="center"/>
    </xf>
    <xf numFmtId="3" fontId="13" fillId="0" borderId="232" xfId="29" applyNumberFormat="1" applyFont="1" applyBorder="1" applyAlignment="1">
      <alignment horizontal="right" vertical="center"/>
    </xf>
    <xf numFmtId="3" fontId="13" fillId="0" borderId="45" xfId="29" applyNumberFormat="1" applyFont="1" applyBorder="1" applyAlignment="1">
      <alignment horizontal="right" vertical="center"/>
    </xf>
    <xf numFmtId="3" fontId="13" fillId="0" borderId="200" xfId="29" applyNumberFormat="1" applyFont="1" applyBorder="1" applyAlignment="1">
      <alignment horizontal="right" vertical="center"/>
    </xf>
    <xf numFmtId="3" fontId="13" fillId="0" borderId="87" xfId="29" applyNumberFormat="1" applyFont="1" applyBorder="1" applyAlignment="1">
      <alignment horizontal="right" vertical="center"/>
    </xf>
    <xf numFmtId="3" fontId="11" fillId="0" borderId="0" xfId="29" applyNumberFormat="1" applyFont="1" applyAlignment="1">
      <alignment horizontal="left" wrapText="1"/>
    </xf>
    <xf numFmtId="3" fontId="11" fillId="0" borderId="0" xfId="29" applyNumberFormat="1" applyFont="1" applyAlignment="1">
      <alignment horizontal="center"/>
    </xf>
    <xf numFmtId="14" fontId="11" fillId="0" borderId="0" xfId="29" applyNumberFormat="1" applyFont="1" applyAlignment="1">
      <alignment horizontal="center"/>
    </xf>
    <xf numFmtId="3" fontId="11" fillId="0" borderId="3" xfId="29" applyNumberFormat="1" applyFont="1" applyBorder="1" applyAlignment="1">
      <alignment horizontal="center" vertical="center" wrapText="1"/>
    </xf>
    <xf numFmtId="3" fontId="11" fillId="0" borderId="82" xfId="29" applyNumberFormat="1" applyFont="1" applyBorder="1" applyAlignment="1">
      <alignment horizontal="right" vertical="center" wrapText="1"/>
    </xf>
    <xf numFmtId="3" fontId="11" fillId="0" borderId="97" xfId="29" applyNumberFormat="1" applyFont="1" applyBorder="1" applyAlignment="1">
      <alignment horizontal="right" vertical="center" wrapText="1"/>
    </xf>
    <xf numFmtId="3" fontId="25" fillId="2" borderId="221" xfId="29" applyNumberFormat="1" applyFont="1" applyFill="1" applyBorder="1" applyAlignment="1">
      <alignment horizontal="center" vertical="center" wrapText="1"/>
    </xf>
    <xf numFmtId="3" fontId="25" fillId="2" borderId="230" xfId="29" applyNumberFormat="1" applyFont="1" applyFill="1" applyBorder="1" applyAlignment="1">
      <alignment horizontal="right" vertical="center" wrapText="1"/>
    </xf>
    <xf numFmtId="3" fontId="25" fillId="2" borderId="234" xfId="29" applyNumberFormat="1" applyFont="1" applyFill="1" applyBorder="1" applyAlignment="1">
      <alignment horizontal="right" vertical="center" wrapText="1"/>
    </xf>
    <xf numFmtId="3" fontId="25" fillId="2" borderId="235" xfId="29" applyNumberFormat="1" applyFont="1" applyFill="1" applyBorder="1" applyAlignment="1">
      <alignment horizontal="right" vertical="center" wrapText="1"/>
    </xf>
    <xf numFmtId="3" fontId="25" fillId="2" borderId="200" xfId="29" applyNumberFormat="1" applyFont="1" applyFill="1" applyBorder="1" applyAlignment="1">
      <alignment horizontal="right" vertical="center"/>
    </xf>
    <xf numFmtId="3" fontId="13" fillId="0" borderId="109" xfId="29" applyNumberFormat="1" applyFont="1" applyBorder="1" applyAlignment="1">
      <alignment horizontal="right" vertical="center"/>
    </xf>
    <xf numFmtId="3" fontId="11" fillId="0" borderId="0" xfId="29" applyNumberFormat="1" applyFont="1" applyAlignment="1">
      <alignment horizontal="right" vertical="center" wrapText="1"/>
    </xf>
    <xf numFmtId="3" fontId="25" fillId="2" borderId="92" xfId="29" applyNumberFormat="1" applyFont="1" applyFill="1" applyBorder="1" applyAlignment="1">
      <alignment horizontal="center" vertical="center" wrapText="1"/>
    </xf>
    <xf numFmtId="3" fontId="25" fillId="2" borderId="237" xfId="29" applyNumberFormat="1" applyFont="1" applyFill="1" applyBorder="1"/>
    <xf numFmtId="3" fontId="25" fillId="2" borderId="93" xfId="29" applyNumberFormat="1" applyFont="1" applyFill="1" applyBorder="1" applyAlignment="1">
      <alignment horizontal="right" vertical="center" wrapText="1"/>
    </xf>
    <xf numFmtId="3" fontId="25" fillId="2" borderId="238" xfId="29" applyNumberFormat="1" applyFont="1" applyFill="1" applyBorder="1" applyAlignment="1">
      <alignment horizontal="right" vertical="center"/>
    </xf>
    <xf numFmtId="3" fontId="25" fillId="2" borderId="93" xfId="29" applyNumberFormat="1" applyFont="1" applyFill="1" applyBorder="1" applyAlignment="1">
      <alignment vertical="center"/>
    </xf>
    <xf numFmtId="3" fontId="24" fillId="0" borderId="21" xfId="0" applyNumberFormat="1" applyFont="1" applyBorder="1"/>
    <xf numFmtId="3" fontId="20" fillId="0" borderId="21" xfId="0" applyNumberFormat="1" applyFont="1" applyBorder="1"/>
    <xf numFmtId="3" fontId="11" fillId="0" borderId="0" xfId="0" applyNumberFormat="1" applyFont="1" applyAlignment="1">
      <alignment horizontal="right"/>
    </xf>
    <xf numFmtId="0" fontId="18" fillId="0" borderId="0" xfId="0" applyFont="1" applyAlignment="1">
      <alignment horizontal="center"/>
    </xf>
    <xf numFmtId="3" fontId="18" fillId="0" borderId="0" xfId="0" applyNumberFormat="1" applyFont="1" applyAlignment="1">
      <alignment horizontal="center"/>
    </xf>
    <xf numFmtId="3" fontId="18" fillId="0" borderId="0" xfId="0" applyNumberFormat="1" applyFont="1"/>
    <xf numFmtId="3" fontId="20" fillId="0" borderId="0" xfId="0" applyNumberFormat="1" applyFont="1" applyAlignment="1">
      <alignment horizontal="right"/>
    </xf>
    <xf numFmtId="3" fontId="18" fillId="0" borderId="0" xfId="0" applyNumberFormat="1" applyFont="1" applyAlignment="1">
      <alignment horizontal="right"/>
    </xf>
    <xf numFmtId="0" fontId="18" fillId="0" borderId="0" xfId="0" applyFont="1"/>
    <xf numFmtId="0" fontId="15" fillId="0" borderId="3" xfId="0" applyFont="1" applyBorder="1" applyAlignment="1">
      <alignment horizontal="center"/>
    </xf>
    <xf numFmtId="3" fontId="15" fillId="0" borderId="3" xfId="0" applyNumberFormat="1" applyFont="1" applyBorder="1" applyAlignment="1">
      <alignment horizontal="center"/>
    </xf>
    <xf numFmtId="3" fontId="15" fillId="0" borderId="0" xfId="0" applyNumberFormat="1" applyFont="1" applyAlignment="1">
      <alignment horizontal="center" vertical="center"/>
    </xf>
    <xf numFmtId="3" fontId="15" fillId="0" borderId="0" xfId="26" applyNumberFormat="1" applyFont="1" applyAlignment="1">
      <alignment horizontal="center"/>
    </xf>
    <xf numFmtId="3" fontId="11" fillId="0" borderId="42" xfId="26" applyNumberFormat="1" applyFont="1" applyBorder="1" applyAlignment="1">
      <alignment horizontal="center" vertical="center" textRotation="90" wrapText="1"/>
    </xf>
    <xf numFmtId="3" fontId="18" fillId="0" borderId="27" xfId="26" applyNumberFormat="1" applyFont="1" applyBorder="1" applyAlignment="1">
      <alignment horizontal="center" vertical="center" wrapText="1"/>
    </xf>
    <xf numFmtId="3" fontId="13" fillId="0" borderId="27" xfId="26" applyNumberFormat="1" applyFont="1" applyBorder="1" applyAlignment="1">
      <alignment horizontal="center" vertical="center" wrapText="1"/>
    </xf>
    <xf numFmtId="3" fontId="11" fillId="0" borderId="43" xfId="26" applyNumberFormat="1" applyFont="1" applyBorder="1" applyAlignment="1">
      <alignment horizontal="center" vertical="center" wrapText="1"/>
    </xf>
    <xf numFmtId="3" fontId="11" fillId="0" borderId="27" xfId="26" applyNumberFormat="1" applyFont="1" applyBorder="1" applyAlignment="1">
      <alignment horizontal="center" vertical="center" wrapText="1"/>
    </xf>
    <xf numFmtId="3" fontId="11" fillId="0" borderId="9" xfId="26" applyNumberFormat="1" applyFont="1" applyBorder="1" applyAlignment="1">
      <alignment horizontal="center" vertical="center" wrapText="1"/>
    </xf>
    <xf numFmtId="3" fontId="13" fillId="0" borderId="180" xfId="26" applyNumberFormat="1" applyFont="1" applyBorder="1" applyAlignment="1">
      <alignment horizontal="center" vertical="center" wrapText="1"/>
    </xf>
    <xf numFmtId="3" fontId="14" fillId="0" borderId="239" xfId="26" applyNumberFormat="1" applyFont="1" applyBorder="1" applyAlignment="1">
      <alignment horizontal="center" vertical="center"/>
    </xf>
    <xf numFmtId="3" fontId="11" fillId="0" borderId="0" xfId="26" applyNumberFormat="1" applyFont="1"/>
    <xf numFmtId="3" fontId="11" fillId="0" borderId="37" xfId="26" applyNumberFormat="1" applyFont="1" applyBorder="1" applyAlignment="1">
      <alignment horizontal="center" textRotation="90" wrapText="1"/>
    </xf>
    <xf numFmtId="3" fontId="11" fillId="0" borderId="7" xfId="26" applyNumberFormat="1" applyFont="1" applyBorder="1" applyAlignment="1">
      <alignment horizontal="center" wrapText="1"/>
    </xf>
    <xf numFmtId="3" fontId="13" fillId="0" borderId="7" xfId="26" applyNumberFormat="1" applyFont="1" applyBorder="1" applyAlignment="1">
      <alignment horizontal="left" wrapText="1"/>
    </xf>
    <xf numFmtId="3" fontId="13" fillId="0" borderId="7" xfId="26" applyNumberFormat="1" applyFont="1" applyBorder="1" applyAlignment="1">
      <alignment horizontal="right" wrapText="1"/>
    </xf>
    <xf numFmtId="3" fontId="13" fillId="0" borderId="181" xfId="26" applyNumberFormat="1" applyFont="1" applyBorder="1" applyAlignment="1">
      <alignment horizontal="right" wrapText="1"/>
    </xf>
    <xf numFmtId="3" fontId="25" fillId="0" borderId="146" xfId="26" applyNumberFormat="1" applyFont="1" applyBorder="1" applyAlignment="1">
      <alignment horizontal="right" wrapText="1"/>
    </xf>
    <xf numFmtId="3" fontId="13" fillId="0" borderId="0" xfId="26" applyNumberFormat="1" applyFont="1" applyAlignment="1">
      <alignment horizontal="left"/>
    </xf>
    <xf numFmtId="3" fontId="11" fillId="0" borderId="1" xfId="26" applyNumberFormat="1" applyFont="1" applyBorder="1" applyAlignment="1">
      <alignment horizontal="center" wrapText="1"/>
    </xf>
    <xf numFmtId="3" fontId="11" fillId="0" borderId="0" xfId="26" applyNumberFormat="1" applyFont="1" applyAlignment="1">
      <alignment horizontal="center" wrapText="1"/>
    </xf>
    <xf numFmtId="3" fontId="13" fillId="0" borderId="0" xfId="26" applyNumberFormat="1" applyFont="1" applyAlignment="1">
      <alignment horizontal="left" wrapText="1"/>
    </xf>
    <xf numFmtId="3" fontId="13" fillId="0" borderId="0" xfId="26" applyNumberFormat="1" applyFont="1" applyAlignment="1">
      <alignment horizontal="right" wrapText="1"/>
    </xf>
    <xf numFmtId="3" fontId="13" fillId="0" borderId="55" xfId="26" applyNumberFormat="1" applyFont="1" applyBorder="1" applyAlignment="1">
      <alignment horizontal="right" wrapText="1"/>
    </xf>
    <xf numFmtId="3" fontId="13" fillId="0" borderId="198" xfId="26" applyNumberFormat="1" applyFont="1" applyBorder="1" applyAlignment="1">
      <alignment horizontal="right" wrapText="1"/>
    </xf>
    <xf numFmtId="3" fontId="25" fillId="0" borderId="15" xfId="26" applyNumberFormat="1" applyFont="1" applyBorder="1" applyAlignment="1">
      <alignment horizontal="right" wrapText="1"/>
    </xf>
    <xf numFmtId="0" fontId="13" fillId="0" borderId="0" xfId="0" applyFont="1" applyAlignment="1">
      <alignment horizontal="left"/>
    </xf>
    <xf numFmtId="3" fontId="13" fillId="0" borderId="0" xfId="0" applyNumberFormat="1" applyFont="1"/>
    <xf numFmtId="3" fontId="13" fillId="0" borderId="55" xfId="0" applyNumberFormat="1" applyFont="1" applyBorder="1" applyAlignment="1">
      <alignment horizontal="right"/>
    </xf>
    <xf numFmtId="3" fontId="13" fillId="0" borderId="0" xfId="0" applyNumberFormat="1" applyFont="1" applyAlignment="1">
      <alignment horizontal="right"/>
    </xf>
    <xf numFmtId="3" fontId="25" fillId="0" borderId="15" xfId="0" applyNumberFormat="1" applyFont="1" applyBorder="1" applyAlignment="1">
      <alignment horizontal="right"/>
    </xf>
    <xf numFmtId="0" fontId="13" fillId="0" borderId="0" xfId="0" applyFont="1"/>
    <xf numFmtId="0" fontId="11" fillId="0" borderId="1" xfId="0" applyFont="1" applyBorder="1" applyAlignment="1">
      <alignment horizontal="center" vertical="top"/>
    </xf>
    <xf numFmtId="0" fontId="11" fillId="0" borderId="0" xfId="0" applyFont="1" applyAlignment="1">
      <alignment horizontal="center" vertical="top"/>
    </xf>
    <xf numFmtId="0" fontId="11" fillId="0" borderId="0" xfId="0" applyFont="1" applyAlignment="1">
      <alignment horizontal="left" wrapText="1" indent="1"/>
    </xf>
    <xf numFmtId="3" fontId="11" fillId="0" borderId="55" xfId="0" applyNumberFormat="1" applyFont="1" applyBorder="1" applyAlignment="1">
      <alignment horizontal="right"/>
    </xf>
    <xf numFmtId="3" fontId="11" fillId="0" borderId="55" xfId="0" applyNumberFormat="1" applyFont="1" applyBorder="1" applyAlignment="1">
      <alignment horizontal="right" vertical="center"/>
    </xf>
    <xf numFmtId="3" fontId="11" fillId="0" borderId="0" xfId="0" applyNumberFormat="1" applyFont="1" applyAlignment="1">
      <alignment horizontal="right" vertical="center"/>
    </xf>
    <xf numFmtId="3" fontId="11" fillId="0" borderId="0" xfId="0" applyNumberFormat="1" applyFont="1" applyAlignment="1">
      <alignment vertical="top"/>
    </xf>
    <xf numFmtId="3" fontId="11" fillId="0" borderId="55" xfId="0" applyNumberFormat="1" applyFont="1" applyBorder="1" applyAlignment="1">
      <alignment horizontal="right" vertical="top"/>
    </xf>
    <xf numFmtId="3" fontId="11" fillId="0" borderId="0" xfId="0" applyNumberFormat="1" applyFont="1" applyAlignment="1">
      <alignment horizontal="right" vertical="top"/>
    </xf>
    <xf numFmtId="0" fontId="13" fillId="0" borderId="0" xfId="0" applyFont="1" applyAlignment="1">
      <alignment horizontal="left" wrapText="1"/>
    </xf>
    <xf numFmtId="49" fontId="11" fillId="0" borderId="1" xfId="0" applyNumberFormat="1" applyFont="1" applyBorder="1" applyAlignment="1">
      <alignment horizontal="center" vertical="center"/>
    </xf>
    <xf numFmtId="3" fontId="11" fillId="0" borderId="0" xfId="26" applyNumberFormat="1" applyFont="1" applyAlignment="1">
      <alignment horizontal="center" vertical="top" wrapText="1"/>
    </xf>
    <xf numFmtId="0" fontId="25" fillId="0" borderId="0" xfId="0" applyFont="1" applyAlignment="1">
      <alignment horizontal="left" wrapText="1"/>
    </xf>
    <xf numFmtId="3" fontId="25" fillId="0" borderId="0" xfId="0" applyNumberFormat="1" applyFont="1"/>
    <xf numFmtId="3" fontId="25" fillId="0" borderId="55" xfId="0" applyNumberFormat="1" applyFont="1" applyBorder="1" applyAlignment="1">
      <alignment horizontal="right"/>
    </xf>
    <xf numFmtId="3" fontId="25" fillId="0" borderId="0" xfId="0" applyNumberFormat="1" applyFont="1" applyAlignment="1">
      <alignment horizontal="right"/>
    </xf>
    <xf numFmtId="49" fontId="11" fillId="0" borderId="1" xfId="0" applyNumberFormat="1" applyFont="1" applyBorder="1" applyAlignment="1">
      <alignment horizontal="center"/>
    </xf>
    <xf numFmtId="49" fontId="11" fillId="0" borderId="64" xfId="0" applyNumberFormat="1" applyFont="1" applyBorder="1" applyAlignment="1">
      <alignment horizontal="center" vertical="top"/>
    </xf>
    <xf numFmtId="0" fontId="13" fillId="0" borderId="6" xfId="0" applyFont="1" applyBorder="1" applyAlignment="1">
      <alignment horizontal="center"/>
    </xf>
    <xf numFmtId="0" fontId="11" fillId="0" borderId="6" xfId="0" applyFont="1" applyBorder="1" applyAlignment="1">
      <alignment horizontal="center" vertical="top"/>
    </xf>
    <xf numFmtId="0" fontId="13" fillId="0" borderId="6" xfId="0" applyFont="1" applyBorder="1" applyAlignment="1">
      <alignment wrapText="1"/>
    </xf>
    <xf numFmtId="3" fontId="13" fillId="0" borderId="6" xfId="0" applyNumberFormat="1" applyFont="1" applyBorder="1"/>
    <xf numFmtId="3" fontId="13" fillId="0" borderId="65" xfId="0" applyNumberFormat="1" applyFont="1" applyBorder="1" applyAlignment="1">
      <alignment horizontal="right"/>
    </xf>
    <xf numFmtId="3" fontId="13" fillId="0" borderId="6" xfId="0" applyNumberFormat="1" applyFont="1" applyBorder="1" applyAlignment="1">
      <alignment horizontal="right"/>
    </xf>
    <xf numFmtId="3" fontId="11" fillId="0" borderId="38" xfId="26" applyNumberFormat="1" applyFont="1" applyBorder="1" applyAlignment="1">
      <alignment horizontal="center" textRotation="90" wrapText="1"/>
    </xf>
    <xf numFmtId="3" fontId="11" fillId="0" borderId="6" xfId="26" applyNumberFormat="1" applyFont="1" applyBorder="1" applyAlignment="1">
      <alignment horizontal="center" wrapText="1"/>
    </xf>
    <xf numFmtId="3" fontId="13" fillId="0" borderId="6" xfId="26" applyNumberFormat="1" applyFont="1" applyBorder="1" applyAlignment="1">
      <alignment horizontal="left" wrapText="1"/>
    </xf>
    <xf numFmtId="3" fontId="13" fillId="0" borderId="6" xfId="26" applyNumberFormat="1" applyFont="1" applyBorder="1" applyAlignment="1">
      <alignment horizontal="right" wrapText="1"/>
    </xf>
    <xf numFmtId="3" fontId="13" fillId="0" borderId="77" xfId="26" applyNumberFormat="1" applyFont="1" applyBorder="1" applyAlignment="1">
      <alignment horizontal="right" wrapText="1"/>
    </xf>
    <xf numFmtId="3" fontId="25" fillId="0" borderId="147" xfId="26" applyNumberFormat="1" applyFont="1" applyBorder="1" applyAlignment="1">
      <alignment horizontal="right" wrapText="1"/>
    </xf>
    <xf numFmtId="3" fontId="13" fillId="0" borderId="198" xfId="0" applyNumberFormat="1" applyFont="1" applyBorder="1" applyAlignment="1">
      <alignment horizontal="right"/>
    </xf>
    <xf numFmtId="0" fontId="11" fillId="0" borderId="0" xfId="0" applyFont="1" applyAlignment="1">
      <alignment horizontal="left" wrapText="1"/>
    </xf>
    <xf numFmtId="49" fontId="11" fillId="0" borderId="1" xfId="0" applyNumberFormat="1" applyFont="1" applyBorder="1" applyAlignment="1">
      <alignment horizontal="center" vertical="top"/>
    </xf>
    <xf numFmtId="0" fontId="13" fillId="0" borderId="0" xfId="0" applyFont="1" applyAlignment="1">
      <alignment horizontal="center" vertical="top"/>
    </xf>
    <xf numFmtId="0" fontId="13" fillId="0" borderId="0" xfId="0" applyFont="1" applyAlignment="1">
      <alignment vertical="top"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3" fillId="0" borderId="5" xfId="0" applyFont="1" applyBorder="1" applyAlignment="1">
      <alignment vertical="center"/>
    </xf>
    <xf numFmtId="3" fontId="13" fillId="0" borderId="5" xfId="0" applyNumberFormat="1" applyFont="1" applyBorder="1" applyAlignment="1">
      <alignment vertical="center"/>
    </xf>
    <xf numFmtId="3" fontId="13" fillId="0" borderId="57" xfId="0" applyNumberFormat="1" applyFont="1" applyBorder="1" applyAlignment="1">
      <alignment horizontal="right" vertical="center"/>
    </xf>
    <xf numFmtId="3" fontId="13" fillId="0" borderId="5" xfId="0" applyNumberFormat="1" applyFont="1" applyBorder="1" applyAlignment="1">
      <alignment horizontal="right" vertical="center"/>
    </xf>
    <xf numFmtId="0" fontId="13" fillId="0" borderId="0" xfId="0" applyFont="1" applyAlignment="1">
      <alignment vertical="center"/>
    </xf>
    <xf numFmtId="0" fontId="11" fillId="0" borderId="6" xfId="0" applyFont="1" applyBorder="1" applyAlignment="1">
      <alignment horizontal="left" wrapText="1" indent="1"/>
    </xf>
    <xf numFmtId="3" fontId="11" fillId="0" borderId="6" xfId="0" applyNumberFormat="1" applyFont="1" applyBorder="1"/>
    <xf numFmtId="3" fontId="11" fillId="0" borderId="65" xfId="0" applyNumberFormat="1" applyFont="1" applyBorder="1" applyAlignment="1">
      <alignment horizontal="right"/>
    </xf>
    <xf numFmtId="0" fontId="11" fillId="0" borderId="39" xfId="0" applyFont="1" applyBorder="1" applyAlignment="1">
      <alignment horizontal="center" vertical="center"/>
    </xf>
    <xf numFmtId="0" fontId="11" fillId="0" borderId="23" xfId="0" applyFont="1" applyBorder="1" applyAlignment="1">
      <alignment horizontal="center" vertical="center"/>
    </xf>
    <xf numFmtId="0" fontId="13" fillId="0" borderId="23" xfId="0" applyFont="1" applyBorder="1" applyAlignment="1">
      <alignment vertical="center"/>
    </xf>
    <xf numFmtId="3" fontId="13" fillId="0" borderId="23" xfId="0" applyNumberFormat="1" applyFont="1" applyBorder="1" applyAlignment="1">
      <alignment vertical="center"/>
    </xf>
    <xf numFmtId="3" fontId="13" fillId="0" borderId="58" xfId="0" applyNumberFormat="1" applyFont="1" applyBorder="1" applyAlignment="1">
      <alignment horizontal="right" vertical="center"/>
    </xf>
    <xf numFmtId="3" fontId="13" fillId="0" borderId="23" xfId="0" applyNumberFormat="1" applyFont="1" applyBorder="1" applyAlignment="1">
      <alignment horizontal="right"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0" fontId="13" fillId="0" borderId="24" xfId="0" applyFont="1" applyBorder="1" applyAlignment="1">
      <alignment vertical="center"/>
    </xf>
    <xf numFmtId="3" fontId="13" fillId="0" borderId="24" xfId="0" applyNumberFormat="1" applyFont="1" applyBorder="1" applyAlignment="1">
      <alignment vertical="center"/>
    </xf>
    <xf numFmtId="3" fontId="13" fillId="0" borderId="182" xfId="0" applyNumberFormat="1" applyFont="1" applyBorder="1" applyAlignment="1">
      <alignment horizontal="right" vertical="center"/>
    </xf>
    <xf numFmtId="3" fontId="13" fillId="0" borderId="24" xfId="0" applyNumberFormat="1" applyFont="1" applyBorder="1" applyAlignment="1">
      <alignment horizontal="right" vertical="center"/>
    </xf>
    <xf numFmtId="3" fontId="25" fillId="0" borderId="240" xfId="0" applyNumberFormat="1" applyFont="1" applyBorder="1" applyAlignment="1">
      <alignment horizontal="right" vertical="center"/>
    </xf>
    <xf numFmtId="3" fontId="13" fillId="0" borderId="0" xfId="0" applyNumberFormat="1" applyFont="1" applyAlignment="1">
      <alignment vertical="center"/>
    </xf>
    <xf numFmtId="3" fontId="13" fillId="0" borderId="55" xfId="0" applyNumberFormat="1" applyFont="1" applyBorder="1" applyAlignment="1">
      <alignment horizontal="right" vertical="center"/>
    </xf>
    <xf numFmtId="3" fontId="13" fillId="0" borderId="7" xfId="0" applyNumberFormat="1" applyFont="1" applyBorder="1" applyAlignment="1">
      <alignment horizontal="right" vertical="center"/>
    </xf>
    <xf numFmtId="3" fontId="25" fillId="0" borderId="15" xfId="0" applyNumberFormat="1" applyFont="1" applyBorder="1" applyAlignment="1">
      <alignment horizontal="right" vertical="center"/>
    </xf>
    <xf numFmtId="0" fontId="11" fillId="0" borderId="38" xfId="0" applyFont="1" applyBorder="1" applyAlignment="1">
      <alignment horizontal="center" vertical="center"/>
    </xf>
    <xf numFmtId="0" fontId="13" fillId="0" borderId="5" xfId="0" applyFont="1" applyBorder="1" applyAlignment="1">
      <alignment vertical="center" shrinkToFit="1"/>
    </xf>
    <xf numFmtId="0" fontId="11" fillId="0" borderId="0" xfId="0" applyFont="1" applyAlignment="1">
      <alignment horizontal="left" indent="1"/>
    </xf>
    <xf numFmtId="3" fontId="13" fillId="0" borderId="0" xfId="0" applyNumberFormat="1" applyFont="1" applyAlignment="1">
      <alignment horizontal="right" vertical="center"/>
    </xf>
    <xf numFmtId="0" fontId="11" fillId="0" borderId="6" xfId="0" applyFont="1" applyBorder="1" applyAlignment="1">
      <alignment horizontal="left" indent="1"/>
    </xf>
    <xf numFmtId="3" fontId="14" fillId="0" borderId="241" xfId="0" applyNumberFormat="1" applyFont="1" applyBorder="1" applyAlignment="1">
      <alignment horizontal="right"/>
    </xf>
    <xf numFmtId="0" fontId="11" fillId="0" borderId="41" xfId="0" applyFont="1" applyBorder="1" applyAlignment="1">
      <alignment horizontal="center" vertical="center"/>
    </xf>
    <xf numFmtId="0" fontId="11" fillId="0" borderId="25" xfId="0" applyFont="1" applyBorder="1" applyAlignment="1">
      <alignment horizontal="center" vertical="center"/>
    </xf>
    <xf numFmtId="0" fontId="13" fillId="0" borderId="25" xfId="0" applyFont="1" applyBorder="1" applyAlignment="1">
      <alignment vertical="center"/>
    </xf>
    <xf numFmtId="3" fontId="13" fillId="0" borderId="25" xfId="0" applyNumberFormat="1" applyFont="1" applyBorder="1" applyAlignment="1">
      <alignment vertical="center"/>
    </xf>
    <xf numFmtId="3" fontId="13" fillId="0" borderId="183" xfId="0" applyNumberFormat="1" applyFont="1" applyBorder="1" applyAlignment="1">
      <alignment horizontal="right" vertical="center"/>
    </xf>
    <xf numFmtId="3" fontId="13" fillId="0" borderId="25" xfId="0" applyNumberFormat="1" applyFont="1" applyBorder="1" applyAlignment="1">
      <alignment horizontal="right" vertical="center"/>
    </xf>
    <xf numFmtId="3" fontId="25" fillId="0" borderId="148" xfId="0" applyNumberFormat="1" applyFont="1" applyBorder="1" applyAlignment="1">
      <alignment horizontal="right" vertical="center"/>
    </xf>
    <xf numFmtId="3" fontId="15" fillId="0" borderId="0" xfId="26" applyNumberFormat="1" applyFont="1" applyAlignment="1">
      <alignment horizontal="center" vertical="center"/>
    </xf>
    <xf numFmtId="3" fontId="11" fillId="0" borderId="0" xfId="26" applyNumberFormat="1" applyFont="1" applyAlignment="1">
      <alignment horizontal="left"/>
    </xf>
    <xf numFmtId="3" fontId="11" fillId="0" borderId="0" xfId="26" applyNumberFormat="1" applyFont="1" applyAlignment="1">
      <alignment horizontal="right"/>
    </xf>
    <xf numFmtId="3" fontId="13" fillId="0" borderId="0" xfId="26" applyNumberFormat="1" applyFont="1" applyAlignment="1">
      <alignment horizontal="center" vertical="center"/>
    </xf>
    <xf numFmtId="3" fontId="11" fillId="0" borderId="0" xfId="26" applyNumberFormat="1" applyFont="1" applyAlignment="1">
      <alignment vertical="center"/>
    </xf>
    <xf numFmtId="49" fontId="11" fillId="0" borderId="0" xfId="26" applyNumberFormat="1" applyFont="1" applyAlignment="1">
      <alignment horizontal="center"/>
    </xf>
    <xf numFmtId="3" fontId="11" fillId="0" borderId="0" xfId="26" applyNumberFormat="1" applyFont="1" applyAlignment="1">
      <alignment horizontal="center"/>
    </xf>
    <xf numFmtId="3" fontId="13" fillId="0" borderId="0" xfId="26" applyNumberFormat="1" applyFont="1" applyAlignment="1">
      <alignment horizontal="center"/>
    </xf>
    <xf numFmtId="3" fontId="20" fillId="0" borderId="0" xfId="26" applyNumberFormat="1" applyFont="1" applyAlignment="1">
      <alignment horizontal="right"/>
    </xf>
    <xf numFmtId="49" fontId="15" fillId="0" borderId="0" xfId="26" applyNumberFormat="1" applyFont="1" applyAlignment="1">
      <alignment horizontal="center"/>
    </xf>
    <xf numFmtId="3" fontId="15" fillId="0" borderId="3" xfId="26" applyNumberFormat="1" applyFont="1" applyBorder="1" applyAlignment="1">
      <alignment horizontal="center"/>
    </xf>
    <xf numFmtId="49" fontId="11" fillId="0" borderId="42" xfId="26" applyNumberFormat="1" applyFont="1" applyBorder="1" applyAlignment="1">
      <alignment horizontal="center" vertical="center" textRotation="90"/>
    </xf>
    <xf numFmtId="3" fontId="13" fillId="0" borderId="27" xfId="26" applyNumberFormat="1" applyFont="1" applyBorder="1" applyAlignment="1">
      <alignment horizontal="center" vertical="center"/>
    </xf>
    <xf numFmtId="3" fontId="11" fillId="0" borderId="44" xfId="26" applyNumberFormat="1" applyFont="1" applyBorder="1" applyAlignment="1">
      <alignment horizontal="center" vertical="center" wrapText="1"/>
    </xf>
    <xf numFmtId="3" fontId="11" fillId="0" borderId="0" xfId="26" applyNumberFormat="1" applyFont="1" applyAlignment="1">
      <alignment horizontal="center" vertical="center"/>
    </xf>
    <xf numFmtId="49" fontId="11" fillId="0" borderId="37" xfId="26" applyNumberFormat="1" applyFont="1" applyBorder="1" applyAlignment="1">
      <alignment horizontal="center"/>
    </xf>
    <xf numFmtId="3" fontId="11" fillId="0" borderId="7" xfId="26" applyNumberFormat="1" applyFont="1" applyBorder="1" applyAlignment="1">
      <alignment horizontal="center"/>
    </xf>
    <xf numFmtId="3" fontId="13" fillId="0" borderId="7" xfId="26" applyNumberFormat="1" applyFont="1" applyBorder="1" applyAlignment="1">
      <alignment horizontal="center"/>
    </xf>
    <xf numFmtId="3" fontId="13" fillId="0" borderId="7" xfId="26" applyNumberFormat="1" applyFont="1" applyBorder="1" applyAlignment="1">
      <alignment wrapText="1"/>
    </xf>
    <xf numFmtId="3" fontId="13" fillId="0" borderId="7" xfId="26" applyNumberFormat="1" applyFont="1" applyBorder="1"/>
    <xf numFmtId="3" fontId="13" fillId="0" borderId="181" xfId="26" applyNumberFormat="1" applyFont="1" applyBorder="1"/>
    <xf numFmtId="3" fontId="25" fillId="0" borderId="146" xfId="26" applyNumberFormat="1" applyFont="1" applyBorder="1"/>
    <xf numFmtId="3" fontId="13" fillId="0" borderId="0" xfId="26" applyNumberFormat="1" applyFont="1"/>
    <xf numFmtId="49" fontId="11" fillId="0" borderId="1" xfId="26" applyNumberFormat="1" applyFont="1" applyBorder="1" applyAlignment="1">
      <alignment horizontal="center"/>
    </xf>
    <xf numFmtId="3" fontId="11" fillId="0" borderId="55" xfId="26" applyNumberFormat="1" applyFont="1" applyBorder="1"/>
    <xf numFmtId="3" fontId="14" fillId="0" borderId="15" xfId="26" applyNumberFormat="1" applyFont="1" applyBorder="1"/>
    <xf numFmtId="3" fontId="11" fillId="0" borderId="0" xfId="26" applyNumberFormat="1" applyFont="1" applyAlignment="1">
      <alignment horizontal="left" indent="2"/>
    </xf>
    <xf numFmtId="49" fontId="11" fillId="0" borderId="38" xfId="26" applyNumberFormat="1" applyFont="1" applyBorder="1" applyAlignment="1">
      <alignment horizontal="center"/>
    </xf>
    <xf numFmtId="3" fontId="11" fillId="0" borderId="5" xfId="26" applyNumberFormat="1" applyFont="1" applyBorder="1" applyAlignment="1">
      <alignment horizontal="center"/>
    </xf>
    <xf numFmtId="3" fontId="13" fillId="0" borderId="5" xfId="26" applyNumberFormat="1" applyFont="1" applyBorder="1"/>
    <xf numFmtId="3" fontId="13" fillId="0" borderId="57" xfId="26" applyNumberFormat="1" applyFont="1" applyBorder="1"/>
    <xf numFmtId="3" fontId="25" fillId="0" borderId="147" xfId="26" applyNumberFormat="1" applyFont="1" applyBorder="1"/>
    <xf numFmtId="3" fontId="13" fillId="0" borderId="55" xfId="26" applyNumberFormat="1" applyFont="1" applyBorder="1"/>
    <xf numFmtId="3" fontId="25" fillId="0" borderId="15" xfId="26" applyNumberFormat="1" applyFont="1" applyBorder="1"/>
    <xf numFmtId="49" fontId="14" fillId="0" borderId="1" xfId="26" applyNumberFormat="1" applyFont="1" applyBorder="1" applyAlignment="1">
      <alignment horizontal="center"/>
    </xf>
    <xf numFmtId="3" fontId="14" fillId="0" borderId="0" xfId="26" applyNumberFormat="1" applyFont="1" applyAlignment="1">
      <alignment horizontal="left" indent="2"/>
    </xf>
    <xf numFmtId="3" fontId="14" fillId="0" borderId="0" xfId="26" applyNumberFormat="1" applyFont="1"/>
    <xf numFmtId="3" fontId="14" fillId="0" borderId="55" xfId="26" applyNumberFormat="1" applyFont="1" applyBorder="1"/>
    <xf numFmtId="3" fontId="11" fillId="0" borderId="0" xfId="26" applyNumberFormat="1" applyFont="1" applyAlignment="1">
      <alignment horizontal="left" indent="3"/>
    </xf>
    <xf numFmtId="3" fontId="14" fillId="0" borderId="0" xfId="26" applyNumberFormat="1" applyFont="1" applyAlignment="1">
      <alignment horizontal="center"/>
    </xf>
    <xf numFmtId="3" fontId="11" fillId="0" borderId="0" xfId="26" applyNumberFormat="1" applyFont="1" applyAlignment="1">
      <alignment horizontal="left" wrapText="1" indent="3"/>
    </xf>
    <xf numFmtId="3" fontId="11" fillId="0" borderId="55" xfId="26" applyNumberFormat="1" applyFont="1" applyBorder="1" applyAlignment="1">
      <alignment vertical="center"/>
    </xf>
    <xf numFmtId="49" fontId="11" fillId="0" borderId="1" xfId="26" applyNumberFormat="1" applyFont="1" applyBorder="1" applyAlignment="1">
      <alignment horizontal="center" vertical="center"/>
    </xf>
    <xf numFmtId="3" fontId="13" fillId="0" borderId="0" xfId="26" applyNumberFormat="1" applyFont="1" applyAlignment="1">
      <alignment vertical="center"/>
    </xf>
    <xf numFmtId="3" fontId="13" fillId="0" borderId="55" xfId="26" applyNumberFormat="1" applyFont="1" applyBorder="1" applyAlignment="1">
      <alignment vertical="center"/>
    </xf>
    <xf numFmtId="3" fontId="14" fillId="0" borderId="15" xfId="26" applyNumberFormat="1" applyFont="1" applyBorder="1" applyAlignment="1">
      <alignment vertical="center"/>
    </xf>
    <xf numFmtId="3" fontId="13" fillId="0" borderId="5" xfId="26" applyNumberFormat="1" applyFont="1" applyBorder="1" applyAlignment="1">
      <alignment horizontal="center"/>
    </xf>
    <xf numFmtId="3" fontId="11" fillId="0" borderId="0" xfId="26" applyNumberFormat="1" applyFont="1" applyAlignment="1">
      <alignment wrapText="1"/>
    </xf>
    <xf numFmtId="49" fontId="11" fillId="0" borderId="8" xfId="26" applyNumberFormat="1" applyFont="1" applyBorder="1" applyAlignment="1">
      <alignment horizontal="center" vertical="center"/>
    </xf>
    <xf numFmtId="3" fontId="11" fillId="0" borderId="9" xfId="26" applyNumberFormat="1" applyFont="1" applyBorder="1" applyAlignment="1">
      <alignment horizontal="center" vertical="center"/>
    </xf>
    <xf numFmtId="3" fontId="13" fillId="0" borderId="9" xfId="26" applyNumberFormat="1" applyFont="1" applyBorder="1" applyAlignment="1">
      <alignment horizontal="center" vertical="center"/>
    </xf>
    <xf numFmtId="3" fontId="13" fillId="0" borderId="9" xfId="26" applyNumberFormat="1" applyFont="1" applyBorder="1" applyAlignment="1">
      <alignment vertical="center"/>
    </xf>
    <xf numFmtId="3" fontId="13" fillId="0" borderId="180" xfId="26" applyNumberFormat="1" applyFont="1" applyBorder="1" applyAlignment="1">
      <alignment vertical="center"/>
    </xf>
    <xf numFmtId="3" fontId="25" fillId="0" borderId="242" xfId="26" applyNumberFormat="1" applyFont="1" applyBorder="1" applyAlignment="1">
      <alignment vertical="center"/>
    </xf>
    <xf numFmtId="3" fontId="11" fillId="0" borderId="0" xfId="26" applyNumberFormat="1" applyFont="1" applyAlignment="1">
      <alignment horizontal="left" indent="1"/>
    </xf>
    <xf numFmtId="49" fontId="11" fillId="0" borderId="1" xfId="26" applyNumberFormat="1" applyFont="1" applyBorder="1" applyAlignment="1">
      <alignment horizontal="center" vertical="top"/>
    </xf>
    <xf numFmtId="3" fontId="11" fillId="0" borderId="0" xfId="26" applyNumberFormat="1" applyFont="1" applyAlignment="1">
      <alignment horizontal="center" vertical="top"/>
    </xf>
    <xf numFmtId="3" fontId="11" fillId="0" borderId="0" xfId="26" applyNumberFormat="1" applyFont="1" applyAlignment="1">
      <alignment horizontal="left" vertical="top" indent="1"/>
    </xf>
    <xf numFmtId="3" fontId="11" fillId="0" borderId="0" xfId="26" applyNumberFormat="1" applyFont="1" applyAlignment="1">
      <alignment vertical="top"/>
    </xf>
    <xf numFmtId="3" fontId="11" fillId="0" borderId="55" xfId="26" applyNumberFormat="1" applyFont="1" applyBorder="1" applyAlignment="1">
      <alignment vertical="top"/>
    </xf>
    <xf numFmtId="3" fontId="14" fillId="0" borderId="15" xfId="26" applyNumberFormat="1" applyFont="1" applyBorder="1" applyAlignment="1">
      <alignment vertical="top"/>
    </xf>
    <xf numFmtId="3" fontId="19" fillId="0" borderId="0" xfId="26" applyNumberFormat="1" applyFont="1" applyAlignment="1">
      <alignment horizontal="center" vertical="center"/>
    </xf>
    <xf numFmtId="3" fontId="11" fillId="0" borderId="0" xfId="0" applyNumberFormat="1" applyFont="1" applyAlignment="1">
      <alignment horizontal="left" vertical="center"/>
    </xf>
    <xf numFmtId="3" fontId="14" fillId="0" borderId="0" xfId="0" applyNumberFormat="1" applyFont="1" applyAlignment="1">
      <alignment vertical="center"/>
    </xf>
    <xf numFmtId="0" fontId="28" fillId="0" borderId="0" xfId="0" applyFont="1"/>
    <xf numFmtId="3" fontId="18" fillId="0" borderId="0" xfId="0" applyNumberFormat="1" applyFont="1" applyAlignment="1">
      <alignment horizontal="center" vertical="center"/>
    </xf>
    <xf numFmtId="3" fontId="18" fillId="0" borderId="0" xfId="0" applyNumberFormat="1" applyFont="1" applyAlignment="1">
      <alignment vertical="center"/>
    </xf>
    <xf numFmtId="3" fontId="18" fillId="0" borderId="4" xfId="0" applyNumberFormat="1" applyFont="1" applyBorder="1" applyAlignment="1">
      <alignment horizontal="center" vertical="center" wrapText="1"/>
    </xf>
    <xf numFmtId="3" fontId="23" fillId="0" borderId="4" xfId="0" applyNumberFormat="1" applyFont="1" applyBorder="1" applyAlignment="1">
      <alignment horizontal="center" vertical="center" wrapText="1"/>
    </xf>
    <xf numFmtId="3" fontId="18" fillId="0" borderId="20" xfId="0" applyNumberFormat="1" applyFont="1" applyBorder="1" applyAlignment="1">
      <alignment horizontal="center"/>
    </xf>
    <xf numFmtId="3" fontId="18" fillId="0" borderId="18" xfId="0" applyNumberFormat="1" applyFont="1" applyBorder="1" applyAlignment="1">
      <alignment horizontal="center"/>
    </xf>
    <xf numFmtId="3" fontId="21" fillId="0" borderId="88" xfId="30" applyNumberFormat="1" applyFont="1" applyBorder="1" applyAlignment="1">
      <alignment horizontal="left"/>
    </xf>
    <xf numFmtId="3" fontId="21" fillId="0" borderId="50" xfId="30" applyNumberFormat="1" applyFont="1" applyBorder="1" applyAlignment="1">
      <alignment horizontal="left"/>
    </xf>
    <xf numFmtId="3" fontId="18" fillId="0" borderId="18" xfId="0" applyNumberFormat="1" applyFont="1" applyBorder="1"/>
    <xf numFmtId="3" fontId="18" fillId="0" borderId="110" xfId="0" applyNumberFormat="1" applyFont="1" applyBorder="1"/>
    <xf numFmtId="3" fontId="18" fillId="0" borderId="50" xfId="0" applyNumberFormat="1" applyFont="1" applyBorder="1"/>
    <xf numFmtId="3" fontId="18" fillId="0" borderId="12" xfId="0" applyNumberFormat="1" applyFont="1" applyBorder="1" applyAlignment="1">
      <alignment horizontal="center"/>
    </xf>
    <xf numFmtId="3" fontId="18" fillId="0" borderId="13" xfId="0" applyNumberFormat="1" applyFont="1" applyBorder="1" applyAlignment="1">
      <alignment horizontal="center"/>
    </xf>
    <xf numFmtId="3" fontId="18" fillId="0" borderId="82" xfId="30" applyNumberFormat="1" applyFont="1" applyBorder="1" applyAlignment="1">
      <alignment horizontal="left"/>
    </xf>
    <xf numFmtId="3" fontId="18" fillId="0" borderId="75" xfId="30" applyNumberFormat="1" applyFont="1" applyBorder="1" applyAlignment="1">
      <alignment horizontal="left"/>
    </xf>
    <xf numFmtId="3" fontId="18" fillId="0" borderId="95" xfId="0" applyNumberFormat="1" applyFont="1" applyBorder="1"/>
    <xf numFmtId="3" fontId="18" fillId="0" borderId="75" xfId="0" applyNumberFormat="1" applyFont="1" applyBorder="1"/>
    <xf numFmtId="3" fontId="34" fillId="0" borderId="12" xfId="0" applyNumberFormat="1" applyFont="1" applyBorder="1" applyAlignment="1">
      <alignment horizontal="center" vertical="center"/>
    </xf>
    <xf numFmtId="3" fontId="34" fillId="0" borderId="13" xfId="0" applyNumberFormat="1" applyFont="1" applyBorder="1" applyAlignment="1">
      <alignment horizontal="center"/>
    </xf>
    <xf numFmtId="3" fontId="34" fillId="0" borderId="82" xfId="0" applyNumberFormat="1" applyFont="1" applyBorder="1" applyAlignment="1">
      <alignment horizontal="center"/>
    </xf>
    <xf numFmtId="3" fontId="34" fillId="0" borderId="13" xfId="30" applyNumberFormat="1" applyFont="1" applyBorder="1"/>
    <xf numFmtId="3" fontId="34" fillId="0" borderId="13" xfId="0" applyNumberFormat="1" applyFont="1" applyBorder="1"/>
    <xf numFmtId="3" fontId="34" fillId="0" borderId="95" xfId="0" applyNumberFormat="1" applyFont="1" applyBorder="1"/>
    <xf numFmtId="3" fontId="34" fillId="0" borderId="75" xfId="0" applyNumberFormat="1" applyFont="1" applyBorder="1"/>
    <xf numFmtId="3" fontId="35" fillId="0" borderId="14" xfId="0" applyNumberFormat="1" applyFont="1" applyBorder="1"/>
    <xf numFmtId="3" fontId="34" fillId="0" borderId="0" xfId="0" applyNumberFormat="1" applyFont="1" applyAlignment="1">
      <alignment vertical="center"/>
    </xf>
    <xf numFmtId="0" fontId="36" fillId="0" borderId="0" xfId="0" applyFont="1"/>
    <xf numFmtId="3" fontId="21" fillId="0" borderId="75" xfId="0" applyNumberFormat="1" applyFont="1" applyBorder="1"/>
    <xf numFmtId="3" fontId="24" fillId="0" borderId="14" xfId="0" applyNumberFormat="1" applyFont="1" applyBorder="1"/>
    <xf numFmtId="3" fontId="21" fillId="0" borderId="75" xfId="30" applyNumberFormat="1" applyFont="1" applyBorder="1" applyAlignment="1">
      <alignment horizontal="left"/>
    </xf>
    <xf numFmtId="3" fontId="20" fillId="0" borderId="0" xfId="0" applyNumberFormat="1" applyFont="1" applyAlignment="1">
      <alignment vertical="top"/>
    </xf>
    <xf numFmtId="3" fontId="34" fillId="0" borderId="0" xfId="0" applyNumberFormat="1" applyFont="1" applyAlignment="1">
      <alignment vertical="top"/>
    </xf>
    <xf numFmtId="3" fontId="21" fillId="0" borderId="0" xfId="0" applyNumberFormat="1" applyFont="1" applyAlignment="1">
      <alignment vertical="top"/>
    </xf>
    <xf numFmtId="3" fontId="18" fillId="0" borderId="12" xfId="0" applyNumberFormat="1" applyFont="1" applyBorder="1" applyAlignment="1">
      <alignment horizontal="center" vertical="center"/>
    </xf>
    <xf numFmtId="3" fontId="18" fillId="0" borderId="75" xfId="30" applyNumberFormat="1" applyFont="1" applyBorder="1"/>
    <xf numFmtId="0" fontId="0" fillId="0" borderId="13" xfId="0" applyBorder="1"/>
    <xf numFmtId="0" fontId="0" fillId="0" borderId="95" xfId="0" applyBorder="1"/>
    <xf numFmtId="0" fontId="0" fillId="0" borderId="75" xfId="0" applyBorder="1"/>
    <xf numFmtId="0" fontId="27" fillId="0" borderId="14" xfId="0" applyFont="1" applyBorder="1"/>
    <xf numFmtId="3" fontId="21" fillId="0" borderId="75" xfId="30" applyNumberFormat="1" applyFont="1" applyBorder="1"/>
    <xf numFmtId="3" fontId="34" fillId="0" borderId="0" xfId="0" applyNumberFormat="1" applyFont="1"/>
    <xf numFmtId="3" fontId="18" fillId="0" borderId="0" xfId="0" applyNumberFormat="1" applyFont="1" applyAlignment="1">
      <alignment vertical="top"/>
    </xf>
    <xf numFmtId="3" fontId="35" fillId="0" borderId="0" xfId="0" applyNumberFormat="1" applyFont="1" applyAlignment="1">
      <alignment vertical="top"/>
    </xf>
    <xf numFmtId="3" fontId="34" fillId="0" borderId="88" xfId="0" applyNumberFormat="1" applyFont="1" applyBorder="1" applyAlignment="1">
      <alignment horizontal="center"/>
    </xf>
    <xf numFmtId="3" fontId="34" fillId="0" borderId="18" xfId="0" applyNumberFormat="1" applyFont="1" applyBorder="1"/>
    <xf numFmtId="3" fontId="34" fillId="0" borderId="110" xfId="0" applyNumberFormat="1" applyFont="1" applyBorder="1"/>
    <xf numFmtId="3" fontId="21" fillId="0" borderId="18" xfId="0" applyNumberFormat="1" applyFont="1" applyBorder="1"/>
    <xf numFmtId="3" fontId="20" fillId="0" borderId="18" xfId="0" applyNumberFormat="1" applyFont="1" applyBorder="1"/>
    <xf numFmtId="3" fontId="21" fillId="0" borderId="195" xfId="0" applyNumberFormat="1" applyFont="1" applyBorder="1"/>
    <xf numFmtId="3" fontId="21" fillId="0" borderId="196" xfId="0" applyNumberFormat="1" applyFont="1" applyBorder="1"/>
    <xf numFmtId="3" fontId="21" fillId="0" borderId="194" xfId="0" applyNumberFormat="1" applyFont="1" applyBorder="1"/>
    <xf numFmtId="3" fontId="24" fillId="0" borderId="197" xfId="0" applyNumberFormat="1" applyFont="1" applyBorder="1"/>
    <xf numFmtId="3" fontId="34" fillId="0" borderId="12" xfId="0" applyNumberFormat="1" applyFont="1" applyBorder="1" applyAlignment="1">
      <alignment horizontal="center" vertical="top"/>
    </xf>
    <xf numFmtId="3" fontId="34" fillId="0" borderId="13" xfId="30" applyNumberFormat="1" applyFont="1" applyBorder="1" applyAlignment="1">
      <alignment horizontal="left"/>
    </xf>
    <xf numFmtId="3" fontId="34" fillId="0" borderId="85" xfId="0" applyNumberFormat="1" applyFont="1" applyBorder="1"/>
    <xf numFmtId="3" fontId="34" fillId="0" borderId="31" xfId="0" applyNumberFormat="1" applyFont="1" applyBorder="1"/>
    <xf numFmtId="3" fontId="34" fillId="0" borderId="32" xfId="0" applyNumberFormat="1" applyFont="1" applyBorder="1"/>
    <xf numFmtId="3" fontId="34" fillId="0" borderId="20" xfId="0" applyNumberFormat="1" applyFont="1" applyBorder="1" applyAlignment="1">
      <alignment horizontal="center" vertical="top"/>
    </xf>
    <xf numFmtId="3" fontId="34" fillId="0" borderId="18" xfId="0" applyNumberFormat="1" applyFont="1" applyBorder="1" applyAlignment="1">
      <alignment horizontal="center"/>
    </xf>
    <xf numFmtId="3" fontId="21" fillId="0" borderId="33" xfId="0" applyNumberFormat="1" applyFont="1" applyBorder="1"/>
    <xf numFmtId="3" fontId="21" fillId="0" borderId="14" xfId="0" applyNumberFormat="1" applyFont="1" applyBorder="1"/>
    <xf numFmtId="3" fontId="34" fillId="0" borderId="213" xfId="0" applyNumberFormat="1" applyFont="1" applyBorder="1" applyAlignment="1">
      <alignment horizontal="center"/>
    </xf>
    <xf numFmtId="3" fontId="34" fillId="0" borderId="214" xfId="0" applyNumberFormat="1" applyFont="1" applyBorder="1" applyAlignment="1">
      <alignment horizontal="center"/>
    </xf>
    <xf numFmtId="0" fontId="20" fillId="0" borderId="215" xfId="28" applyFont="1" applyBorder="1" applyAlignment="1">
      <alignment horizontal="left"/>
    </xf>
    <xf numFmtId="3" fontId="34" fillId="0" borderId="213" xfId="0" applyNumberFormat="1" applyFont="1" applyBorder="1"/>
    <xf numFmtId="3" fontId="34" fillId="0" borderId="216" xfId="0" applyNumberFormat="1" applyFont="1" applyBorder="1"/>
    <xf numFmtId="3" fontId="20" fillId="0" borderId="217" xfId="0" applyNumberFormat="1" applyFont="1" applyBorder="1"/>
    <xf numFmtId="3" fontId="20" fillId="0" borderId="213" xfId="0" applyNumberFormat="1" applyFont="1" applyBorder="1"/>
    <xf numFmtId="3" fontId="20" fillId="0" borderId="218" xfId="0" applyNumberFormat="1" applyFont="1" applyBorder="1"/>
    <xf numFmtId="3" fontId="18" fillId="0" borderId="20" xfId="0" applyNumberFormat="1" applyFont="1" applyBorder="1" applyAlignment="1">
      <alignment horizontal="center" vertical="top"/>
    </xf>
    <xf numFmtId="3" fontId="34" fillId="0" borderId="75" xfId="30" applyNumberFormat="1" applyFont="1" applyBorder="1"/>
    <xf numFmtId="3" fontId="34" fillId="0" borderId="102" xfId="0" applyNumberFormat="1" applyFont="1" applyBorder="1" applyAlignment="1">
      <alignment horizontal="center"/>
    </xf>
    <xf numFmtId="3" fontId="34" fillId="0" borderId="31" xfId="0" applyNumberFormat="1" applyFont="1" applyBorder="1" applyAlignment="1">
      <alignment horizontal="center"/>
    </xf>
    <xf numFmtId="3" fontId="34" fillId="0" borderId="85" xfId="30" applyNumberFormat="1" applyFont="1" applyBorder="1"/>
    <xf numFmtId="3" fontId="34" fillId="0" borderId="112" xfId="0" applyNumberFormat="1" applyFont="1" applyBorder="1"/>
    <xf numFmtId="3" fontId="35" fillId="0" borderId="32" xfId="0" applyNumberFormat="1" applyFont="1" applyBorder="1"/>
    <xf numFmtId="3" fontId="34" fillId="0" borderId="97" xfId="0" applyNumberFormat="1" applyFont="1" applyBorder="1" applyAlignment="1">
      <alignment horizontal="center"/>
    </xf>
    <xf numFmtId="3" fontId="21" fillId="0" borderId="85" xfId="0" applyNumberFormat="1" applyFont="1" applyBorder="1"/>
    <xf numFmtId="3" fontId="24" fillId="0" borderId="186" xfId="0" applyNumberFormat="1" applyFont="1" applyBorder="1"/>
    <xf numFmtId="3" fontId="20" fillId="0" borderId="164" xfId="0" applyNumberFormat="1" applyFont="1" applyBorder="1"/>
    <xf numFmtId="3" fontId="21" fillId="0" borderId="11" xfId="0" applyNumberFormat="1" applyFont="1" applyBorder="1"/>
    <xf numFmtId="3" fontId="21" fillId="0" borderId="104" xfId="0" applyNumberFormat="1" applyFont="1" applyBorder="1"/>
    <xf numFmtId="3" fontId="21" fillId="0" borderId="76" xfId="0" applyNumberFormat="1" applyFont="1" applyBorder="1"/>
    <xf numFmtId="3" fontId="21" fillId="0" borderId="80" xfId="0" applyNumberFormat="1" applyFont="1" applyBorder="1"/>
    <xf numFmtId="3" fontId="34" fillId="0" borderId="20" xfId="0" applyNumberFormat="1" applyFont="1" applyBorder="1" applyAlignment="1">
      <alignment horizontal="center" vertical="center"/>
    </xf>
    <xf numFmtId="3" fontId="34" fillId="0" borderId="48" xfId="0" applyNumberFormat="1" applyFont="1" applyBorder="1" applyAlignment="1">
      <alignment horizontal="center"/>
    </xf>
    <xf numFmtId="3" fontId="34" fillId="0" borderId="0" xfId="0" applyNumberFormat="1" applyFont="1" applyAlignment="1">
      <alignment horizontal="center"/>
    </xf>
    <xf numFmtId="3" fontId="21" fillId="0" borderId="31" xfId="30" applyNumberFormat="1" applyFont="1" applyBorder="1"/>
    <xf numFmtId="3" fontId="34" fillId="0" borderId="48" xfId="0" applyNumberFormat="1" applyFont="1" applyBorder="1"/>
    <xf numFmtId="3" fontId="34" fillId="0" borderId="116" xfId="0" applyNumberFormat="1" applyFont="1" applyBorder="1"/>
    <xf numFmtId="3" fontId="34" fillId="0" borderId="202" xfId="0" applyNumberFormat="1" applyFont="1" applyBorder="1" applyAlignment="1">
      <alignment horizontal="center"/>
    </xf>
    <xf numFmtId="3" fontId="34" fillId="0" borderId="209" xfId="0" applyNumberFormat="1" applyFont="1" applyBorder="1" applyAlignment="1">
      <alignment horizontal="center"/>
    </xf>
    <xf numFmtId="3" fontId="34" fillId="0" borderId="202" xfId="0" applyNumberFormat="1" applyFont="1" applyBorder="1"/>
    <xf numFmtId="3" fontId="34" fillId="0" borderId="206" xfId="0" applyNumberFormat="1" applyFont="1" applyBorder="1"/>
    <xf numFmtId="3" fontId="20" fillId="0" borderId="210" xfId="0" applyNumberFormat="1" applyFont="1" applyBorder="1"/>
    <xf numFmtId="3" fontId="20" fillId="0" borderId="211" xfId="0" applyNumberFormat="1" applyFont="1" applyBorder="1"/>
    <xf numFmtId="3" fontId="21" fillId="0" borderId="50" xfId="30" applyNumberFormat="1" applyFont="1" applyBorder="1"/>
    <xf numFmtId="3" fontId="21" fillId="0" borderId="50" xfId="30" applyNumberFormat="1" applyFont="1" applyBorder="1" applyAlignment="1">
      <alignment wrapText="1"/>
    </xf>
    <xf numFmtId="3" fontId="20" fillId="0" borderId="0" xfId="0" applyNumberFormat="1" applyFont="1" applyAlignment="1">
      <alignment vertical="center"/>
    </xf>
    <xf numFmtId="3" fontId="18" fillId="0" borderId="13" xfId="0" applyNumberFormat="1" applyFont="1" applyBorder="1" applyAlignment="1">
      <alignment horizontal="center" vertical="top"/>
    </xf>
    <xf numFmtId="3" fontId="21" fillId="0" borderId="0" xfId="0" applyNumberFormat="1" applyFont="1" applyAlignment="1">
      <alignment vertical="center"/>
    </xf>
    <xf numFmtId="3" fontId="21" fillId="0" borderId="75" xfId="30" applyNumberFormat="1" applyFont="1" applyBorder="1" applyAlignment="1">
      <alignment wrapText="1"/>
    </xf>
    <xf numFmtId="3" fontId="24" fillId="0" borderId="32" xfId="0" applyNumberFormat="1" applyFont="1" applyBorder="1"/>
    <xf numFmtId="3" fontId="34" fillId="0" borderId="17" xfId="0" applyNumberFormat="1" applyFont="1" applyBorder="1" applyAlignment="1">
      <alignment horizontal="center"/>
    </xf>
    <xf numFmtId="3" fontId="34" fillId="0" borderId="31" xfId="30" applyNumberFormat="1" applyFont="1" applyBorder="1"/>
    <xf numFmtId="3" fontId="21" fillId="0" borderId="32" xfId="0" applyNumberFormat="1" applyFont="1" applyBorder="1"/>
    <xf numFmtId="3" fontId="34" fillId="0" borderId="47" xfId="0" applyNumberFormat="1" applyFont="1" applyBorder="1" applyAlignment="1">
      <alignment horizontal="center" vertical="center"/>
    </xf>
    <xf numFmtId="3" fontId="35" fillId="0" borderId="0" xfId="0" applyNumberFormat="1" applyFont="1" applyAlignment="1">
      <alignment vertical="center"/>
    </xf>
    <xf numFmtId="0" fontId="37" fillId="0" borderId="0" xfId="0" applyFont="1"/>
    <xf numFmtId="3" fontId="34" fillId="0" borderId="163" xfId="0" applyNumberFormat="1" applyFont="1" applyBorder="1" applyAlignment="1">
      <alignment horizontal="center" vertical="center"/>
    </xf>
    <xf numFmtId="3" fontId="34" fillId="0" borderId="81" xfId="0" applyNumberFormat="1" applyFont="1" applyBorder="1" applyAlignment="1">
      <alignment horizontal="center" vertical="center"/>
    </xf>
    <xf numFmtId="3" fontId="21" fillId="0" borderId="29" xfId="0" applyNumberFormat="1" applyFont="1" applyBorder="1"/>
    <xf numFmtId="3" fontId="21" fillId="0" borderId="94" xfId="0" applyNumberFormat="1" applyFont="1" applyBorder="1"/>
    <xf numFmtId="3" fontId="18" fillId="0" borderId="84" xfId="0" applyNumberFormat="1" applyFont="1" applyBorder="1"/>
    <xf numFmtId="3" fontId="18" fillId="0" borderId="29" xfId="0" applyNumberFormat="1" applyFont="1" applyBorder="1"/>
    <xf numFmtId="3" fontId="20" fillId="0" borderId="30" xfId="0" applyNumberFormat="1" applyFont="1" applyBorder="1"/>
    <xf numFmtId="0" fontId="27" fillId="0" borderId="0" xfId="0" applyFont="1"/>
    <xf numFmtId="3" fontId="18" fillId="0" borderId="28" xfId="0" applyNumberFormat="1" applyFont="1" applyBorder="1" applyAlignment="1">
      <alignment horizontal="center" vertical="top"/>
    </xf>
    <xf numFmtId="3" fontId="18" fillId="0" borderId="29" xfId="0" applyNumberFormat="1" applyFont="1" applyBorder="1" applyAlignment="1">
      <alignment horizontal="center"/>
    </xf>
    <xf numFmtId="3" fontId="18" fillId="0" borderId="29" xfId="30" applyNumberFormat="1" applyFont="1" applyBorder="1" applyAlignment="1">
      <alignment wrapText="1"/>
    </xf>
    <xf numFmtId="3" fontId="18" fillId="0" borderId="94" xfId="30" applyNumberFormat="1" applyFont="1" applyBorder="1" applyAlignment="1">
      <alignment wrapText="1"/>
    </xf>
    <xf numFmtId="3" fontId="21" fillId="0" borderId="34" xfId="30" applyNumberFormat="1" applyFont="1" applyBorder="1" applyAlignment="1">
      <alignment wrapText="1"/>
    </xf>
    <xf numFmtId="3" fontId="21" fillId="0" borderId="29" xfId="30" applyNumberFormat="1" applyFont="1" applyBorder="1" applyAlignment="1">
      <alignment wrapText="1"/>
    </xf>
    <xf numFmtId="3" fontId="21" fillId="0" borderId="84" xfId="0" applyNumberFormat="1" applyFont="1" applyBorder="1"/>
    <xf numFmtId="3" fontId="24" fillId="0" borderId="30" xfId="0" applyNumberFormat="1" applyFont="1" applyBorder="1"/>
    <xf numFmtId="3" fontId="34" fillId="0" borderId="31" xfId="30" applyNumberFormat="1" applyFont="1" applyBorder="1" applyAlignment="1">
      <alignment horizontal="left"/>
    </xf>
    <xf numFmtId="0" fontId="0" fillId="0" borderId="99" xfId="0" applyBorder="1"/>
    <xf numFmtId="0" fontId="0" fillId="0" borderId="100" xfId="0" applyBorder="1"/>
    <xf numFmtId="3" fontId="0" fillId="0" borderId="100" xfId="0" applyNumberFormat="1" applyBorder="1"/>
    <xf numFmtId="3" fontId="0" fillId="0" borderId="118" xfId="0" applyNumberFormat="1" applyBorder="1"/>
    <xf numFmtId="3" fontId="20" fillId="0" borderId="101" xfId="0" applyNumberFormat="1" applyFont="1" applyBorder="1"/>
    <xf numFmtId="3" fontId="20" fillId="0" borderId="176" xfId="0" applyNumberFormat="1" applyFont="1" applyBorder="1"/>
    <xf numFmtId="0" fontId="22" fillId="0" borderId="0" xfId="0" applyFont="1" applyAlignment="1">
      <alignment horizontal="center" vertical="center"/>
    </xf>
    <xf numFmtId="3" fontId="18" fillId="0" borderId="0" xfId="0" applyNumberFormat="1" applyFont="1" applyAlignment="1">
      <alignment horizontal="center" vertical="top"/>
    </xf>
    <xf numFmtId="3" fontId="21" fillId="0" borderId="0" xfId="0" applyNumberFormat="1" applyFont="1" applyAlignment="1">
      <alignment horizontal="right"/>
    </xf>
    <xf numFmtId="3" fontId="18" fillId="0" borderId="4" xfId="26" applyNumberFormat="1" applyFont="1" applyBorder="1" applyAlignment="1">
      <alignment horizontal="center" vertical="center" wrapText="1"/>
    </xf>
    <xf numFmtId="3" fontId="18" fillId="0" borderId="50" xfId="0" applyNumberFormat="1" applyFont="1" applyBorder="1" applyAlignment="1">
      <alignment horizontal="center"/>
    </xf>
    <xf numFmtId="3" fontId="21" fillId="0" borderId="18" xfId="30" applyNumberFormat="1" applyFont="1" applyBorder="1"/>
    <xf numFmtId="3" fontId="18" fillId="0" borderId="18" xfId="30" applyNumberFormat="1" applyFont="1" applyBorder="1" applyAlignment="1">
      <alignment horizontal="center"/>
    </xf>
    <xf numFmtId="3" fontId="18" fillId="0" borderId="19" xfId="0" applyNumberFormat="1" applyFont="1" applyBorder="1"/>
    <xf numFmtId="3" fontId="21" fillId="0" borderId="46" xfId="0" applyNumberFormat="1" applyFont="1" applyBorder="1"/>
    <xf numFmtId="3" fontId="18" fillId="0" borderId="21" xfId="0" applyNumberFormat="1" applyFont="1" applyBorder="1"/>
    <xf numFmtId="3" fontId="18" fillId="0" borderId="75" xfId="0" applyNumberFormat="1" applyFont="1" applyBorder="1" applyAlignment="1">
      <alignment horizontal="center"/>
    </xf>
    <xf numFmtId="3" fontId="18" fillId="0" borderId="13" xfId="30" applyNumberFormat="1" applyFont="1" applyBorder="1"/>
    <xf numFmtId="3" fontId="18" fillId="0" borderId="17" xfId="0" applyNumberFormat="1" applyFont="1" applyBorder="1"/>
    <xf numFmtId="3" fontId="18" fillId="0" borderId="14" xfId="0" applyNumberFormat="1" applyFont="1" applyBorder="1"/>
    <xf numFmtId="3" fontId="34" fillId="0" borderId="75" xfId="0" applyNumberFormat="1" applyFont="1" applyBorder="1" applyAlignment="1">
      <alignment horizontal="center" vertical="center"/>
    </xf>
    <xf numFmtId="3" fontId="34" fillId="0" borderId="13" xfId="0" applyNumberFormat="1" applyFont="1" applyBorder="1" applyAlignment="1">
      <alignment vertical="center"/>
    </xf>
    <xf numFmtId="3" fontId="34" fillId="0" borderId="17" xfId="0" applyNumberFormat="1" applyFont="1" applyBorder="1" applyAlignment="1">
      <alignment vertical="center"/>
    </xf>
    <xf numFmtId="3" fontId="34" fillId="0" borderId="33" xfId="0" applyNumberFormat="1" applyFont="1" applyBorder="1"/>
    <xf numFmtId="3" fontId="34" fillId="0" borderId="14" xfId="0" applyNumberFormat="1" applyFont="1" applyBorder="1" applyAlignment="1">
      <alignment horizontal="right"/>
    </xf>
    <xf numFmtId="3" fontId="34" fillId="0" borderId="0" xfId="0" applyNumberFormat="1" applyFont="1" applyAlignment="1">
      <alignment horizontal="right" vertical="center"/>
    </xf>
    <xf numFmtId="3" fontId="21" fillId="0" borderId="13" xfId="0" applyNumberFormat="1" applyFont="1" applyBorder="1" applyAlignment="1">
      <alignment horizontal="right"/>
    </xf>
    <xf numFmtId="3" fontId="20" fillId="0" borderId="33" xfId="0" applyNumberFormat="1" applyFont="1" applyBorder="1"/>
    <xf numFmtId="3" fontId="20" fillId="0" borderId="13" xfId="0" applyNumberFormat="1" applyFont="1" applyBorder="1" applyAlignment="1">
      <alignment horizontal="right"/>
    </xf>
    <xf numFmtId="3" fontId="18" fillId="0" borderId="13" xfId="30" applyNumberFormat="1" applyFont="1" applyBorder="1" applyAlignment="1">
      <alignment horizontal="center"/>
    </xf>
    <xf numFmtId="3" fontId="21" fillId="0" borderId="0" xfId="0" applyNumberFormat="1" applyFont="1" applyAlignment="1">
      <alignment horizontal="right" vertical="center"/>
    </xf>
    <xf numFmtId="3" fontId="34" fillId="0" borderId="0" xfId="0" applyNumberFormat="1" applyFont="1" applyAlignment="1">
      <alignment horizontal="right"/>
    </xf>
    <xf numFmtId="3" fontId="18" fillId="0" borderId="0" xfId="0" applyNumberFormat="1" applyFont="1" applyAlignment="1">
      <alignment horizontal="right" vertical="center"/>
    </xf>
    <xf numFmtId="3" fontId="18" fillId="0" borderId="13" xfId="0" applyNumberFormat="1" applyFont="1" applyBorder="1" applyAlignment="1">
      <alignment horizontal="right"/>
    </xf>
    <xf numFmtId="3" fontId="18" fillId="0" borderId="14" xfId="0" applyNumberFormat="1" applyFont="1" applyBorder="1" applyAlignment="1">
      <alignment horizontal="right"/>
    </xf>
    <xf numFmtId="3" fontId="34" fillId="0" borderId="13" xfId="0" applyNumberFormat="1" applyFont="1" applyBorder="1" applyAlignment="1">
      <alignment horizontal="center" vertical="center"/>
    </xf>
    <xf numFmtId="3" fontId="34" fillId="0" borderId="18" xfId="0" applyNumberFormat="1" applyFont="1" applyBorder="1" applyAlignment="1">
      <alignment vertical="center"/>
    </xf>
    <xf numFmtId="3" fontId="34" fillId="0" borderId="19" xfId="0" applyNumberFormat="1" applyFont="1" applyBorder="1" applyAlignment="1">
      <alignment vertical="center"/>
    </xf>
    <xf numFmtId="3" fontId="21" fillId="0" borderId="18" xfId="0" applyNumberFormat="1" applyFont="1" applyBorder="1" applyAlignment="1">
      <alignment horizontal="right"/>
    </xf>
    <xf numFmtId="3" fontId="34" fillId="0" borderId="18" xfId="0" applyNumberFormat="1" applyFont="1" applyBorder="1" applyAlignment="1">
      <alignment horizontal="right"/>
    </xf>
    <xf numFmtId="3" fontId="34" fillId="0" borderId="21" xfId="0" applyNumberFormat="1" applyFont="1" applyBorder="1" applyAlignment="1">
      <alignment horizontal="right"/>
    </xf>
    <xf numFmtId="3" fontId="34" fillId="0" borderId="88" xfId="0" applyNumberFormat="1" applyFont="1" applyBorder="1" applyAlignment="1">
      <alignment horizontal="center" vertical="center"/>
    </xf>
    <xf numFmtId="3" fontId="20" fillId="0" borderId="18" xfId="0" applyNumberFormat="1" applyFont="1" applyBorder="1" applyAlignment="1">
      <alignment horizontal="right"/>
    </xf>
    <xf numFmtId="3" fontId="24" fillId="0" borderId="12" xfId="0" applyNumberFormat="1" applyFont="1" applyBorder="1" applyAlignment="1">
      <alignment horizontal="center" vertical="center"/>
    </xf>
    <xf numFmtId="3" fontId="24" fillId="0" borderId="11" xfId="0" applyNumberFormat="1" applyFont="1" applyBorder="1" applyAlignment="1">
      <alignment vertical="center"/>
    </xf>
    <xf numFmtId="3" fontId="24" fillId="0" borderId="91" xfId="0" applyNumberFormat="1" applyFont="1" applyBorder="1" applyAlignment="1">
      <alignment vertical="center"/>
    </xf>
    <xf numFmtId="3" fontId="24" fillId="0" borderId="79" xfId="0" applyNumberFormat="1" applyFont="1" applyBorder="1" applyAlignment="1">
      <alignment vertical="center"/>
    </xf>
    <xf numFmtId="3" fontId="24" fillId="0" borderId="80" xfId="0" applyNumberFormat="1" applyFont="1" applyBorder="1" applyAlignment="1">
      <alignment vertical="center"/>
    </xf>
    <xf numFmtId="3" fontId="24" fillId="0" borderId="0" xfId="0" applyNumberFormat="1" applyFont="1" applyAlignment="1">
      <alignment horizontal="right" vertical="center"/>
    </xf>
    <xf numFmtId="3" fontId="24" fillId="0" borderId="0" xfId="0" applyNumberFormat="1" applyFont="1" applyAlignment="1">
      <alignment vertical="center"/>
    </xf>
    <xf numFmtId="3" fontId="34" fillId="0" borderId="31" xfId="0" applyNumberFormat="1" applyFont="1" applyBorder="1" applyAlignment="1">
      <alignment horizontal="center" vertical="center"/>
    </xf>
    <xf numFmtId="3" fontId="34" fillId="0" borderId="85" xfId="0" applyNumberFormat="1" applyFont="1" applyBorder="1" applyAlignment="1">
      <alignment horizontal="center" vertical="center"/>
    </xf>
    <xf numFmtId="3" fontId="34" fillId="0" borderId="31" xfId="0" applyNumberFormat="1" applyFont="1" applyBorder="1" applyAlignment="1">
      <alignment vertical="center"/>
    </xf>
    <xf numFmtId="3" fontId="34" fillId="0" borderId="102" xfId="0" applyNumberFormat="1" applyFont="1" applyBorder="1" applyAlignment="1">
      <alignment vertical="center"/>
    </xf>
    <xf numFmtId="3" fontId="34" fillId="0" borderId="103" xfId="0" applyNumberFormat="1" applyFont="1" applyBorder="1"/>
    <xf numFmtId="3" fontId="34" fillId="0" borderId="31" xfId="0" applyNumberFormat="1" applyFont="1" applyBorder="1" applyAlignment="1">
      <alignment horizontal="right"/>
    </xf>
    <xf numFmtId="3" fontId="34" fillId="0" borderId="32" xfId="0" applyNumberFormat="1" applyFont="1" applyBorder="1" applyAlignment="1">
      <alignment horizontal="right"/>
    </xf>
    <xf numFmtId="3" fontId="21" fillId="0" borderId="103" xfId="0" applyNumberFormat="1" applyFont="1" applyBorder="1"/>
    <xf numFmtId="3" fontId="21" fillId="0" borderId="31" xfId="0" applyNumberFormat="1" applyFont="1" applyBorder="1" applyAlignment="1">
      <alignment horizontal="right"/>
    </xf>
    <xf numFmtId="3" fontId="21" fillId="0" borderId="32" xfId="0" applyNumberFormat="1" applyFont="1" applyBorder="1" applyAlignment="1">
      <alignment horizontal="right"/>
    </xf>
    <xf numFmtId="3" fontId="34" fillId="0" borderId="202" xfId="0" applyNumberFormat="1" applyFont="1" applyBorder="1" applyAlignment="1">
      <alignment horizontal="center" vertical="center"/>
    </xf>
    <xf numFmtId="3" fontId="34" fillId="0" borderId="210" xfId="0" applyNumberFormat="1" applyFont="1" applyBorder="1" applyAlignment="1">
      <alignment horizontal="center" vertical="center"/>
    </xf>
    <xf numFmtId="3" fontId="34" fillId="0" borderId="202" xfId="0" applyNumberFormat="1" applyFont="1" applyBorder="1" applyAlignment="1">
      <alignment vertical="center"/>
    </xf>
    <xf numFmtId="3" fontId="34" fillId="0" borderId="203" xfId="0" applyNumberFormat="1" applyFont="1" applyBorder="1" applyAlignment="1">
      <alignment vertical="center"/>
    </xf>
    <xf numFmtId="3" fontId="20" fillId="0" borderId="205" xfId="0" applyNumberFormat="1" applyFont="1" applyBorder="1"/>
    <xf numFmtId="3" fontId="20" fillId="0" borderId="202" xfId="0" applyNumberFormat="1" applyFont="1" applyBorder="1" applyAlignment="1">
      <alignment horizontal="right"/>
    </xf>
    <xf numFmtId="3" fontId="20" fillId="0" borderId="211" xfId="0" applyNumberFormat="1" applyFont="1" applyBorder="1" applyAlignment="1">
      <alignment horizontal="right"/>
    </xf>
    <xf numFmtId="3" fontId="21" fillId="0" borderId="18" xfId="30" applyNumberFormat="1" applyFont="1" applyBorder="1" applyAlignment="1">
      <alignment wrapText="1"/>
    </xf>
    <xf numFmtId="3" fontId="24" fillId="0" borderId="46" xfId="0" applyNumberFormat="1" applyFont="1" applyBorder="1"/>
    <xf numFmtId="3" fontId="24" fillId="0" borderId="33" xfId="0" applyNumberFormat="1" applyFont="1" applyBorder="1"/>
    <xf numFmtId="3" fontId="21" fillId="0" borderId="12" xfId="0" applyNumberFormat="1" applyFont="1" applyBorder="1" applyAlignment="1">
      <alignment horizontal="center" vertical="center"/>
    </xf>
    <xf numFmtId="3" fontId="21" fillId="0" borderId="75" xfId="0" applyNumberFormat="1" applyFont="1" applyBorder="1" applyAlignment="1">
      <alignment horizontal="center" vertical="center"/>
    </xf>
    <xf numFmtId="3" fontId="21" fillId="0" borderId="13" xfId="0" applyNumberFormat="1" applyFont="1" applyBorder="1" applyAlignment="1">
      <alignment vertical="center"/>
    </xf>
    <xf numFmtId="3" fontId="21" fillId="0" borderId="85" xfId="0" applyNumberFormat="1" applyFont="1" applyBorder="1" applyAlignment="1">
      <alignment horizontal="center" vertical="center"/>
    </xf>
    <xf numFmtId="3" fontId="21" fillId="0" borderId="31" xfId="0" applyNumberFormat="1" applyFont="1" applyBorder="1" applyAlignment="1">
      <alignment vertical="center"/>
    </xf>
    <xf numFmtId="3" fontId="20" fillId="0" borderId="31" xfId="0" applyNumberFormat="1" applyFont="1" applyBorder="1" applyAlignment="1">
      <alignment horizontal="right"/>
    </xf>
    <xf numFmtId="3" fontId="18" fillId="0" borderId="12" xfId="0" applyNumberFormat="1" applyFont="1" applyBorder="1" applyAlignment="1">
      <alignment horizontal="center" vertical="top"/>
    </xf>
    <xf numFmtId="3" fontId="18" fillId="0" borderId="13" xfId="30" applyNumberFormat="1" applyFont="1" applyBorder="1" applyAlignment="1">
      <alignment horizontal="left"/>
    </xf>
    <xf numFmtId="3" fontId="18" fillId="0" borderId="13" xfId="30" applyNumberFormat="1" applyFont="1" applyBorder="1" applyAlignment="1">
      <alignment horizontal="center" vertical="top" wrapText="1"/>
    </xf>
    <xf numFmtId="3" fontId="20" fillId="0" borderId="14" xfId="0" applyNumberFormat="1" applyFont="1" applyBorder="1" applyAlignment="1">
      <alignment horizontal="right"/>
    </xf>
    <xf numFmtId="3" fontId="18" fillId="0" borderId="88" xfId="0" applyNumberFormat="1" applyFont="1" applyBorder="1" applyAlignment="1">
      <alignment horizontal="center" vertical="top"/>
    </xf>
    <xf numFmtId="3" fontId="18" fillId="0" borderId="31" xfId="30" applyNumberFormat="1" applyFont="1" applyBorder="1" applyAlignment="1">
      <alignment horizontal="left"/>
    </xf>
    <xf numFmtId="3" fontId="18" fillId="0" borderId="18" xfId="30" applyNumberFormat="1" applyFont="1" applyBorder="1" applyAlignment="1">
      <alignment horizontal="center" vertical="top" wrapText="1"/>
    </xf>
    <xf numFmtId="3" fontId="24" fillId="0" borderId="11" xfId="0" applyNumberFormat="1" applyFont="1" applyBorder="1" applyAlignment="1">
      <alignment horizontal="center" vertical="center"/>
    </xf>
    <xf numFmtId="3" fontId="24" fillId="0" borderId="11" xfId="0" applyNumberFormat="1" applyFont="1" applyBorder="1" applyAlignment="1">
      <alignment horizontal="right" vertical="center"/>
    </xf>
    <xf numFmtId="3" fontId="24" fillId="0" borderId="80" xfId="0" applyNumberFormat="1" applyFont="1" applyBorder="1" applyAlignment="1">
      <alignment horizontal="right" vertical="center"/>
    </xf>
    <xf numFmtId="3" fontId="24" fillId="0" borderId="0" xfId="0" applyNumberFormat="1" applyFont="1" applyAlignment="1">
      <alignment horizontal="right" vertical="top"/>
    </xf>
    <xf numFmtId="3" fontId="24" fillId="0" borderId="0" xfId="0" applyNumberFormat="1" applyFont="1" applyAlignment="1">
      <alignment vertical="top"/>
    </xf>
    <xf numFmtId="3" fontId="21" fillId="0" borderId="31" xfId="0" applyNumberFormat="1" applyFont="1" applyBorder="1" applyAlignment="1">
      <alignment horizontal="center" vertical="center"/>
    </xf>
    <xf numFmtId="3" fontId="21" fillId="0" borderId="20" xfId="0" applyNumberFormat="1" applyFont="1" applyBorder="1" applyAlignment="1">
      <alignment horizontal="center" vertical="center"/>
    </xf>
    <xf numFmtId="3" fontId="21" fillId="0" borderId="202" xfId="0" applyNumberFormat="1" applyFont="1" applyBorder="1" applyAlignment="1">
      <alignment horizontal="center" vertical="center"/>
    </xf>
    <xf numFmtId="3" fontId="21" fillId="0" borderId="210" xfId="0" applyNumberFormat="1" applyFont="1" applyBorder="1" applyAlignment="1">
      <alignment horizontal="center" vertical="center"/>
    </xf>
    <xf numFmtId="3" fontId="21" fillId="0" borderId="202" xfId="0" applyNumberFormat="1" applyFont="1" applyBorder="1" applyAlignment="1">
      <alignment vertical="center"/>
    </xf>
    <xf numFmtId="3" fontId="21" fillId="0" borderId="82" xfId="0" applyNumberFormat="1" applyFont="1" applyBorder="1" applyAlignment="1">
      <alignment horizontal="center" vertical="center"/>
    </xf>
    <xf numFmtId="3" fontId="18" fillId="0" borderId="75" xfId="0" applyNumberFormat="1" applyFont="1" applyBorder="1" applyAlignment="1">
      <alignment horizontal="center" vertical="top"/>
    </xf>
    <xf numFmtId="3" fontId="35" fillId="0" borderId="0" xfId="0" applyNumberFormat="1" applyFont="1" applyAlignment="1">
      <alignment horizontal="right" vertical="center"/>
    </xf>
    <xf numFmtId="3" fontId="20" fillId="0" borderId="12" xfId="0" applyNumberFormat="1" applyFont="1" applyBorder="1" applyAlignment="1">
      <alignment horizontal="center" vertical="top"/>
    </xf>
    <xf numFmtId="3" fontId="20" fillId="0" borderId="13" xfId="30" applyNumberFormat="1" applyFont="1" applyBorder="1" applyAlignment="1">
      <alignment horizontal="left"/>
    </xf>
    <xf numFmtId="3" fontId="20" fillId="0" borderId="13" xfId="30" applyNumberFormat="1" applyFont="1" applyBorder="1" applyAlignment="1">
      <alignment horizontal="center" vertical="top" wrapText="1"/>
    </xf>
    <xf numFmtId="3" fontId="20" fillId="0" borderId="17" xfId="0" applyNumberFormat="1" applyFont="1" applyBorder="1"/>
    <xf numFmtId="3" fontId="21" fillId="0" borderId="13" xfId="0" applyNumberFormat="1" applyFont="1" applyBorder="1" applyAlignment="1">
      <alignment horizontal="center" vertical="center"/>
    </xf>
    <xf numFmtId="3" fontId="34" fillId="0" borderId="95" xfId="0" applyNumberFormat="1" applyFont="1" applyBorder="1" applyAlignment="1">
      <alignment vertical="center"/>
    </xf>
    <xf numFmtId="3" fontId="24" fillId="0" borderId="11" xfId="30" applyNumberFormat="1" applyFont="1" applyBorder="1" applyAlignment="1">
      <alignment horizontal="center" vertical="center"/>
    </xf>
    <xf numFmtId="3" fontId="24" fillId="0" borderId="104" xfId="0" applyNumberFormat="1" applyFont="1" applyBorder="1" applyAlignment="1">
      <alignment vertical="center"/>
    </xf>
    <xf numFmtId="3" fontId="24" fillId="0" borderId="76" xfId="0" applyNumberFormat="1" applyFont="1" applyBorder="1" applyAlignment="1">
      <alignment horizontal="right" vertical="center"/>
    </xf>
    <xf numFmtId="3" fontId="21" fillId="0" borderId="18" xfId="0" applyNumberFormat="1" applyFont="1" applyBorder="1" applyAlignment="1">
      <alignment horizontal="left"/>
    </xf>
    <xf numFmtId="3" fontId="21" fillId="0" borderId="47" xfId="0" applyNumberFormat="1" applyFont="1" applyBorder="1" applyAlignment="1">
      <alignment horizontal="center" vertical="center"/>
    </xf>
    <xf numFmtId="3" fontId="21" fillId="0" borderId="163" xfId="0" applyNumberFormat="1" applyFont="1" applyBorder="1" applyAlignment="1">
      <alignment horizontal="center" vertical="center"/>
    </xf>
    <xf numFmtId="3" fontId="21" fillId="0" borderId="81" xfId="0" applyNumberFormat="1" applyFont="1" applyBorder="1" applyAlignment="1">
      <alignment horizontal="center" vertical="center"/>
    </xf>
    <xf numFmtId="3" fontId="20" fillId="0" borderId="103" xfId="0" applyNumberFormat="1" applyFont="1" applyBorder="1"/>
    <xf numFmtId="3" fontId="21" fillId="0" borderId="29" xfId="30" applyNumberFormat="1" applyFont="1" applyBorder="1" applyAlignment="1">
      <alignment horizontal="center"/>
    </xf>
    <xf numFmtId="3" fontId="21" fillId="0" borderId="29" xfId="0" applyNumberFormat="1" applyFont="1" applyBorder="1" applyAlignment="1">
      <alignment vertical="center"/>
    </xf>
    <xf numFmtId="3" fontId="21" fillId="0" borderId="51" xfId="0" applyNumberFormat="1" applyFont="1" applyBorder="1" applyAlignment="1">
      <alignment vertical="center"/>
    </xf>
    <xf numFmtId="3" fontId="21" fillId="0" borderId="34" xfId="0" applyNumberFormat="1" applyFont="1" applyBorder="1" applyAlignment="1">
      <alignment vertical="center"/>
    </xf>
    <xf numFmtId="3" fontId="21" fillId="0" borderId="29" xfId="0" applyNumberFormat="1" applyFont="1" applyBorder="1" applyAlignment="1">
      <alignment horizontal="right" vertical="center"/>
    </xf>
    <xf numFmtId="3" fontId="21" fillId="0" borderId="30" xfId="0" applyNumberFormat="1" applyFont="1" applyBorder="1" applyAlignment="1">
      <alignment horizontal="right" vertical="center"/>
    </xf>
    <xf numFmtId="3" fontId="21" fillId="0" borderId="0" xfId="0" applyNumberFormat="1" applyFont="1" applyAlignment="1">
      <alignment horizontal="right" vertical="top"/>
    </xf>
    <xf numFmtId="3" fontId="21" fillId="0" borderId="97" xfId="0" applyNumberFormat="1" applyFont="1" applyBorder="1" applyAlignment="1">
      <alignment horizontal="center" vertical="center"/>
    </xf>
    <xf numFmtId="3" fontId="18" fillId="0" borderId="28" xfId="0" applyNumberFormat="1" applyFont="1" applyBorder="1" applyAlignment="1">
      <alignment horizontal="center"/>
    </xf>
    <xf numFmtId="3" fontId="18" fillId="0" borderId="84" xfId="0" applyNumberFormat="1" applyFont="1" applyBorder="1" applyAlignment="1">
      <alignment horizontal="center"/>
    </xf>
    <xf numFmtId="3" fontId="21" fillId="0" borderId="51" xfId="0" applyNumberFormat="1" applyFont="1" applyBorder="1"/>
    <xf numFmtId="3" fontId="21" fillId="0" borderId="89" xfId="0" applyNumberFormat="1" applyFont="1" applyBorder="1"/>
    <xf numFmtId="3" fontId="21" fillId="0" borderId="29" xfId="0" applyNumberFormat="1" applyFont="1" applyBorder="1" applyAlignment="1">
      <alignment horizontal="right"/>
    </xf>
    <xf numFmtId="3" fontId="21" fillId="0" borderId="51" xfId="0" applyNumberFormat="1" applyFont="1" applyBorder="1" applyAlignment="1">
      <alignment horizontal="right"/>
    </xf>
    <xf numFmtId="3" fontId="21" fillId="0" borderId="34" xfId="0" applyNumberFormat="1" applyFont="1" applyBorder="1" applyAlignment="1">
      <alignment horizontal="right"/>
    </xf>
    <xf numFmtId="3" fontId="21" fillId="0" borderId="30" xfId="0" applyNumberFormat="1" applyFont="1" applyBorder="1" applyAlignment="1">
      <alignment horizontal="right"/>
    </xf>
    <xf numFmtId="3" fontId="18" fillId="0" borderId="17" xfId="30" applyNumberFormat="1" applyFont="1" applyBorder="1"/>
    <xf numFmtId="3" fontId="21" fillId="0" borderId="0" xfId="0" applyNumberFormat="1" applyFont="1"/>
    <xf numFmtId="3" fontId="21" fillId="0" borderId="13" xfId="0" applyNumberFormat="1" applyFont="1" applyBorder="1" applyAlignment="1">
      <alignment horizontal="center"/>
    </xf>
    <xf numFmtId="3" fontId="34" fillId="0" borderId="17" xfId="30" applyNumberFormat="1" applyFont="1" applyBorder="1"/>
    <xf numFmtId="3" fontId="21" fillId="0" borderId="17" xfId="0" applyNumberFormat="1" applyFont="1" applyBorder="1"/>
    <xf numFmtId="3" fontId="20" fillId="0" borderId="12" xfId="0" applyNumberFormat="1" applyFont="1" applyBorder="1" applyAlignment="1">
      <alignment horizontal="center"/>
    </xf>
    <xf numFmtId="3" fontId="20" fillId="0" borderId="13" xfId="0" applyNumberFormat="1" applyFont="1" applyBorder="1" applyAlignment="1">
      <alignment horizontal="center"/>
    </xf>
    <xf numFmtId="3" fontId="20" fillId="0" borderId="13" xfId="30" applyNumberFormat="1" applyFont="1" applyBorder="1" applyAlignment="1">
      <alignment horizontal="center"/>
    </xf>
    <xf numFmtId="3" fontId="24" fillId="0" borderId="0" xfId="0" applyNumberFormat="1" applyFont="1" applyAlignment="1">
      <alignment horizontal="right"/>
    </xf>
    <xf numFmtId="3" fontId="24" fillId="0" borderId="0" xfId="0" applyNumberFormat="1" applyFont="1"/>
    <xf numFmtId="3" fontId="21" fillId="0" borderId="19" xfId="0" applyNumberFormat="1" applyFont="1" applyBorder="1"/>
    <xf numFmtId="3" fontId="20" fillId="0" borderId="21" xfId="0" applyNumberFormat="1" applyFont="1" applyBorder="1" applyAlignment="1">
      <alignment horizontal="right"/>
    </xf>
    <xf numFmtId="0" fontId="18" fillId="0" borderId="17" xfId="0" applyFont="1" applyBorder="1" applyAlignment="1">
      <alignment horizontal="left" wrapText="1"/>
    </xf>
    <xf numFmtId="3" fontId="42" fillId="0" borderId="18" xfId="30" applyNumberFormat="1" applyFont="1" applyBorder="1" applyAlignment="1">
      <alignment horizontal="center"/>
    </xf>
    <xf numFmtId="3" fontId="34" fillId="0" borderId="46" xfId="0" applyNumberFormat="1" applyFont="1" applyBorder="1"/>
    <xf numFmtId="3" fontId="34" fillId="0" borderId="18" xfId="0" applyNumberFormat="1" applyFont="1" applyBorder="1" applyAlignment="1">
      <alignment horizontal="right" vertical="center"/>
    </xf>
    <xf numFmtId="3" fontId="34" fillId="0" borderId="21" xfId="0" applyNumberFormat="1" applyFont="1" applyBorder="1" applyAlignment="1">
      <alignment horizontal="right" vertical="center"/>
    </xf>
    <xf numFmtId="3" fontId="42" fillId="0" borderId="0" xfId="0" applyNumberFormat="1" applyFont="1" applyAlignment="1">
      <alignment horizontal="right" vertical="center"/>
    </xf>
    <xf numFmtId="3" fontId="42" fillId="0" borderId="0" xfId="0" applyNumberFormat="1" applyFont="1" applyAlignment="1">
      <alignment vertical="center"/>
    </xf>
    <xf numFmtId="3" fontId="42" fillId="0" borderId="17" xfId="30" applyNumberFormat="1" applyFont="1" applyBorder="1" applyAlignment="1">
      <alignment horizontal="left" wrapText="1"/>
    </xf>
    <xf numFmtId="3" fontId="42" fillId="0" borderId="19" xfId="0" applyNumberFormat="1" applyFont="1" applyBorder="1" applyAlignment="1">
      <alignment horizontal="center"/>
    </xf>
    <xf numFmtId="3" fontId="21" fillId="0" borderId="18" xfId="0" applyNumberFormat="1" applyFont="1" applyBorder="1" applyAlignment="1">
      <alignment horizontal="right" vertical="center"/>
    </xf>
    <xf numFmtId="3" fontId="21" fillId="0" borderId="33" xfId="0" applyNumberFormat="1" applyFont="1" applyBorder="1" applyAlignment="1">
      <alignment horizontal="right"/>
    </xf>
    <xf numFmtId="3" fontId="20" fillId="0" borderId="18" xfId="0" applyNumberFormat="1" applyFont="1" applyBorder="1" applyAlignment="1">
      <alignment horizontal="right" vertical="center"/>
    </xf>
    <xf numFmtId="3" fontId="18" fillId="0" borderId="19" xfId="0" applyNumberFormat="1" applyFont="1" applyBorder="1" applyAlignment="1">
      <alignment horizontal="center"/>
    </xf>
    <xf numFmtId="3" fontId="57" fillId="0" borderId="19" xfId="0" applyNumberFormat="1" applyFont="1" applyBorder="1" applyAlignment="1">
      <alignment horizontal="center"/>
    </xf>
    <xf numFmtId="3" fontId="57" fillId="0" borderId="17" xfId="30" applyNumberFormat="1" applyFont="1" applyBorder="1" applyAlignment="1">
      <alignment horizontal="left" wrapText="1"/>
    </xf>
    <xf numFmtId="3" fontId="18" fillId="0" borderId="17" xfId="30" applyNumberFormat="1" applyFont="1" applyBorder="1" applyAlignment="1">
      <alignment vertical="top" wrapText="1"/>
    </xf>
    <xf numFmtId="3" fontId="18" fillId="0" borderId="13" xfId="30" applyNumberFormat="1" applyFont="1" applyBorder="1" applyAlignment="1">
      <alignment vertical="top" wrapText="1"/>
    </xf>
    <xf numFmtId="3" fontId="21" fillId="0" borderId="13" xfId="0" applyNumberFormat="1" applyFont="1" applyBorder="1" applyAlignment="1">
      <alignment horizontal="right" vertical="center"/>
    </xf>
    <xf numFmtId="3" fontId="21" fillId="0" borderId="14" xfId="0" applyNumberFormat="1" applyFont="1" applyBorder="1" applyAlignment="1">
      <alignment horizontal="right" vertical="center"/>
    </xf>
    <xf numFmtId="3" fontId="18" fillId="0" borderId="13" xfId="0" applyNumberFormat="1" applyFont="1" applyBorder="1" applyAlignment="1">
      <alignment horizontal="right" vertical="center"/>
    </xf>
    <xf numFmtId="3" fontId="18" fillId="0" borderId="47" xfId="0" applyNumberFormat="1" applyFont="1" applyBorder="1"/>
    <xf numFmtId="3" fontId="21" fillId="0" borderId="11" xfId="30" applyNumberFormat="1" applyFont="1" applyBorder="1" applyAlignment="1">
      <alignment horizontal="center" vertical="center"/>
    </xf>
    <xf numFmtId="3" fontId="34" fillId="0" borderId="102" xfId="30" applyNumberFormat="1" applyFont="1" applyBorder="1"/>
    <xf numFmtId="3" fontId="34" fillId="0" borderId="31" xfId="30" applyNumberFormat="1" applyFont="1" applyBorder="1" applyAlignment="1">
      <alignment horizontal="center"/>
    </xf>
    <xf numFmtId="3" fontId="34" fillId="0" borderId="31" xfId="0" applyNumberFormat="1" applyFont="1" applyBorder="1" applyAlignment="1">
      <alignment horizontal="right" vertical="center"/>
    </xf>
    <xf numFmtId="3" fontId="34" fillId="0" borderId="32" xfId="0" applyNumberFormat="1" applyFont="1" applyBorder="1" applyAlignment="1">
      <alignment horizontal="right" vertical="center"/>
    </xf>
    <xf numFmtId="3" fontId="34" fillId="0" borderId="170" xfId="0" applyNumberFormat="1" applyFont="1" applyBorder="1" applyAlignment="1">
      <alignment horizontal="center" vertical="center"/>
    </xf>
    <xf numFmtId="3" fontId="21" fillId="0" borderId="31" xfId="0" applyNumberFormat="1" applyFont="1" applyBorder="1" applyAlignment="1">
      <alignment horizontal="right" vertical="center"/>
    </xf>
    <xf numFmtId="3" fontId="21" fillId="0" borderId="32" xfId="0" applyNumberFormat="1" applyFont="1" applyBorder="1" applyAlignment="1">
      <alignment horizontal="right" vertical="center"/>
    </xf>
    <xf numFmtId="3" fontId="34" fillId="0" borderId="13" xfId="30" applyNumberFormat="1" applyFont="1" applyBorder="1" applyAlignment="1">
      <alignment horizontal="center"/>
    </xf>
    <xf numFmtId="3" fontId="18" fillId="0" borderId="29" xfId="30" applyNumberFormat="1" applyFont="1" applyBorder="1" applyAlignment="1">
      <alignment horizontal="center" vertical="center"/>
    </xf>
    <xf numFmtId="3" fontId="24" fillId="0" borderId="29" xfId="0" applyNumberFormat="1" applyFont="1" applyBorder="1" applyAlignment="1">
      <alignment vertical="center"/>
    </xf>
    <xf numFmtId="3" fontId="24" fillId="0" borderId="34" xfId="0" applyNumberFormat="1" applyFont="1" applyBorder="1" applyAlignment="1">
      <alignment vertical="center"/>
    </xf>
    <xf numFmtId="3" fontId="24" fillId="0" borderId="30" xfId="0" applyNumberFormat="1" applyFont="1" applyBorder="1" applyAlignment="1">
      <alignment vertical="center"/>
    </xf>
    <xf numFmtId="3" fontId="34" fillId="0" borderId="85" xfId="0" applyNumberFormat="1" applyFont="1" applyBorder="1" applyAlignment="1">
      <alignment horizontal="center"/>
    </xf>
    <xf numFmtId="3" fontId="34" fillId="0" borderId="75" xfId="0" applyNumberFormat="1" applyFont="1" applyBorder="1" applyAlignment="1">
      <alignment horizontal="center"/>
    </xf>
    <xf numFmtId="3" fontId="20" fillId="0" borderId="13" xfId="0" applyNumberFormat="1" applyFont="1" applyBorder="1" applyAlignment="1">
      <alignment horizontal="right" vertical="center"/>
    </xf>
    <xf numFmtId="3" fontId="20" fillId="0" borderId="14" xfId="0" applyNumberFormat="1" applyFont="1" applyBorder="1" applyAlignment="1">
      <alignment horizontal="right" vertical="center"/>
    </xf>
    <xf numFmtId="3" fontId="21" fillId="0" borderId="29" xfId="0" applyNumberFormat="1" applyFont="1" applyBorder="1" applyAlignment="1">
      <alignment horizontal="center" vertical="center"/>
    </xf>
    <xf numFmtId="3" fontId="21" fillId="0" borderId="51" xfId="0" applyNumberFormat="1" applyFont="1" applyBorder="1" applyAlignment="1">
      <alignment horizontal="right" vertical="center"/>
    </xf>
    <xf numFmtId="3" fontId="21" fillId="0" borderId="34" xfId="0" applyNumberFormat="1" applyFont="1" applyBorder="1" applyAlignment="1">
      <alignment horizontal="right" vertical="center"/>
    </xf>
    <xf numFmtId="3" fontId="18" fillId="0" borderId="17" xfId="0" applyNumberFormat="1" applyFont="1" applyBorder="1" applyAlignment="1">
      <alignment horizontal="right" vertical="center"/>
    </xf>
    <xf numFmtId="3" fontId="21" fillId="0" borderId="33" xfId="0" applyNumberFormat="1" applyFont="1" applyBorder="1" applyAlignment="1">
      <alignment horizontal="right" vertical="center"/>
    </xf>
    <xf numFmtId="3" fontId="18" fillId="0" borderId="13" xfId="0" applyNumberFormat="1" applyFont="1" applyBorder="1" applyAlignment="1">
      <alignment vertical="center"/>
    </xf>
    <xf numFmtId="3" fontId="18" fillId="0" borderId="14" xfId="0" applyNumberFormat="1" applyFont="1" applyBorder="1" applyAlignment="1">
      <alignment vertical="center"/>
    </xf>
    <xf numFmtId="3" fontId="35" fillId="0" borderId="12" xfId="0" applyNumberFormat="1" applyFont="1" applyBorder="1" applyAlignment="1">
      <alignment horizontal="left" vertical="center" wrapText="1"/>
    </xf>
    <xf numFmtId="3" fontId="35" fillId="0" borderId="75" xfId="0" applyNumberFormat="1" applyFont="1" applyBorder="1" applyAlignment="1">
      <alignment horizontal="left" vertical="center" wrapText="1"/>
    </xf>
    <xf numFmtId="3" fontId="35" fillId="0" borderId="13" xfId="0" applyNumberFormat="1" applyFont="1" applyBorder="1" applyAlignment="1">
      <alignment horizontal="left" vertical="center" wrapText="1"/>
    </xf>
    <xf numFmtId="3" fontId="35" fillId="0" borderId="13" xfId="0" applyNumberFormat="1" applyFont="1" applyBorder="1" applyAlignment="1">
      <alignment horizontal="right" vertical="center"/>
    </xf>
    <xf numFmtId="3" fontId="35" fillId="0" borderId="95" xfId="0" applyNumberFormat="1" applyFont="1" applyBorder="1" applyAlignment="1">
      <alignment horizontal="right" vertical="center"/>
    </xf>
    <xf numFmtId="3" fontId="34" fillId="0" borderId="13" xfId="0" applyNumberFormat="1" applyFont="1" applyBorder="1" applyAlignment="1">
      <alignment horizontal="right" vertical="center"/>
    </xf>
    <xf numFmtId="3" fontId="34" fillId="0" borderId="14" xfId="0" applyNumberFormat="1" applyFont="1" applyBorder="1" applyAlignment="1">
      <alignment horizontal="right" vertical="center"/>
    </xf>
    <xf numFmtId="3" fontId="18" fillId="0" borderId="13" xfId="0" applyNumberFormat="1" applyFont="1" applyBorder="1" applyAlignment="1">
      <alignment horizontal="center" vertical="center" wrapText="1"/>
    </xf>
    <xf numFmtId="3" fontId="18" fillId="0" borderId="95" xfId="0" applyNumberFormat="1" applyFont="1" applyBorder="1" applyAlignment="1">
      <alignment horizontal="right" vertical="center"/>
    </xf>
    <xf numFmtId="3" fontId="24" fillId="0" borderId="75" xfId="0" applyNumberFormat="1" applyFont="1" applyBorder="1" applyAlignment="1">
      <alignment horizontal="right" vertical="center"/>
    </xf>
    <xf numFmtId="3" fontId="18" fillId="0" borderId="14" xfId="0" applyNumberFormat="1" applyFont="1" applyBorder="1" applyAlignment="1">
      <alignment horizontal="right" vertical="center"/>
    </xf>
    <xf numFmtId="3" fontId="34" fillId="0" borderId="75" xfId="0" applyNumberFormat="1" applyFont="1" applyBorder="1" applyAlignment="1">
      <alignment horizontal="right" vertical="center"/>
    </xf>
    <xf numFmtId="3" fontId="21" fillId="0" borderId="75" xfId="0" applyNumberFormat="1" applyFont="1" applyBorder="1" applyAlignment="1">
      <alignment horizontal="right" vertical="center"/>
    </xf>
    <xf numFmtId="3" fontId="18" fillId="0" borderId="13" xfId="0" applyNumberFormat="1" applyFont="1" applyBorder="1" applyAlignment="1">
      <alignment horizontal="right" vertical="top"/>
    </xf>
    <xf numFmtId="3" fontId="18" fillId="0" borderId="95" xfId="0" applyNumberFormat="1" applyFont="1" applyBorder="1" applyAlignment="1">
      <alignment horizontal="right" vertical="top"/>
    </xf>
    <xf numFmtId="3" fontId="35" fillId="0" borderId="47" xfId="0" applyNumberFormat="1" applyFont="1" applyBorder="1" applyAlignment="1">
      <alignment horizontal="left" vertical="center" wrapText="1"/>
    </xf>
    <xf numFmtId="3" fontId="35" fillId="0" borderId="85" xfId="0" applyNumberFormat="1" applyFont="1" applyBorder="1" applyAlignment="1">
      <alignment horizontal="left" vertical="center" wrapText="1"/>
    </xf>
    <xf numFmtId="3" fontId="35" fillId="0" borderId="31" xfId="0" applyNumberFormat="1" applyFont="1" applyBorder="1" applyAlignment="1">
      <alignment horizontal="left" vertical="center" wrapText="1"/>
    </xf>
    <xf numFmtId="3" fontId="35" fillId="0" borderId="31" xfId="0" applyNumberFormat="1" applyFont="1" applyBorder="1" applyAlignment="1">
      <alignment horizontal="right" vertical="center"/>
    </xf>
    <xf numFmtId="3" fontId="35" fillId="0" borderId="112" xfId="0" applyNumberFormat="1" applyFont="1" applyBorder="1" applyAlignment="1">
      <alignment horizontal="right" vertical="center"/>
    </xf>
    <xf numFmtId="3" fontId="34" fillId="0" borderId="85" xfId="0" applyNumberFormat="1" applyFont="1" applyBorder="1" applyAlignment="1">
      <alignment horizontal="right" vertical="center"/>
    </xf>
    <xf numFmtId="3" fontId="21" fillId="0" borderId="85" xfId="0" applyNumberFormat="1" applyFont="1" applyBorder="1" applyAlignment="1">
      <alignment horizontal="right" vertical="center"/>
    </xf>
    <xf numFmtId="0" fontId="20" fillId="0" borderId="13" xfId="28" applyFont="1" applyBorder="1" applyAlignment="1">
      <alignment horizontal="left"/>
    </xf>
    <xf numFmtId="3" fontId="20" fillId="0" borderId="31" xfId="0" applyNumberFormat="1" applyFont="1" applyBorder="1" applyAlignment="1">
      <alignment horizontal="right" vertical="center"/>
    </xf>
    <xf numFmtId="3" fontId="20" fillId="0" borderId="32" xfId="0" applyNumberFormat="1" applyFont="1" applyBorder="1" applyAlignment="1">
      <alignment horizontal="right" vertical="center"/>
    </xf>
    <xf numFmtId="3" fontId="18" fillId="0" borderId="72" xfId="0" applyNumberFormat="1" applyFont="1" applyBorder="1"/>
    <xf numFmtId="3" fontId="18" fillId="0" borderId="72" xfId="0" applyNumberFormat="1" applyFont="1" applyBorder="1" applyAlignment="1">
      <alignment horizontal="center"/>
    </xf>
    <xf numFmtId="3" fontId="18" fillId="0" borderId="72" xfId="0" applyNumberFormat="1" applyFont="1" applyBorder="1" applyAlignment="1">
      <alignment horizontal="right"/>
    </xf>
    <xf numFmtId="3" fontId="21" fillId="0" borderId="72" xfId="0" applyNumberFormat="1" applyFont="1" applyBorder="1" applyAlignment="1">
      <alignment horizontal="right"/>
    </xf>
    <xf numFmtId="3" fontId="20" fillId="0" borderId="0" xfId="0" applyNumberFormat="1" applyFont="1"/>
    <xf numFmtId="0" fontId="11" fillId="0" borderId="0" xfId="47" applyFont="1" applyAlignment="1" applyProtection="1">
      <alignment horizontal="center" vertical="center"/>
      <protection locked="0"/>
    </xf>
    <xf numFmtId="0" fontId="11" fillId="0" borderId="0" xfId="32" applyFont="1" applyAlignment="1" applyProtection="1">
      <alignment horizontal="left" vertical="center"/>
      <protection locked="0"/>
    </xf>
    <xf numFmtId="3" fontId="11" fillId="0" borderId="0" xfId="47" applyNumberFormat="1" applyFont="1" applyAlignment="1" applyProtection="1">
      <alignment horizontal="center" vertical="center"/>
      <protection locked="0"/>
    </xf>
    <xf numFmtId="3" fontId="11" fillId="0" borderId="0" xfId="47" applyNumberFormat="1" applyFont="1" applyProtection="1">
      <protection locked="0"/>
    </xf>
    <xf numFmtId="3" fontId="11" fillId="0" borderId="0" xfId="47" applyNumberFormat="1" applyFont="1" applyAlignment="1" applyProtection="1">
      <alignment horizontal="right"/>
      <protection locked="0"/>
    </xf>
    <xf numFmtId="3" fontId="11" fillId="0" borderId="0" xfId="31" applyNumberFormat="1" applyFont="1" applyAlignment="1" applyProtection="1">
      <alignment horizontal="right"/>
      <protection locked="0"/>
    </xf>
    <xf numFmtId="0" fontId="11" fillId="0" borderId="0" xfId="47" applyFont="1" applyProtection="1">
      <protection locked="0"/>
    </xf>
    <xf numFmtId="0" fontId="11" fillId="0" borderId="0" xfId="31" applyFont="1" applyProtection="1">
      <protection locked="0"/>
    </xf>
    <xf numFmtId="0" fontId="11" fillId="0" borderId="0" xfId="31" applyFont="1" applyAlignment="1" applyProtection="1">
      <alignment horizontal="center" vertical="center"/>
      <protection locked="0"/>
    </xf>
    <xf numFmtId="0" fontId="18" fillId="0" borderId="0" xfId="31" applyFont="1" applyAlignment="1" applyProtection="1">
      <alignment horizontal="center" vertical="center"/>
      <protection locked="0"/>
    </xf>
    <xf numFmtId="0" fontId="18" fillId="0" borderId="0" xfId="31" applyFont="1" applyAlignment="1" applyProtection="1">
      <alignment horizontal="center" vertical="top"/>
      <protection locked="0"/>
    </xf>
    <xf numFmtId="0" fontId="18" fillId="0" borderId="0" xfId="31" applyFont="1" applyAlignment="1" applyProtection="1">
      <alignment wrapText="1"/>
      <protection locked="0"/>
    </xf>
    <xf numFmtId="3" fontId="18" fillId="0" borderId="0" xfId="31" applyNumberFormat="1" applyFont="1" applyAlignment="1" applyProtection="1">
      <alignment horizontal="center" vertical="center" wrapText="1"/>
      <protection locked="0"/>
    </xf>
    <xf numFmtId="3" fontId="18" fillId="0" borderId="0" xfId="31" applyNumberFormat="1" applyFont="1" applyProtection="1">
      <protection locked="0"/>
    </xf>
    <xf numFmtId="3" fontId="18" fillId="0" borderId="0" xfId="31" applyNumberFormat="1" applyFont="1" applyAlignment="1" applyProtection="1">
      <alignment horizontal="right"/>
      <protection locked="0"/>
    </xf>
    <xf numFmtId="3" fontId="20" fillId="0" borderId="0" xfId="31" applyNumberFormat="1" applyFont="1" applyAlignment="1" applyProtection="1">
      <alignment horizontal="right"/>
      <protection locked="0"/>
    </xf>
    <xf numFmtId="0" fontId="18" fillId="0" borderId="0" xfId="31" applyFont="1" applyProtection="1">
      <protection locked="0"/>
    </xf>
    <xf numFmtId="0" fontId="15" fillId="0" borderId="0" xfId="31" applyFont="1" applyAlignment="1" applyProtection="1">
      <alignment horizontal="center"/>
      <protection locked="0"/>
    </xf>
    <xf numFmtId="0" fontId="15" fillId="0" borderId="0" xfId="32" applyFont="1" applyAlignment="1" applyProtection="1">
      <alignment horizontal="center" wrapText="1"/>
      <protection locked="0"/>
    </xf>
    <xf numFmtId="3" fontId="15" fillId="0" borderId="0" xfId="32" applyNumberFormat="1" applyFont="1" applyAlignment="1" applyProtection="1">
      <alignment horizontal="center"/>
      <protection locked="0"/>
    </xf>
    <xf numFmtId="0" fontId="15" fillId="0" borderId="0" xfId="0" applyFont="1" applyProtection="1">
      <protection locked="0"/>
    </xf>
    <xf numFmtId="0" fontId="15" fillId="0" borderId="0" xfId="31" applyFont="1" applyAlignment="1" applyProtection="1">
      <alignment horizontal="center" vertical="center"/>
      <protection locked="0"/>
    </xf>
    <xf numFmtId="3" fontId="18" fillId="0" borderId="123" xfId="27" applyNumberFormat="1" applyFont="1" applyBorder="1" applyAlignment="1" applyProtection="1">
      <alignment horizontal="center" vertical="center" textRotation="90"/>
      <protection locked="0"/>
    </xf>
    <xf numFmtId="3" fontId="29" fillId="0" borderId="29" xfId="30" applyNumberFormat="1" applyFont="1" applyBorder="1" applyAlignment="1" applyProtection="1">
      <alignment horizontal="left"/>
      <protection locked="0"/>
    </xf>
    <xf numFmtId="0" fontId="21" fillId="0" borderId="89" xfId="31" applyFont="1" applyBorder="1" applyAlignment="1" applyProtection="1">
      <alignment horizontal="center" vertical="center" wrapText="1"/>
      <protection locked="0"/>
    </xf>
    <xf numFmtId="0" fontId="18" fillId="0" borderId="29" xfId="31" applyFont="1" applyBorder="1" applyAlignment="1" applyProtection="1">
      <alignment horizontal="center" vertical="center" textRotation="90" wrapText="1"/>
      <protection locked="0"/>
    </xf>
    <xf numFmtId="3" fontId="18" fillId="0" borderId="29" xfId="31" applyNumberFormat="1" applyFont="1" applyBorder="1" applyAlignment="1" applyProtection="1">
      <alignment horizontal="center" vertical="center" wrapText="1"/>
      <protection locked="0"/>
    </xf>
    <xf numFmtId="3" fontId="18" fillId="0" borderId="89" xfId="31" applyNumberFormat="1" applyFont="1" applyBorder="1" applyAlignment="1" applyProtection="1">
      <alignment horizontal="center" vertical="center" wrapText="1"/>
      <protection locked="0"/>
    </xf>
    <xf numFmtId="3" fontId="21" fillId="0" borderId="199" xfId="31" applyNumberFormat="1" applyFont="1" applyBorder="1" applyAlignment="1" applyProtection="1">
      <alignment horizontal="center" vertical="center" wrapText="1"/>
      <protection locked="0"/>
    </xf>
    <xf numFmtId="3" fontId="21" fillId="0" borderId="29" xfId="31" applyNumberFormat="1" applyFont="1" applyBorder="1" applyAlignment="1" applyProtection="1">
      <alignment horizontal="center" vertical="center" wrapText="1"/>
      <protection locked="0"/>
    </xf>
    <xf numFmtId="0" fontId="20" fillId="0" borderId="30" xfId="31" applyFont="1" applyBorder="1" applyAlignment="1" applyProtection="1">
      <alignment horizontal="center" vertical="center"/>
      <protection locked="0"/>
    </xf>
    <xf numFmtId="3" fontId="18" fillId="0" borderId="0" xfId="31" applyNumberFormat="1" applyFont="1" applyAlignment="1" applyProtection="1">
      <alignment horizontal="center" vertical="center"/>
      <protection locked="0"/>
    </xf>
    <xf numFmtId="0" fontId="18" fillId="0" borderId="20" xfId="32" applyFont="1" applyBorder="1" applyAlignment="1" applyProtection="1">
      <alignment horizontal="center"/>
      <protection locked="0"/>
    </xf>
    <xf numFmtId="3" fontId="29" fillId="0" borderId="18" xfId="30" applyNumberFormat="1" applyFont="1" applyBorder="1" applyAlignment="1" applyProtection="1">
      <alignment horizontal="left"/>
      <protection locked="0"/>
    </xf>
    <xf numFmtId="0" fontId="29" fillId="0" borderId="18" xfId="31" applyFont="1" applyBorder="1" applyAlignment="1" applyProtection="1">
      <alignment horizontal="left" wrapText="1"/>
      <protection locked="0"/>
    </xf>
    <xf numFmtId="0" fontId="18" fillId="0" borderId="18" xfId="32" applyFont="1" applyBorder="1" applyAlignment="1" applyProtection="1">
      <alignment horizontal="center"/>
      <protection locked="0"/>
    </xf>
    <xf numFmtId="3" fontId="18" fillId="0" borderId="18" xfId="32" applyNumberFormat="1" applyFont="1" applyBorder="1" applyProtection="1">
      <protection locked="0"/>
    </xf>
    <xf numFmtId="3" fontId="18" fillId="0" borderId="18" xfId="31" applyNumberFormat="1" applyFont="1" applyBorder="1" applyProtection="1">
      <protection locked="0"/>
    </xf>
    <xf numFmtId="3" fontId="18" fillId="0" borderId="19" xfId="31" applyNumberFormat="1" applyFont="1" applyBorder="1" applyAlignment="1" applyProtection="1">
      <alignment horizontal="right"/>
      <protection locked="0"/>
    </xf>
    <xf numFmtId="3" fontId="18" fillId="0" borderId="169" xfId="31" applyNumberFormat="1" applyFont="1" applyBorder="1" applyAlignment="1" applyProtection="1">
      <alignment horizontal="left"/>
      <protection locked="0"/>
    </xf>
    <xf numFmtId="3" fontId="18" fillId="0" borderId="18" xfId="31" applyNumberFormat="1" applyFont="1" applyBorder="1" applyAlignment="1" applyProtection="1">
      <alignment horizontal="left"/>
      <protection locked="0"/>
    </xf>
    <xf numFmtId="0" fontId="18" fillId="0" borderId="21" xfId="31" applyFont="1" applyBorder="1" applyAlignment="1" applyProtection="1">
      <alignment horizontal="left"/>
      <protection locked="0"/>
    </xf>
    <xf numFmtId="0" fontId="18" fillId="0" borderId="0" xfId="31" applyFont="1" applyAlignment="1" applyProtection="1">
      <alignment horizontal="left"/>
      <protection locked="0"/>
    </xf>
    <xf numFmtId="3" fontId="18" fillId="0" borderId="13" xfId="30" applyNumberFormat="1" applyFont="1" applyBorder="1" applyAlignment="1" applyProtection="1">
      <alignment horizontal="center" vertical="top"/>
      <protection locked="0"/>
    </xf>
    <xf numFmtId="0" fontId="18" fillId="0" borderId="18" xfId="31" applyFont="1" applyBorder="1" applyAlignment="1" applyProtection="1">
      <alignment horizontal="left" wrapText="1"/>
      <protection locked="0"/>
    </xf>
    <xf numFmtId="3" fontId="18" fillId="0" borderId="18" xfId="32" applyNumberFormat="1" applyFont="1" applyBorder="1" applyAlignment="1" applyProtection="1">
      <alignment vertical="center"/>
      <protection locked="0"/>
    </xf>
    <xf numFmtId="3" fontId="18" fillId="0" borderId="18" xfId="31" applyNumberFormat="1" applyFont="1" applyBorder="1" applyAlignment="1" applyProtection="1">
      <alignment vertical="center"/>
      <protection locked="0"/>
    </xf>
    <xf numFmtId="3" fontId="18" fillId="0" borderId="19" xfId="31" applyNumberFormat="1" applyFont="1" applyBorder="1" applyAlignment="1" applyProtection="1">
      <alignment horizontal="right" vertical="center"/>
      <protection locked="0"/>
    </xf>
    <xf numFmtId="3" fontId="18" fillId="0" borderId="169" xfId="31" applyNumberFormat="1" applyFont="1" applyBorder="1" applyAlignment="1" applyProtection="1">
      <alignment horizontal="right"/>
      <protection locked="0"/>
    </xf>
    <xf numFmtId="3" fontId="18" fillId="0" borderId="18" xfId="31" applyNumberFormat="1" applyFont="1" applyBorder="1" applyAlignment="1" applyProtection="1">
      <alignment horizontal="right"/>
      <protection locked="0"/>
    </xf>
    <xf numFmtId="0" fontId="20" fillId="0" borderId="14" xfId="31" applyFont="1" applyBorder="1" applyProtection="1">
      <protection locked="0"/>
    </xf>
    <xf numFmtId="3" fontId="18" fillId="0" borderId="13" xfId="30" applyNumberFormat="1" applyFont="1" applyBorder="1" applyAlignment="1" applyProtection="1">
      <alignment horizontal="center"/>
      <protection locked="0"/>
    </xf>
    <xf numFmtId="0" fontId="24" fillId="0" borderId="13" xfId="31" applyFont="1" applyBorder="1" applyProtection="1">
      <protection locked="0"/>
    </xf>
    <xf numFmtId="0" fontId="24" fillId="0" borderId="18" xfId="32" applyFont="1" applyBorder="1" applyAlignment="1" applyProtection="1">
      <alignment horizontal="left"/>
      <protection locked="0"/>
    </xf>
    <xf numFmtId="0" fontId="18" fillId="0" borderId="14" xfId="31" applyFont="1" applyBorder="1" applyProtection="1">
      <protection locked="0"/>
    </xf>
    <xf numFmtId="3" fontId="29" fillId="0" borderId="13" xfId="30" applyNumberFormat="1" applyFont="1" applyBorder="1" applyAlignment="1" applyProtection="1">
      <alignment horizontal="left"/>
      <protection locked="0"/>
    </xf>
    <xf numFmtId="0" fontId="18" fillId="0" borderId="14" xfId="31" applyFont="1" applyBorder="1" applyAlignment="1" applyProtection="1">
      <alignment horizontal="left"/>
      <protection locked="0"/>
    </xf>
    <xf numFmtId="3" fontId="18" fillId="0" borderId="18" xfId="31" applyNumberFormat="1" applyFont="1" applyBorder="1" applyAlignment="1" applyProtection="1">
      <alignment horizontal="right" vertical="center"/>
      <protection locked="0"/>
    </xf>
    <xf numFmtId="3" fontId="20" fillId="0" borderId="14" xfId="31" applyNumberFormat="1" applyFont="1" applyBorder="1" applyAlignment="1" applyProtection="1">
      <alignment vertical="center"/>
      <protection locked="0"/>
    </xf>
    <xf numFmtId="3" fontId="18" fillId="0" borderId="14" xfId="31" applyNumberFormat="1" applyFont="1" applyBorder="1" applyProtection="1">
      <protection locked="0"/>
    </xf>
    <xf numFmtId="3" fontId="20" fillId="0" borderId="14" xfId="31" applyNumberFormat="1" applyFont="1" applyBorder="1" applyProtection="1">
      <protection locked="0"/>
    </xf>
    <xf numFmtId="0" fontId="24" fillId="0" borderId="13" xfId="31" applyFont="1" applyBorder="1" applyAlignment="1" applyProtection="1">
      <alignment horizontal="left"/>
      <protection locked="0"/>
    </xf>
    <xf numFmtId="0" fontId="18" fillId="0" borderId="13" xfId="31" applyFont="1" applyBorder="1" applyAlignment="1" applyProtection="1">
      <alignment horizontal="left" wrapText="1"/>
      <protection locked="0"/>
    </xf>
    <xf numFmtId="3" fontId="20" fillId="0" borderId="14" xfId="31" applyNumberFormat="1" applyFont="1" applyBorder="1" applyAlignment="1" applyProtection="1">
      <alignment horizontal="left"/>
      <protection locked="0"/>
    </xf>
    <xf numFmtId="3" fontId="21" fillId="0" borderId="18" xfId="32" applyNumberFormat="1" applyFont="1" applyBorder="1" applyProtection="1">
      <protection locked="0"/>
    </xf>
    <xf numFmtId="3" fontId="18" fillId="0" borderId="19" xfId="31" applyNumberFormat="1" applyFont="1" applyBorder="1" applyAlignment="1" applyProtection="1">
      <alignment horizontal="left"/>
      <protection locked="0"/>
    </xf>
    <xf numFmtId="0" fontId="21" fillId="0" borderId="13" xfId="31" applyFont="1" applyBorder="1" applyAlignment="1" applyProtection="1">
      <alignment wrapText="1"/>
      <protection locked="0"/>
    </xf>
    <xf numFmtId="3" fontId="18" fillId="0" borderId="18" xfId="31" applyNumberFormat="1" applyFont="1" applyBorder="1" applyAlignment="1" applyProtection="1">
      <alignment horizontal="right" vertical="top"/>
      <protection locked="0"/>
    </xf>
    <xf numFmtId="3" fontId="20" fillId="0" borderId="14" xfId="31" applyNumberFormat="1" applyFont="1" applyBorder="1" applyAlignment="1" applyProtection="1">
      <alignment vertical="top"/>
      <protection locked="0"/>
    </xf>
    <xf numFmtId="0" fontId="31" fillId="0" borderId="13" xfId="31" applyFont="1" applyBorder="1" applyAlignment="1" applyProtection="1">
      <alignment horizontal="left"/>
      <protection locked="0"/>
    </xf>
    <xf numFmtId="3" fontId="18" fillId="0" borderId="18" xfId="30" applyNumberFormat="1" applyFont="1" applyBorder="1" applyAlignment="1" applyProtection="1">
      <alignment horizontal="center"/>
      <protection locked="0"/>
    </xf>
    <xf numFmtId="3" fontId="18" fillId="0" borderId="18" xfId="30" applyNumberFormat="1" applyFont="1" applyBorder="1" applyAlignment="1" applyProtection="1">
      <alignment horizontal="center" vertical="top"/>
      <protection locked="0"/>
    </xf>
    <xf numFmtId="3" fontId="20" fillId="0" borderId="14" xfId="31" applyNumberFormat="1" applyFont="1" applyBorder="1" applyAlignment="1" applyProtection="1">
      <alignment wrapText="1"/>
      <protection locked="0"/>
    </xf>
    <xf numFmtId="3" fontId="29" fillId="0" borderId="18" xfId="0" applyNumberFormat="1" applyFont="1" applyBorder="1" applyAlignment="1" applyProtection="1">
      <alignment horizontal="left"/>
      <protection locked="0"/>
    </xf>
    <xf numFmtId="0" fontId="21" fillId="0" borderId="90" xfId="32" applyFont="1" applyBorder="1" applyAlignment="1" applyProtection="1">
      <alignment horizontal="center" vertical="center"/>
      <protection locked="0"/>
    </xf>
    <xf numFmtId="3" fontId="21" fillId="0" borderId="90" xfId="32" applyNumberFormat="1" applyFont="1" applyBorder="1" applyAlignment="1" applyProtection="1">
      <alignment vertical="center"/>
      <protection locked="0"/>
    </xf>
    <xf numFmtId="3" fontId="21" fillId="0" borderId="90" xfId="31" applyNumberFormat="1" applyFont="1" applyBorder="1" applyAlignment="1" applyProtection="1">
      <alignment vertical="center"/>
      <protection locked="0"/>
    </xf>
    <xf numFmtId="3" fontId="21" fillId="0" borderId="108" xfId="31" applyNumberFormat="1" applyFont="1" applyBorder="1" applyAlignment="1" applyProtection="1">
      <alignment horizontal="right" vertical="center"/>
      <protection locked="0"/>
    </xf>
    <xf numFmtId="3" fontId="21" fillId="0" borderId="182" xfId="31" applyNumberFormat="1" applyFont="1" applyBorder="1" applyAlignment="1" applyProtection="1">
      <alignment horizontal="right" vertical="center"/>
      <protection locked="0"/>
    </xf>
    <xf numFmtId="3" fontId="21" fillId="0" borderId="90" xfId="31" applyNumberFormat="1" applyFont="1" applyBorder="1" applyAlignment="1" applyProtection="1">
      <alignment horizontal="right" vertical="center"/>
      <protection locked="0"/>
    </xf>
    <xf numFmtId="3" fontId="24" fillId="0" borderId="245" xfId="31" applyNumberFormat="1" applyFont="1" applyBorder="1" applyAlignment="1" applyProtection="1">
      <alignment horizontal="right" vertical="center"/>
      <protection locked="0"/>
    </xf>
    <xf numFmtId="0" fontId="21" fillId="0" borderId="0" xfId="31" applyFont="1" applyAlignment="1" applyProtection="1">
      <alignment horizontal="left" vertical="center"/>
      <protection locked="0"/>
    </xf>
    <xf numFmtId="3" fontId="29" fillId="0" borderId="19" xfId="0" applyNumberFormat="1" applyFont="1" applyBorder="1" applyAlignment="1" applyProtection="1">
      <alignment horizontal="left"/>
      <protection locked="0"/>
    </xf>
    <xf numFmtId="0" fontId="21" fillId="0" borderId="45" xfId="32" applyFont="1" applyBorder="1" applyAlignment="1" applyProtection="1">
      <alignment horizontal="center" vertical="center"/>
      <protection locked="0"/>
    </xf>
    <xf numFmtId="3" fontId="21" fillId="0" borderId="45" xfId="32" applyNumberFormat="1" applyFont="1" applyBorder="1" applyAlignment="1" applyProtection="1">
      <alignment vertical="center"/>
      <protection locked="0"/>
    </xf>
    <xf numFmtId="3" fontId="21" fillId="0" borderId="45" xfId="31" applyNumberFormat="1" applyFont="1" applyBorder="1" applyAlignment="1" applyProtection="1">
      <alignment vertical="center"/>
      <protection locked="0"/>
    </xf>
    <xf numFmtId="3" fontId="21" fillId="0" borderId="109" xfId="31" applyNumberFormat="1" applyFont="1" applyBorder="1" applyAlignment="1" applyProtection="1">
      <alignment horizontal="right" vertical="center"/>
      <protection locked="0"/>
    </xf>
    <xf numFmtId="3" fontId="21" fillId="0" borderId="180" xfId="31" applyNumberFormat="1" applyFont="1" applyBorder="1" applyAlignment="1" applyProtection="1">
      <alignment horizontal="right" vertical="center"/>
      <protection locked="0"/>
    </xf>
    <xf numFmtId="3" fontId="21" fillId="0" borderId="45" xfId="31" applyNumberFormat="1" applyFont="1" applyBorder="1" applyAlignment="1" applyProtection="1">
      <alignment horizontal="right" vertical="center"/>
      <protection locked="0"/>
    </xf>
    <xf numFmtId="3" fontId="24" fillId="0" borderId="246" xfId="31" applyNumberFormat="1" applyFont="1" applyBorder="1" applyAlignment="1" applyProtection="1">
      <alignment horizontal="right" vertical="center"/>
      <protection locked="0"/>
    </xf>
    <xf numFmtId="0" fontId="21" fillId="0" borderId="28" xfId="32" applyFont="1" applyBorder="1" applyAlignment="1" applyProtection="1">
      <alignment horizontal="center" vertical="center"/>
      <protection locked="0"/>
    </xf>
    <xf numFmtId="0" fontId="21" fillId="0" borderId="29" xfId="32" applyFont="1" applyBorder="1" applyAlignment="1" applyProtection="1">
      <alignment horizontal="center" vertical="center"/>
      <protection locked="0"/>
    </xf>
    <xf numFmtId="3" fontId="21" fillId="0" borderId="29" xfId="32" applyNumberFormat="1" applyFont="1" applyBorder="1" applyAlignment="1" applyProtection="1">
      <alignment vertical="center"/>
      <protection locked="0"/>
    </xf>
    <xf numFmtId="3" fontId="21" fillId="0" borderId="29" xfId="31" applyNumberFormat="1" applyFont="1" applyBorder="1" applyAlignment="1" applyProtection="1">
      <alignment vertical="center"/>
      <protection locked="0"/>
    </xf>
    <xf numFmtId="3" fontId="21" fillId="0" borderId="94" xfId="31" applyNumberFormat="1" applyFont="1" applyBorder="1" applyAlignment="1" applyProtection="1">
      <alignment horizontal="right" vertical="center"/>
      <protection locked="0"/>
    </xf>
    <xf numFmtId="3" fontId="21" fillId="0" borderId="84" xfId="31" applyNumberFormat="1" applyFont="1" applyBorder="1" applyAlignment="1" applyProtection="1">
      <alignment horizontal="right" vertical="center"/>
      <protection locked="0"/>
    </xf>
    <xf numFmtId="3" fontId="21" fillId="0" borderId="29" xfId="31" applyNumberFormat="1" applyFont="1" applyBorder="1" applyAlignment="1" applyProtection="1">
      <alignment horizontal="right" vertical="center"/>
      <protection locked="0"/>
    </xf>
    <xf numFmtId="3" fontId="24" fillId="0" borderId="30" xfId="31" applyNumberFormat="1" applyFont="1" applyBorder="1" applyAlignment="1" applyProtection="1">
      <alignment horizontal="right" vertical="center"/>
      <protection locked="0"/>
    </xf>
    <xf numFmtId="0" fontId="18" fillId="0" borderId="13" xfId="32" applyFont="1" applyBorder="1" applyAlignment="1" applyProtection="1">
      <alignment horizontal="center" vertical="center"/>
      <protection locked="0"/>
    </xf>
    <xf numFmtId="3" fontId="21" fillId="0" borderId="13" xfId="32" applyNumberFormat="1" applyFont="1" applyBorder="1" applyAlignment="1" applyProtection="1">
      <alignment vertical="center"/>
      <protection locked="0"/>
    </xf>
    <xf numFmtId="3" fontId="21" fillId="0" borderId="13" xfId="31" applyNumberFormat="1" applyFont="1" applyBorder="1" applyAlignment="1" applyProtection="1">
      <alignment vertical="center"/>
      <protection locked="0"/>
    </xf>
    <xf numFmtId="3" fontId="21" fillId="0" borderId="95" xfId="31" applyNumberFormat="1" applyFont="1" applyBorder="1" applyAlignment="1" applyProtection="1">
      <alignment horizontal="right" vertical="center"/>
      <protection locked="0"/>
    </xf>
    <xf numFmtId="3" fontId="21" fillId="0" borderId="75" xfId="31" applyNumberFormat="1" applyFont="1" applyBorder="1" applyAlignment="1" applyProtection="1">
      <alignment horizontal="right" vertical="center"/>
      <protection locked="0"/>
    </xf>
    <xf numFmtId="3" fontId="21" fillId="0" borderId="13" xfId="31" applyNumberFormat="1" applyFont="1" applyBorder="1" applyAlignment="1" applyProtection="1">
      <alignment horizontal="right" vertical="center"/>
      <protection locked="0"/>
    </xf>
    <xf numFmtId="3" fontId="24" fillId="0" borderId="14" xfId="31" applyNumberFormat="1" applyFont="1" applyBorder="1" applyAlignment="1" applyProtection="1">
      <alignment horizontal="right" vertical="center"/>
      <protection locked="0"/>
    </xf>
    <xf numFmtId="0" fontId="21" fillId="0" borderId="12" xfId="32" applyFont="1" applyBorder="1" applyAlignment="1" applyProtection="1">
      <alignment horizontal="center" vertical="center"/>
      <protection locked="0"/>
    </xf>
    <xf numFmtId="0" fontId="21" fillId="0" borderId="31" xfId="32" applyFont="1" applyBorder="1" applyAlignment="1" applyProtection="1">
      <alignment horizontal="center" vertical="center"/>
      <protection locked="0"/>
    </xf>
    <xf numFmtId="3" fontId="21" fillId="0" borderId="31" xfId="32" applyNumberFormat="1" applyFont="1" applyBorder="1" applyAlignment="1" applyProtection="1">
      <alignment vertical="center"/>
      <protection locked="0"/>
    </xf>
    <xf numFmtId="3" fontId="21" fillId="0" borderId="31" xfId="31" applyNumberFormat="1" applyFont="1" applyBorder="1" applyAlignment="1" applyProtection="1">
      <alignment vertical="center"/>
      <protection locked="0"/>
    </xf>
    <xf numFmtId="3" fontId="21" fillId="0" borderId="112" xfId="31" applyNumberFormat="1" applyFont="1" applyBorder="1" applyAlignment="1" applyProtection="1">
      <alignment horizontal="right" vertical="center"/>
      <protection locked="0"/>
    </xf>
    <xf numFmtId="3" fontId="21" fillId="0" borderId="85" xfId="31" applyNumberFormat="1" applyFont="1" applyBorder="1" applyAlignment="1" applyProtection="1">
      <alignment horizontal="right" vertical="center"/>
      <protection locked="0"/>
    </xf>
    <xf numFmtId="3" fontId="21" fillId="0" borderId="31" xfId="31" applyNumberFormat="1" applyFont="1" applyBorder="1" applyAlignment="1" applyProtection="1">
      <alignment horizontal="right" vertical="center"/>
      <protection locked="0"/>
    </xf>
    <xf numFmtId="3" fontId="20" fillId="0" borderId="32" xfId="31" applyNumberFormat="1" applyFont="1" applyBorder="1" applyAlignment="1" applyProtection="1">
      <alignment horizontal="right" vertical="center"/>
      <protection locked="0"/>
    </xf>
    <xf numFmtId="3" fontId="21" fillId="0" borderId="200" xfId="31" applyNumberFormat="1" applyFont="1" applyBorder="1" applyAlignment="1" applyProtection="1">
      <alignment horizontal="right" vertical="center"/>
      <protection locked="0"/>
    </xf>
    <xf numFmtId="3" fontId="18" fillId="0" borderId="0" xfId="47" applyNumberFormat="1" applyFont="1" applyAlignment="1" applyProtection="1">
      <alignment horizontal="left" vertical="top"/>
      <protection locked="0"/>
    </xf>
    <xf numFmtId="3" fontId="18" fillId="0" borderId="0" xfId="47" applyNumberFormat="1" applyFont="1" applyAlignment="1" applyProtection="1">
      <alignment horizontal="center" vertical="top"/>
      <protection locked="0"/>
    </xf>
    <xf numFmtId="3" fontId="18" fillId="0" borderId="0" xfId="47" applyNumberFormat="1" applyFont="1" applyAlignment="1" applyProtection="1">
      <alignment horizontal="center" vertical="center"/>
      <protection locked="0"/>
    </xf>
    <xf numFmtId="3" fontId="18" fillId="0" borderId="0" xfId="32" applyNumberFormat="1" applyFont="1" applyProtection="1">
      <protection locked="0"/>
    </xf>
    <xf numFmtId="3" fontId="18" fillId="0" borderId="0" xfId="32" applyNumberFormat="1" applyFont="1" applyAlignment="1" applyProtection="1">
      <alignment wrapText="1"/>
      <protection locked="0"/>
    </xf>
    <xf numFmtId="3" fontId="18" fillId="0" borderId="0" xfId="32" applyNumberFormat="1" applyFont="1" applyAlignment="1" applyProtection="1">
      <alignment horizontal="right"/>
      <protection locked="0"/>
    </xf>
    <xf numFmtId="3" fontId="18" fillId="0" borderId="0" xfId="47" applyNumberFormat="1" applyFont="1" applyProtection="1">
      <protection locked="0"/>
    </xf>
    <xf numFmtId="3" fontId="18" fillId="0" borderId="0" xfId="31" applyNumberFormat="1" applyFont="1" applyAlignment="1" applyProtection="1">
      <alignment horizontal="right" vertical="center"/>
      <protection locked="0"/>
    </xf>
    <xf numFmtId="3" fontId="58" fillId="0" borderId="13" xfId="28" applyNumberFormat="1" applyFont="1" applyBorder="1" applyAlignment="1">
      <alignment horizontal="right" vertical="center" wrapText="1"/>
    </xf>
    <xf numFmtId="3" fontId="58" fillId="0" borderId="95" xfId="28" applyNumberFormat="1" applyFont="1" applyBorder="1" applyAlignment="1">
      <alignment horizontal="right" vertical="center" wrapText="1"/>
    </xf>
    <xf numFmtId="3" fontId="58" fillId="0" borderId="75" xfId="28" applyNumberFormat="1" applyFont="1" applyBorder="1" applyAlignment="1">
      <alignment horizontal="right" vertical="center" wrapText="1"/>
    </xf>
    <xf numFmtId="3" fontId="58" fillId="0" borderId="75" xfId="31" applyNumberFormat="1" applyFont="1" applyBorder="1" applyAlignment="1">
      <alignment horizontal="right" vertical="center"/>
    </xf>
    <xf numFmtId="3" fontId="58" fillId="0" borderId="13" xfId="31" applyNumberFormat="1" applyFont="1" applyBorder="1" applyAlignment="1">
      <alignment horizontal="right" vertical="center"/>
    </xf>
    <xf numFmtId="3" fontId="58" fillId="0" borderId="112" xfId="28" applyNumberFormat="1" applyFont="1" applyBorder="1" applyAlignment="1">
      <alignment horizontal="right" vertical="center" wrapText="1"/>
    </xf>
    <xf numFmtId="3" fontId="58" fillId="0" borderId="18" xfId="31" applyNumberFormat="1" applyFont="1" applyBorder="1" applyAlignment="1">
      <alignment horizontal="right" vertical="center"/>
    </xf>
    <xf numFmtId="3" fontId="48" fillId="0" borderId="48" xfId="28" applyNumberFormat="1" applyFont="1" applyBorder="1" applyAlignment="1">
      <alignment horizontal="right" vertical="center" wrapText="1"/>
    </xf>
    <xf numFmtId="3" fontId="58" fillId="0" borderId="0" xfId="31" applyNumberFormat="1" applyFont="1" applyAlignment="1">
      <alignment horizontal="right" vertical="center"/>
    </xf>
    <xf numFmtId="3" fontId="48" fillId="0" borderId="95" xfId="28" applyNumberFormat="1" applyFont="1" applyBorder="1" applyAlignment="1">
      <alignment horizontal="right" vertical="center" wrapText="1"/>
    </xf>
    <xf numFmtId="0" fontId="11" fillId="0" borderId="0" xfId="0" applyFont="1" applyAlignment="1">
      <alignment horizontal="left"/>
    </xf>
    <xf numFmtId="0" fontId="13" fillId="0" borderId="0" xfId="0" applyFont="1" applyAlignment="1">
      <alignment horizontal="center" vertical="center"/>
    </xf>
    <xf numFmtId="3" fontId="11" fillId="0" borderId="0" xfId="26" applyNumberFormat="1" applyFont="1" applyAlignment="1">
      <alignment horizontal="left"/>
    </xf>
    <xf numFmtId="3" fontId="13" fillId="0" borderId="0" xfId="26" applyNumberFormat="1" applyFont="1" applyAlignment="1">
      <alignment horizontal="center" vertical="center"/>
    </xf>
    <xf numFmtId="3" fontId="21" fillId="0" borderId="19" xfId="30" applyNumberFormat="1" applyFont="1" applyBorder="1" applyAlignment="1">
      <alignment horizontal="left" wrapText="1"/>
    </xf>
    <xf numFmtId="3" fontId="21" fillId="0" borderId="50" xfId="30" applyNumberFormat="1" applyFont="1" applyBorder="1" applyAlignment="1">
      <alignment horizontal="left" wrapText="1"/>
    </xf>
    <xf numFmtId="3" fontId="24" fillId="0" borderId="91" xfId="0" applyNumberFormat="1" applyFont="1" applyBorder="1" applyAlignment="1">
      <alignment horizontal="left" vertical="center"/>
    </xf>
    <xf numFmtId="3" fontId="24" fillId="0" borderId="122" xfId="0" applyNumberFormat="1" applyFont="1" applyBorder="1" applyAlignment="1">
      <alignment horizontal="left" vertical="center"/>
    </xf>
    <xf numFmtId="3" fontId="24" fillId="0" borderId="76" xfId="0" applyNumberFormat="1" applyFont="1" applyBorder="1" applyAlignment="1">
      <alignment horizontal="left" vertical="center"/>
    </xf>
    <xf numFmtId="3" fontId="18" fillId="0" borderId="17" xfId="30" applyNumberFormat="1" applyFont="1" applyBorder="1" applyAlignment="1">
      <alignment horizontal="left" wrapText="1"/>
    </xf>
    <xf numFmtId="3" fontId="18" fillId="0" borderId="75" xfId="30" applyNumberFormat="1" applyFont="1" applyBorder="1" applyAlignment="1">
      <alignment horizontal="left" wrapText="1"/>
    </xf>
    <xf numFmtId="3" fontId="21" fillId="0" borderId="123" xfId="30" applyNumberFormat="1" applyFont="1" applyBorder="1" applyAlignment="1">
      <alignment horizontal="center" vertical="center"/>
    </xf>
    <xf numFmtId="3" fontId="21" fillId="0" borderId="89" xfId="30" applyNumberFormat="1" applyFont="1" applyBorder="1" applyAlignment="1">
      <alignment horizontal="center" vertical="center"/>
    </xf>
    <xf numFmtId="3" fontId="21" fillId="0" borderId="84" xfId="30" applyNumberFormat="1" applyFont="1" applyBorder="1" applyAlignment="1">
      <alignment horizontal="center" vertical="center"/>
    </xf>
    <xf numFmtId="3" fontId="21" fillId="0" borderId="17" xfId="30" applyNumberFormat="1" applyFont="1" applyBorder="1" applyAlignment="1">
      <alignment horizontal="left" wrapText="1"/>
    </xf>
    <xf numFmtId="3" fontId="21" fillId="0" borderId="75" xfId="30" applyNumberFormat="1" applyFont="1" applyBorder="1" applyAlignment="1">
      <alignment horizontal="left" wrapText="1"/>
    </xf>
    <xf numFmtId="3" fontId="21" fillId="0" borderId="123" xfId="0" applyNumberFormat="1" applyFont="1" applyBorder="1" applyAlignment="1">
      <alignment horizontal="center" vertical="center"/>
    </xf>
    <xf numFmtId="3" fontId="21" fillId="0" borderId="89" xfId="0" applyNumberFormat="1" applyFont="1" applyBorder="1" applyAlignment="1">
      <alignment horizontal="center" vertical="center"/>
    </xf>
    <xf numFmtId="3" fontId="21" fillId="0" borderId="84" xfId="0" applyNumberFormat="1" applyFont="1" applyBorder="1" applyAlignment="1">
      <alignment horizontal="center" vertical="center"/>
    </xf>
    <xf numFmtId="3" fontId="21" fillId="0" borderId="51" xfId="30" applyNumberFormat="1" applyFont="1" applyBorder="1" applyAlignment="1">
      <alignment horizontal="left" wrapText="1"/>
    </xf>
    <xf numFmtId="3" fontId="21" fillId="0" borderId="89" xfId="30" applyNumberFormat="1" applyFont="1" applyBorder="1" applyAlignment="1">
      <alignment horizontal="left" wrapText="1"/>
    </xf>
    <xf numFmtId="3" fontId="18" fillId="0" borderId="124" xfId="0" applyNumberFormat="1" applyFont="1" applyBorder="1" applyAlignment="1">
      <alignment horizontal="center" vertical="center" wrapText="1"/>
    </xf>
    <xf numFmtId="3" fontId="24" fillId="0" borderId="193" xfId="0" applyNumberFormat="1" applyFont="1" applyBorder="1" applyAlignment="1">
      <alignment horizontal="left" vertical="center"/>
    </xf>
    <xf numFmtId="3" fontId="24" fillId="0" borderId="62" xfId="0" applyNumberFormat="1" applyFont="1" applyBorder="1" applyAlignment="1">
      <alignment horizontal="left" vertical="center"/>
    </xf>
    <xf numFmtId="3" fontId="24" fillId="0" borderId="194" xfId="0" applyNumberFormat="1" applyFont="1" applyBorder="1" applyAlignment="1">
      <alignment horizontal="left" vertical="center"/>
    </xf>
    <xf numFmtId="3" fontId="11" fillId="0" borderId="0" xfId="0" applyNumberFormat="1" applyFont="1" applyAlignment="1">
      <alignment horizontal="left" vertical="center"/>
    </xf>
    <xf numFmtId="3" fontId="13" fillId="0" borderId="0" xfId="0" applyNumberFormat="1" applyFont="1" applyAlignment="1">
      <alignment horizontal="center" vertical="center"/>
    </xf>
    <xf numFmtId="3" fontId="15" fillId="0" borderId="3" xfId="0" applyNumberFormat="1" applyFont="1" applyBorder="1" applyAlignment="1">
      <alignment horizontal="center" vertical="center"/>
    </xf>
    <xf numFmtId="3" fontId="18" fillId="0" borderId="119" xfId="0" applyNumberFormat="1" applyFont="1" applyBorder="1" applyAlignment="1">
      <alignment horizontal="center" vertical="center" textRotation="90"/>
    </xf>
    <xf numFmtId="3" fontId="18" fillId="0" borderId="120" xfId="0" applyNumberFormat="1" applyFont="1" applyBorder="1" applyAlignment="1">
      <alignment horizontal="center" vertical="center" textRotation="90"/>
    </xf>
    <xf numFmtId="3" fontId="18" fillId="0" borderId="125" xfId="0" applyNumberFormat="1" applyFont="1" applyBorder="1" applyAlignment="1">
      <alignment horizontal="center" vertical="center" textRotation="90"/>
    </xf>
    <xf numFmtId="0" fontId="0" fillId="0" borderId="70" xfId="0" applyBorder="1" applyAlignment="1">
      <alignment horizontal="center" vertical="center"/>
    </xf>
    <xf numFmtId="3" fontId="21" fillId="0" borderId="125" xfId="0" applyNumberFormat="1" applyFont="1" applyBorder="1" applyAlignment="1">
      <alignment horizontal="center" vertical="center"/>
    </xf>
    <xf numFmtId="3" fontId="21" fillId="0" borderId="74" xfId="0" applyNumberFormat="1" applyFont="1" applyBorder="1" applyAlignment="1">
      <alignment horizontal="center" vertical="center"/>
    </xf>
    <xf numFmtId="3" fontId="21" fillId="0" borderId="70" xfId="0" applyNumberFormat="1" applyFont="1" applyBorder="1" applyAlignment="1">
      <alignment horizontal="center" vertical="center"/>
    </xf>
    <xf numFmtId="3" fontId="21" fillId="0" borderId="16" xfId="0" applyNumberFormat="1" applyFont="1" applyBorder="1" applyAlignment="1">
      <alignment horizontal="center" vertical="center"/>
    </xf>
    <xf numFmtId="3" fontId="18" fillId="0" borderId="121" xfId="0" applyNumberFormat="1" applyFont="1" applyBorder="1" applyAlignment="1">
      <alignment horizontal="center" vertical="center" wrapText="1"/>
    </xf>
    <xf numFmtId="3" fontId="18" fillId="0" borderId="114" xfId="0" applyNumberFormat="1" applyFont="1" applyBorder="1" applyAlignment="1">
      <alignment horizontal="center" vertical="center" wrapText="1"/>
    </xf>
    <xf numFmtId="3" fontId="18" fillId="0" borderId="128" xfId="0" applyNumberFormat="1" applyFont="1" applyBorder="1" applyAlignment="1">
      <alignment horizontal="center" vertical="center" wrapText="1"/>
    </xf>
    <xf numFmtId="3" fontId="18" fillId="0" borderId="129" xfId="0" applyNumberFormat="1" applyFont="1" applyBorder="1" applyAlignment="1">
      <alignment horizontal="center" vertical="center" wrapText="1"/>
    </xf>
    <xf numFmtId="3" fontId="18" fillId="0" borderId="4" xfId="0" applyNumberFormat="1" applyFont="1" applyBorder="1" applyAlignment="1">
      <alignment horizontal="center" vertical="center" wrapText="1"/>
    </xf>
    <xf numFmtId="3" fontId="21" fillId="0" borderId="74"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18" fillId="0" borderId="124" xfId="0" applyNumberFormat="1" applyFont="1" applyBorder="1" applyAlignment="1">
      <alignment horizontal="center" vertical="center"/>
    </xf>
    <xf numFmtId="3" fontId="20" fillId="0" borderId="0" xfId="0" applyNumberFormat="1" applyFont="1" applyAlignment="1">
      <alignment horizontal="right"/>
    </xf>
    <xf numFmtId="3" fontId="18" fillId="0" borderId="121" xfId="0" applyNumberFormat="1" applyFont="1" applyBorder="1" applyAlignment="1">
      <alignment horizontal="center" vertical="center" textRotation="90"/>
    </xf>
    <xf numFmtId="3" fontId="18" fillId="0" borderId="114" xfId="0" applyNumberFormat="1" applyFont="1" applyBorder="1" applyAlignment="1">
      <alignment horizontal="center" vertical="center" textRotation="90"/>
    </xf>
    <xf numFmtId="3" fontId="21" fillId="0" borderId="126" xfId="0" applyNumberFormat="1" applyFont="1" applyBorder="1" applyAlignment="1">
      <alignment horizontal="center" vertical="center"/>
    </xf>
    <xf numFmtId="3" fontId="21" fillId="0" borderId="127" xfId="0" applyNumberFormat="1" applyFont="1" applyBorder="1" applyAlignment="1">
      <alignment horizontal="center" vertical="center"/>
    </xf>
    <xf numFmtId="3" fontId="18" fillId="0" borderId="121" xfId="0" applyNumberFormat="1" applyFont="1" applyBorder="1" applyAlignment="1">
      <alignment horizontal="center" vertical="center" textRotation="90" wrapText="1"/>
    </xf>
    <xf numFmtId="0" fontId="0" fillId="0" borderId="114" xfId="0" applyBorder="1" applyAlignment="1">
      <alignment horizontal="center" vertical="center" textRotation="90" wrapText="1"/>
    </xf>
    <xf numFmtId="3" fontId="21" fillId="0" borderId="130" xfId="0" applyNumberFormat="1" applyFont="1" applyBorder="1" applyAlignment="1">
      <alignment horizontal="center" vertical="center" wrapText="1"/>
    </xf>
    <xf numFmtId="3" fontId="21" fillId="0" borderId="131" xfId="0" applyNumberFormat="1" applyFont="1" applyBorder="1" applyAlignment="1">
      <alignment horizontal="center" vertical="center" wrapText="1"/>
    </xf>
    <xf numFmtId="3" fontId="18" fillId="0" borderId="73" xfId="0" applyNumberFormat="1" applyFont="1" applyBorder="1" applyAlignment="1">
      <alignment horizontal="center" vertical="center"/>
    </xf>
    <xf numFmtId="3" fontId="18" fillId="0" borderId="72" xfId="0" applyNumberFormat="1" applyFont="1" applyBorder="1" applyAlignment="1">
      <alignment horizontal="center" vertical="center"/>
    </xf>
    <xf numFmtId="3" fontId="18" fillId="0" borderId="74" xfId="0" applyNumberFormat="1" applyFont="1" applyBorder="1" applyAlignment="1">
      <alignment horizontal="center" vertical="center"/>
    </xf>
    <xf numFmtId="3" fontId="18" fillId="0" borderId="124" xfId="26" applyNumberFormat="1" applyFont="1" applyBorder="1" applyAlignment="1">
      <alignment horizontal="center" vertical="center" wrapText="1"/>
    </xf>
    <xf numFmtId="0" fontId="18" fillId="0" borderId="13" xfId="0" applyFont="1" applyBorder="1" applyAlignment="1">
      <alignment horizontal="left" wrapText="1"/>
    </xf>
    <xf numFmtId="3" fontId="20" fillId="0" borderId="12" xfId="0" applyNumberFormat="1" applyFont="1" applyBorder="1" applyAlignment="1">
      <alignment horizontal="left" vertical="center" wrapText="1"/>
    </xf>
    <xf numFmtId="3" fontId="20" fillId="0" borderId="75" xfId="0" applyNumberFormat="1" applyFont="1" applyBorder="1" applyAlignment="1">
      <alignment horizontal="left" vertical="center" wrapText="1"/>
    </xf>
    <xf numFmtId="3" fontId="20" fillId="0" borderId="13" xfId="0" applyNumberFormat="1" applyFont="1" applyBorder="1" applyAlignment="1">
      <alignment horizontal="left" vertical="center" wrapText="1"/>
    </xf>
    <xf numFmtId="3" fontId="20" fillId="0" borderId="12" xfId="0" applyNumberFormat="1" applyFont="1" applyBorder="1" applyAlignment="1">
      <alignment horizontal="left" vertical="top" wrapText="1"/>
    </xf>
    <xf numFmtId="3" fontId="20" fillId="0" borderId="75" xfId="0" applyNumberFormat="1" applyFont="1" applyBorder="1" applyAlignment="1">
      <alignment horizontal="left" vertical="top" wrapText="1"/>
    </xf>
    <xf numFmtId="3" fontId="20" fillId="0" borderId="13" xfId="0" applyNumberFormat="1" applyFont="1" applyBorder="1" applyAlignment="1">
      <alignment horizontal="left" vertical="top" wrapText="1"/>
    </xf>
    <xf numFmtId="3" fontId="24" fillId="0" borderId="91" xfId="30" applyNumberFormat="1" applyFont="1" applyBorder="1" applyAlignment="1">
      <alignment horizontal="left" vertical="center"/>
    </xf>
    <xf numFmtId="3" fontId="24" fillId="0" borderId="122" xfId="30" applyNumberFormat="1" applyFont="1" applyBorder="1" applyAlignment="1">
      <alignment horizontal="left" vertical="center"/>
    </xf>
    <xf numFmtId="3" fontId="24" fillId="0" borderId="76" xfId="30" applyNumberFormat="1" applyFont="1" applyBorder="1" applyAlignment="1">
      <alignment horizontal="left" vertical="center"/>
    </xf>
    <xf numFmtId="3" fontId="20" fillId="0" borderId="28" xfId="0" applyNumberFormat="1" applyFont="1" applyBorder="1" applyAlignment="1">
      <alignment horizontal="left" vertical="center"/>
    </xf>
    <xf numFmtId="3" fontId="20" fillId="0" borderId="84" xfId="0" applyNumberFormat="1" applyFont="1" applyBorder="1" applyAlignment="1">
      <alignment horizontal="left" vertical="center"/>
    </xf>
    <xf numFmtId="3" fontId="20" fillId="0" borderId="29" xfId="0" applyNumberFormat="1" applyFont="1" applyBorder="1" applyAlignment="1">
      <alignment horizontal="left" vertical="center"/>
    </xf>
    <xf numFmtId="3" fontId="20" fillId="0" borderId="81" xfId="0" applyNumberFormat="1" applyFont="1" applyBorder="1" applyAlignment="1">
      <alignment horizontal="left" vertical="center" wrapText="1"/>
    </xf>
    <xf numFmtId="3" fontId="20" fillId="0" borderId="82" xfId="0" applyNumberFormat="1" applyFont="1" applyBorder="1" applyAlignment="1">
      <alignment horizontal="left" vertical="center" wrapText="1"/>
    </xf>
    <xf numFmtId="3" fontId="20" fillId="0" borderId="17" xfId="30" applyNumberFormat="1" applyFont="1" applyBorder="1" applyAlignment="1">
      <alignment horizontal="left"/>
    </xf>
    <xf numFmtId="3" fontId="20" fillId="0" borderId="75" xfId="30" applyNumberFormat="1" applyFont="1" applyBorder="1" applyAlignment="1">
      <alignment horizontal="left"/>
    </xf>
    <xf numFmtId="0" fontId="18" fillId="0" borderId="17" xfId="0" applyFont="1" applyBorder="1" applyAlignment="1">
      <alignment horizontal="left" wrapText="1"/>
    </xf>
    <xf numFmtId="0" fontId="18" fillId="0" borderId="75" xfId="0" applyFont="1" applyBorder="1" applyAlignment="1">
      <alignment horizontal="left" wrapText="1"/>
    </xf>
    <xf numFmtId="3" fontId="57" fillId="0" borderId="17" xfId="30" applyNumberFormat="1" applyFont="1" applyBorder="1" applyAlignment="1">
      <alignment horizontal="left" wrapText="1"/>
    </xf>
    <xf numFmtId="3" fontId="57" fillId="0" borderId="75" xfId="30" applyNumberFormat="1" applyFont="1" applyBorder="1" applyAlignment="1">
      <alignment horizontal="left" wrapText="1"/>
    </xf>
    <xf numFmtId="0" fontId="11" fillId="0" borderId="0" xfId="32" applyFont="1" applyAlignment="1" applyProtection="1">
      <alignment horizontal="left" vertical="center"/>
      <protection locked="0"/>
    </xf>
    <xf numFmtId="3" fontId="18" fillId="0" borderId="119" xfId="27" applyNumberFormat="1" applyFont="1" applyBorder="1" applyAlignment="1" applyProtection="1">
      <alignment horizontal="center" vertical="center" textRotation="90"/>
      <protection locked="0"/>
    </xf>
    <xf numFmtId="3" fontId="18" fillId="0" borderId="120" xfId="27" applyNumberFormat="1" applyFont="1" applyBorder="1" applyAlignment="1" applyProtection="1">
      <alignment horizontal="center" vertical="center" textRotation="90"/>
      <protection locked="0"/>
    </xf>
    <xf numFmtId="3" fontId="18" fillId="0" borderId="121" xfId="27" applyNumberFormat="1" applyFont="1" applyBorder="1" applyAlignment="1" applyProtection="1">
      <alignment horizontal="center" vertical="center" textRotation="90"/>
      <protection locked="0"/>
    </xf>
    <xf numFmtId="3" fontId="18" fillId="0" borderId="114" xfId="27" applyNumberFormat="1" applyFont="1" applyBorder="1" applyAlignment="1" applyProtection="1">
      <alignment horizontal="center" vertical="center" textRotation="90"/>
      <protection locked="0"/>
    </xf>
    <xf numFmtId="0" fontId="21" fillId="0" borderId="121" xfId="31" applyFont="1" applyBorder="1" applyAlignment="1" applyProtection="1">
      <alignment horizontal="center" vertical="center" wrapText="1"/>
      <protection locked="0"/>
    </xf>
    <xf numFmtId="0" fontId="21" fillId="0" borderId="114" xfId="31" applyFont="1" applyBorder="1" applyAlignment="1" applyProtection="1">
      <alignment horizontal="center" vertical="center" wrapText="1"/>
      <protection locked="0"/>
    </xf>
    <xf numFmtId="0" fontId="18" fillId="0" borderId="121" xfId="31" applyFont="1" applyBorder="1" applyAlignment="1" applyProtection="1">
      <alignment horizontal="center" vertical="center" textRotation="90" wrapText="1"/>
      <protection locked="0"/>
    </xf>
    <xf numFmtId="0" fontId="18" fillId="0" borderId="114" xfId="31" applyFont="1" applyBorder="1" applyAlignment="1" applyProtection="1">
      <alignment horizontal="center" vertical="center" textRotation="90" wrapText="1"/>
      <protection locked="0"/>
    </xf>
    <xf numFmtId="0" fontId="21" fillId="0" borderId="8" xfId="32" applyFont="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13" fillId="0" borderId="0" xfId="31" applyFont="1" applyAlignment="1" applyProtection="1">
      <alignment horizontal="center"/>
      <protection locked="0"/>
    </xf>
    <xf numFmtId="0" fontId="13" fillId="0" borderId="0" xfId="32" applyFont="1" applyAlignment="1" applyProtection="1">
      <alignment horizontal="center" vertical="center"/>
      <protection locked="0"/>
    </xf>
    <xf numFmtId="0" fontId="21" fillId="0" borderId="87" xfId="32" applyFont="1" applyBorder="1" applyAlignment="1" applyProtection="1">
      <alignment horizontal="center" vertical="center"/>
      <protection locked="0"/>
    </xf>
    <xf numFmtId="3" fontId="21" fillId="0" borderId="167" xfId="31" applyNumberFormat="1" applyFont="1" applyBorder="1" applyAlignment="1" applyProtection="1">
      <alignment horizontal="center" vertical="center" wrapText="1"/>
      <protection locked="0"/>
    </xf>
    <xf numFmtId="3" fontId="21" fillId="0" borderId="66" xfId="31" applyNumberFormat="1" applyFont="1" applyBorder="1" applyAlignment="1" applyProtection="1">
      <alignment horizontal="center" vertical="center" wrapText="1"/>
      <protection locked="0"/>
    </xf>
    <xf numFmtId="3" fontId="18" fillId="0" borderId="121" xfId="31" applyNumberFormat="1" applyFont="1" applyBorder="1" applyAlignment="1" applyProtection="1">
      <alignment horizontal="center" vertical="center" wrapText="1"/>
      <protection locked="0"/>
    </xf>
    <xf numFmtId="3" fontId="18" fillId="0" borderId="114" xfId="31" applyNumberFormat="1" applyFont="1" applyBorder="1" applyAlignment="1" applyProtection="1">
      <alignment horizontal="center" vertical="center" wrapText="1"/>
      <protection locked="0"/>
    </xf>
    <xf numFmtId="3" fontId="18" fillId="0" borderId="125" xfId="31" applyNumberFormat="1" applyFont="1" applyBorder="1" applyAlignment="1" applyProtection="1">
      <alignment horizontal="center" vertical="center" wrapText="1"/>
      <protection locked="0"/>
    </xf>
    <xf numFmtId="3" fontId="18" fillId="0" borderId="70" xfId="31" applyNumberFormat="1" applyFont="1" applyBorder="1" applyAlignment="1" applyProtection="1">
      <alignment horizontal="center" vertical="center" wrapText="1"/>
      <protection locked="0"/>
    </xf>
    <xf numFmtId="0" fontId="21" fillId="0" borderId="40" xfId="32" applyFont="1" applyBorder="1" applyAlignment="1" applyProtection="1">
      <alignment horizontal="center" vertical="center"/>
      <protection locked="0"/>
    </xf>
    <xf numFmtId="0" fontId="21" fillId="0" borderId="24" xfId="32" applyFont="1" applyBorder="1" applyAlignment="1" applyProtection="1">
      <alignment horizontal="center" vertical="center"/>
      <protection locked="0"/>
    </xf>
    <xf numFmtId="0" fontId="21" fillId="0" borderId="113" xfId="32" applyFont="1" applyBorder="1" applyAlignment="1" applyProtection="1">
      <alignment horizontal="center" vertical="center"/>
      <protection locked="0"/>
    </xf>
    <xf numFmtId="0" fontId="20" fillId="0" borderId="243" xfId="31" applyFont="1" applyBorder="1" applyAlignment="1" applyProtection="1">
      <alignment horizontal="center" vertical="center"/>
      <protection locked="0"/>
    </xf>
    <xf numFmtId="0" fontId="20" fillId="0" borderId="244" xfId="31" applyFont="1" applyBorder="1" applyAlignment="1" applyProtection="1">
      <alignment horizontal="center" vertical="center"/>
      <protection locked="0"/>
    </xf>
    <xf numFmtId="3" fontId="21" fillId="0" borderId="121" xfId="31" applyNumberFormat="1" applyFont="1" applyBorder="1" applyAlignment="1" applyProtection="1">
      <alignment horizontal="center" vertical="center" wrapText="1"/>
      <protection locked="0"/>
    </xf>
    <xf numFmtId="3" fontId="21" fillId="0" borderId="152" xfId="31" applyNumberFormat="1" applyFont="1" applyBorder="1" applyAlignment="1" applyProtection="1">
      <alignment horizontal="center" vertical="center" wrapText="1"/>
      <protection locked="0"/>
    </xf>
    <xf numFmtId="3" fontId="18" fillId="0" borderId="53" xfId="31" applyNumberFormat="1" applyFont="1" applyBorder="1" applyAlignment="1">
      <alignment horizontal="center" vertical="center" wrapText="1"/>
    </xf>
    <xf numFmtId="3" fontId="18" fillId="0" borderId="56" xfId="31" applyNumberFormat="1" applyFont="1" applyBorder="1" applyAlignment="1">
      <alignment horizontal="center" vertical="center" wrapText="1"/>
    </xf>
    <xf numFmtId="3" fontId="18" fillId="0" borderId="143" xfId="31" applyNumberFormat="1" applyFont="1" applyBorder="1" applyAlignment="1">
      <alignment horizontal="center" vertical="center" wrapText="1"/>
    </xf>
    <xf numFmtId="3" fontId="18" fillId="0" borderId="144" xfId="31" applyNumberFormat="1" applyFont="1" applyBorder="1" applyAlignment="1">
      <alignment horizontal="center" vertical="center" wrapText="1"/>
    </xf>
    <xf numFmtId="3" fontId="18" fillId="0" borderId="145" xfId="31" applyNumberFormat="1" applyFont="1" applyBorder="1" applyAlignment="1">
      <alignment horizontal="center" vertical="center" wrapText="1"/>
    </xf>
    <xf numFmtId="3" fontId="18" fillId="0" borderId="35" xfId="31" applyNumberFormat="1" applyFont="1" applyBorder="1" applyAlignment="1">
      <alignment horizontal="center" vertical="center" wrapText="1"/>
    </xf>
    <xf numFmtId="3" fontId="20" fillId="0" borderId="91" xfId="0" applyNumberFormat="1" applyFont="1" applyBorder="1" applyAlignment="1">
      <alignment horizontal="left" wrapText="1"/>
    </xf>
    <xf numFmtId="3" fontId="20" fillId="0" borderId="122" xfId="0" applyNumberFormat="1" applyFont="1" applyBorder="1" applyAlignment="1">
      <alignment horizontal="left" wrapText="1"/>
    </xf>
    <xf numFmtId="3" fontId="20" fillId="0" borderId="141" xfId="0" applyNumberFormat="1" applyFont="1" applyBorder="1" applyAlignment="1">
      <alignment horizontal="left" wrapText="1"/>
    </xf>
    <xf numFmtId="3" fontId="21" fillId="0" borderId="122" xfId="28" applyNumberFormat="1" applyFont="1" applyBorder="1" applyAlignment="1">
      <alignment horizontal="center" vertical="center" wrapText="1"/>
    </xf>
    <xf numFmtId="3" fontId="21" fillId="0" borderId="141" xfId="28" applyNumberFormat="1" applyFont="1" applyBorder="1" applyAlignment="1">
      <alignment horizontal="center" vertical="center" wrapText="1"/>
    </xf>
    <xf numFmtId="0" fontId="11" fillId="0" borderId="0" xfId="32" applyFont="1" applyAlignment="1">
      <alignment horizontal="left" vertical="center"/>
    </xf>
    <xf numFmtId="3" fontId="11" fillId="0" borderId="0" xfId="31" applyNumberFormat="1" applyFont="1" applyAlignment="1">
      <alignment horizontal="right" vertical="center"/>
    </xf>
    <xf numFmtId="0" fontId="13" fillId="0" borderId="0" xfId="31" applyFont="1" applyAlignment="1">
      <alignment horizontal="center"/>
    </xf>
    <xf numFmtId="0" fontId="13" fillId="0" borderId="0" xfId="32" applyFont="1" applyAlignment="1">
      <alignment horizontal="center" vertical="center"/>
    </xf>
    <xf numFmtId="3" fontId="21" fillId="0" borderId="126" xfId="31" applyNumberFormat="1" applyFont="1" applyBorder="1" applyAlignment="1">
      <alignment horizontal="center" vertical="center" wrapText="1"/>
    </xf>
    <xf numFmtId="3" fontId="21" fillId="0" borderId="121" xfId="31" applyNumberFormat="1" applyFont="1" applyBorder="1" applyAlignment="1">
      <alignment horizontal="center" vertical="center" wrapText="1"/>
    </xf>
    <xf numFmtId="3" fontId="21" fillId="0" borderId="128" xfId="31" applyNumberFormat="1" applyFont="1" applyBorder="1" applyAlignment="1">
      <alignment horizontal="center" vertical="center" wrapText="1"/>
    </xf>
    <xf numFmtId="3" fontId="18" fillId="0" borderId="146" xfId="31" applyNumberFormat="1" applyFont="1" applyBorder="1" applyAlignment="1">
      <alignment horizontal="center" vertical="center" wrapText="1"/>
    </xf>
    <xf numFmtId="3" fontId="18" fillId="0" borderId="147" xfId="31" applyNumberFormat="1" applyFont="1" applyBorder="1" applyAlignment="1">
      <alignment horizontal="center" vertical="center" wrapText="1"/>
    </xf>
    <xf numFmtId="3" fontId="18" fillId="0" borderId="148" xfId="31" applyNumberFormat="1" applyFont="1" applyBorder="1" applyAlignment="1">
      <alignment horizontal="center" vertical="center" wrapText="1"/>
    </xf>
    <xf numFmtId="3" fontId="18" fillId="0" borderId="149" xfId="27" applyNumberFormat="1" applyFont="1" applyBorder="1" applyAlignment="1">
      <alignment horizontal="center" vertical="center" textRotation="90"/>
    </xf>
    <xf numFmtId="3" fontId="18" fillId="0" borderId="150" xfId="27" applyNumberFormat="1" applyFont="1" applyBorder="1" applyAlignment="1">
      <alignment horizontal="center" vertical="center" textRotation="90"/>
    </xf>
    <xf numFmtId="3" fontId="18" fillId="0" borderId="151" xfId="27" applyNumberFormat="1" applyFont="1" applyBorder="1" applyAlignment="1">
      <alignment horizontal="center" vertical="center" textRotation="90"/>
    </xf>
    <xf numFmtId="3" fontId="18" fillId="0" borderId="144" xfId="27" applyNumberFormat="1" applyFont="1" applyBorder="1" applyAlignment="1">
      <alignment horizontal="center" vertical="center" textRotation="90"/>
    </xf>
    <xf numFmtId="3" fontId="18" fillId="0" borderId="145" xfId="27" applyNumberFormat="1" applyFont="1" applyBorder="1" applyAlignment="1">
      <alignment horizontal="center" vertical="center" textRotation="90"/>
    </xf>
    <xf numFmtId="3" fontId="18" fillId="0" borderId="35" xfId="27" applyNumberFormat="1" applyFont="1" applyBorder="1" applyAlignment="1">
      <alignment horizontal="center" vertical="center" textRotation="90"/>
    </xf>
    <xf numFmtId="0" fontId="21" fillId="0" borderId="121" xfId="31" applyFont="1" applyBorder="1" applyAlignment="1">
      <alignment horizontal="center" vertical="center" wrapText="1"/>
    </xf>
    <xf numFmtId="0" fontId="21" fillId="0" borderId="152" xfId="31" applyFont="1" applyBorder="1" applyAlignment="1">
      <alignment horizontal="center" vertical="center" wrapText="1"/>
    </xf>
    <xf numFmtId="0" fontId="21" fillId="0" borderId="114" xfId="31" applyFont="1" applyBorder="1" applyAlignment="1">
      <alignment horizontal="center" vertical="center" wrapText="1"/>
    </xf>
    <xf numFmtId="3" fontId="18" fillId="0" borderId="107" xfId="31" applyNumberFormat="1" applyFont="1" applyBorder="1" applyAlignment="1">
      <alignment horizontal="center" vertical="center" wrapText="1"/>
    </xf>
    <xf numFmtId="3" fontId="21" fillId="0" borderId="153" xfId="31" applyNumberFormat="1" applyFont="1" applyBorder="1" applyAlignment="1">
      <alignment horizontal="center" vertical="center" wrapText="1"/>
    </xf>
    <xf numFmtId="3" fontId="21" fillId="0" borderId="154" xfId="31" applyNumberFormat="1" applyFont="1" applyBorder="1" applyAlignment="1">
      <alignment horizontal="center" vertical="center" wrapText="1"/>
    </xf>
    <xf numFmtId="0" fontId="18" fillId="0" borderId="155" xfId="31" applyFont="1" applyBorder="1" applyAlignment="1">
      <alignment horizontal="center" vertical="center" textRotation="90" wrapText="1"/>
    </xf>
    <xf numFmtId="0" fontId="18" fillId="0" borderId="156" xfId="31" applyFont="1" applyBorder="1" applyAlignment="1">
      <alignment horizontal="center" vertical="center" textRotation="90" wrapText="1"/>
    </xf>
    <xf numFmtId="0" fontId="18" fillId="0" borderId="36" xfId="31" applyFont="1" applyBorder="1" applyAlignment="1">
      <alignment horizontal="center" vertical="center" textRotation="90" wrapText="1"/>
    </xf>
    <xf numFmtId="3" fontId="20" fillId="0" borderId="19" xfId="0" applyNumberFormat="1" applyFont="1" applyBorder="1" applyAlignment="1">
      <alignment horizontal="left" wrapText="1"/>
    </xf>
    <xf numFmtId="3" fontId="20" fillId="0" borderId="88" xfId="0" applyNumberFormat="1" applyFont="1" applyBorder="1" applyAlignment="1">
      <alignment horizontal="left" wrapText="1"/>
    </xf>
    <xf numFmtId="3" fontId="20" fillId="0" borderId="168" xfId="0" applyNumberFormat="1" applyFont="1" applyBorder="1" applyAlignment="1">
      <alignment horizontal="left" wrapText="1"/>
    </xf>
    <xf numFmtId="3" fontId="11" fillId="0" borderId="0" xfId="31" applyNumberFormat="1" applyFont="1" applyAlignment="1">
      <alignment horizontal="right"/>
    </xf>
    <xf numFmtId="3" fontId="21" fillId="0" borderId="72" xfId="31" applyNumberFormat="1" applyFont="1" applyBorder="1" applyAlignment="1">
      <alignment horizontal="center" vertical="center" wrapText="1"/>
    </xf>
    <xf numFmtId="3" fontId="21" fillId="0" borderId="157" xfId="31" applyNumberFormat="1" applyFont="1" applyBorder="1" applyAlignment="1">
      <alignment horizontal="center" vertical="center" wrapText="1"/>
    </xf>
    <xf numFmtId="3" fontId="11" fillId="0" borderId="149" xfId="27" applyNumberFormat="1" applyFont="1" applyBorder="1" applyAlignment="1">
      <alignment horizontal="center" vertical="center" textRotation="90"/>
    </xf>
    <xf numFmtId="3" fontId="11" fillId="0" borderId="150" xfId="27" applyNumberFormat="1" applyFont="1" applyBorder="1" applyAlignment="1">
      <alignment horizontal="center" vertical="center" textRotation="90"/>
    </xf>
    <xf numFmtId="3" fontId="11" fillId="0" borderId="151" xfId="27" applyNumberFormat="1" applyFont="1" applyBorder="1" applyAlignment="1">
      <alignment horizontal="center" vertical="center" textRotation="90"/>
    </xf>
    <xf numFmtId="3" fontId="11" fillId="0" borderId="144" xfId="31" applyNumberFormat="1" applyFont="1" applyBorder="1" applyAlignment="1">
      <alignment horizontal="center" vertical="center" wrapText="1"/>
    </xf>
    <xf numFmtId="3" fontId="11" fillId="0" borderId="145" xfId="31" applyNumberFormat="1" applyFont="1" applyBorder="1" applyAlignment="1">
      <alignment horizontal="center" vertical="center" wrapText="1"/>
    </xf>
    <xf numFmtId="3" fontId="11" fillId="0" borderId="35" xfId="31" applyNumberFormat="1" applyFont="1" applyBorder="1" applyAlignment="1">
      <alignment horizontal="center" vertical="center" wrapText="1"/>
    </xf>
    <xf numFmtId="0" fontId="13" fillId="0" borderId="0" xfId="32" applyFont="1" applyAlignment="1">
      <alignment horizontal="center"/>
    </xf>
    <xf numFmtId="0" fontId="11" fillId="0" borderId="121" xfId="31" applyFont="1" applyBorder="1" applyAlignment="1">
      <alignment horizontal="center" vertical="center"/>
    </xf>
    <xf numFmtId="0" fontId="11" fillId="0" borderId="152" xfId="31" applyFont="1" applyBorder="1" applyAlignment="1">
      <alignment horizontal="center" vertical="center"/>
    </xf>
    <xf numFmtId="0" fontId="11" fillId="0" borderId="114" xfId="31" applyFont="1" applyBorder="1" applyAlignment="1">
      <alignment horizontal="center" vertical="center"/>
    </xf>
    <xf numFmtId="3" fontId="11" fillId="0" borderId="53" xfId="31" applyNumberFormat="1" applyFont="1" applyBorder="1" applyAlignment="1">
      <alignment horizontal="center" vertical="center" wrapText="1"/>
    </xf>
    <xf numFmtId="3" fontId="11" fillId="0" borderId="56" xfId="31" applyNumberFormat="1" applyFont="1" applyBorder="1" applyAlignment="1">
      <alignment horizontal="center" vertical="center" wrapText="1"/>
    </xf>
    <xf numFmtId="3" fontId="11" fillId="0" borderId="143" xfId="31" applyNumberFormat="1" applyFont="1" applyBorder="1" applyAlignment="1">
      <alignment horizontal="center" vertical="center" wrapText="1"/>
    </xf>
    <xf numFmtId="3" fontId="11" fillId="0" borderId="52" xfId="31" applyNumberFormat="1" applyFont="1" applyBorder="1" applyAlignment="1">
      <alignment horizontal="center" vertical="center" wrapText="1"/>
    </xf>
    <xf numFmtId="3" fontId="11" fillId="0" borderId="159" xfId="31" applyNumberFormat="1" applyFont="1" applyBorder="1" applyAlignment="1">
      <alignment horizontal="center" vertical="center" wrapText="1"/>
    </xf>
    <xf numFmtId="3" fontId="11" fillId="0" borderId="146" xfId="31" applyNumberFormat="1" applyFont="1" applyBorder="1" applyAlignment="1">
      <alignment horizontal="center" vertical="center" wrapText="1"/>
    </xf>
    <xf numFmtId="3" fontId="11" fillId="0" borderId="147" xfId="31" applyNumberFormat="1" applyFont="1" applyBorder="1" applyAlignment="1">
      <alignment horizontal="center" vertical="center" wrapText="1"/>
    </xf>
    <xf numFmtId="3" fontId="11" fillId="0" borderId="148" xfId="31" applyNumberFormat="1" applyFont="1" applyBorder="1" applyAlignment="1">
      <alignment horizontal="center" vertical="center" wrapText="1"/>
    </xf>
    <xf numFmtId="3" fontId="11" fillId="0" borderId="160" xfId="31" applyNumberFormat="1" applyFont="1" applyBorder="1" applyAlignment="1">
      <alignment horizontal="center" vertical="center" wrapText="1"/>
    </xf>
    <xf numFmtId="3" fontId="11" fillId="0" borderId="161" xfId="31" applyNumberFormat="1" applyFont="1" applyBorder="1" applyAlignment="1">
      <alignment horizontal="center" vertical="center" wrapText="1"/>
    </xf>
    <xf numFmtId="3" fontId="11" fillId="0" borderId="162" xfId="31" applyNumberFormat="1" applyFont="1" applyBorder="1" applyAlignment="1">
      <alignment horizontal="center" vertical="center" wrapText="1"/>
    </xf>
    <xf numFmtId="3" fontId="11" fillId="0" borderId="158" xfId="31" applyNumberFormat="1" applyFont="1" applyBorder="1" applyAlignment="1">
      <alignment horizontal="center" vertical="center" wrapText="1"/>
    </xf>
    <xf numFmtId="3" fontId="13" fillId="0" borderId="77" xfId="31" applyNumberFormat="1" applyFont="1" applyBorder="1" applyAlignment="1">
      <alignment horizontal="center" vertical="center" wrapText="1"/>
    </xf>
    <xf numFmtId="3" fontId="13" fillId="0" borderId="154" xfId="31" applyNumberFormat="1" applyFont="1" applyBorder="1" applyAlignment="1">
      <alignment horizontal="center" vertical="center" wrapText="1"/>
    </xf>
    <xf numFmtId="3" fontId="13" fillId="0" borderId="170" xfId="28" applyNumberFormat="1" applyFont="1" applyBorder="1" applyAlignment="1">
      <alignment horizontal="center" vertical="center" wrapText="1"/>
    </xf>
    <xf numFmtId="3" fontId="13" fillId="0" borderId="88" xfId="28" applyNumberFormat="1" applyFont="1" applyBorder="1" applyAlignment="1">
      <alignment horizontal="center" vertical="center" wrapText="1"/>
    </xf>
    <xf numFmtId="3" fontId="13" fillId="0" borderId="168" xfId="28" applyNumberFormat="1" applyFont="1" applyBorder="1" applyAlignment="1">
      <alignment horizontal="center" vertical="center" wrapText="1"/>
    </xf>
    <xf numFmtId="3" fontId="11" fillId="0" borderId="144" xfId="27" applyNumberFormat="1" applyFont="1" applyBorder="1" applyAlignment="1">
      <alignment horizontal="center" vertical="center" textRotation="90"/>
    </xf>
    <xf numFmtId="3" fontId="11" fillId="0" borderId="145" xfId="27" applyNumberFormat="1" applyFont="1" applyBorder="1" applyAlignment="1">
      <alignment horizontal="center" vertical="center" textRotation="90"/>
    </xf>
    <xf numFmtId="3" fontId="11" fillId="0" borderId="35" xfId="27" applyNumberFormat="1" applyFont="1" applyBorder="1" applyAlignment="1">
      <alignment horizontal="center" vertical="center" textRotation="90"/>
    </xf>
    <xf numFmtId="0" fontId="11" fillId="0" borderId="0" xfId="31" applyFont="1" applyAlignment="1">
      <alignment horizontal="center"/>
    </xf>
    <xf numFmtId="0" fontId="11" fillId="0" borderId="0" xfId="0" applyFont="1" applyAlignment="1">
      <alignment horizontal="left" vertical="center"/>
    </xf>
    <xf numFmtId="3" fontId="13" fillId="0" borderId="8" xfId="29" applyNumberFormat="1" applyFont="1" applyBorder="1" applyAlignment="1">
      <alignment horizontal="center" vertical="center"/>
    </xf>
    <xf numFmtId="3" fontId="11" fillId="0" borderId="0" xfId="29" applyNumberFormat="1" applyFont="1" applyAlignment="1">
      <alignment horizontal="left" wrapText="1"/>
    </xf>
    <xf numFmtId="3" fontId="25" fillId="2" borderId="221" xfId="29" applyNumberFormat="1" applyFont="1" applyFill="1" applyBorder="1" applyAlignment="1">
      <alignment horizontal="center" vertical="center" wrapText="1"/>
    </xf>
    <xf numFmtId="3" fontId="25" fillId="2" borderId="223" xfId="29" applyNumberFormat="1" applyFont="1" applyFill="1" applyBorder="1" applyAlignment="1">
      <alignment horizontal="center" vertical="center" wrapText="1"/>
    </xf>
    <xf numFmtId="3" fontId="25" fillId="2" borderId="233" xfId="29" applyNumberFormat="1" applyFont="1" applyFill="1" applyBorder="1" applyAlignment="1">
      <alignment horizontal="center" vertical="center" wrapText="1"/>
    </xf>
    <xf numFmtId="0" fontId="11" fillId="0" borderId="56" xfId="29" applyFont="1" applyBorder="1" applyAlignment="1">
      <alignment horizontal="center" vertical="center" wrapText="1"/>
    </xf>
    <xf numFmtId="0" fontId="11" fillId="0" borderId="5" xfId="29" applyFont="1" applyBorder="1" applyAlignment="1">
      <alignment horizontal="center" vertical="center" wrapText="1"/>
    </xf>
    <xf numFmtId="0" fontId="11" fillId="0" borderId="225" xfId="29" applyFont="1" applyBorder="1" applyAlignment="1">
      <alignment horizontal="center" vertical="center" wrapText="1"/>
    </xf>
    <xf numFmtId="3" fontId="25" fillId="2" borderId="236" xfId="29" applyNumberFormat="1" applyFont="1" applyFill="1" applyBorder="1" applyAlignment="1">
      <alignment horizontal="center" vertical="center" wrapText="1"/>
    </xf>
    <xf numFmtId="3" fontId="25" fillId="2" borderId="93" xfId="29" applyNumberFormat="1" applyFont="1" applyFill="1" applyBorder="1" applyAlignment="1">
      <alignment horizontal="center" vertical="center" wrapText="1"/>
    </xf>
    <xf numFmtId="3" fontId="25" fillId="2" borderId="237" xfId="29" applyNumberFormat="1" applyFont="1" applyFill="1" applyBorder="1" applyAlignment="1">
      <alignment horizontal="center" vertical="center" wrapText="1"/>
    </xf>
    <xf numFmtId="0" fontId="11" fillId="0" borderId="0" xfId="0" applyFont="1" applyAlignment="1">
      <alignment horizontal="left" vertical="top"/>
    </xf>
    <xf numFmtId="3" fontId="20" fillId="0" borderId="0" xfId="29" applyNumberFormat="1" applyFont="1" applyAlignment="1">
      <alignment horizontal="right"/>
    </xf>
    <xf numFmtId="3" fontId="11" fillId="0" borderId="42" xfId="29" applyNumberFormat="1" applyFont="1" applyBorder="1" applyAlignment="1">
      <alignment horizontal="center" vertical="center" textRotation="90" wrapText="1"/>
    </xf>
    <xf numFmtId="3" fontId="11" fillId="0" borderId="27" xfId="29" applyNumberFormat="1" applyFont="1" applyBorder="1" applyAlignment="1">
      <alignment horizontal="center" vertical="center" textRotation="90" wrapText="1"/>
    </xf>
    <xf numFmtId="3" fontId="11" fillId="0" borderId="220" xfId="29" applyNumberFormat="1" applyFont="1" applyBorder="1" applyAlignment="1">
      <alignment horizontal="center" vertical="center" wrapText="1"/>
    </xf>
    <xf numFmtId="14" fontId="11" fillId="0" borderId="43" xfId="29" applyNumberFormat="1" applyFont="1" applyBorder="1" applyAlignment="1">
      <alignment horizontal="center" vertical="center" wrapText="1"/>
    </xf>
    <xf numFmtId="3" fontId="11" fillId="0" borderId="222" xfId="29" applyNumberFormat="1" applyFont="1" applyBorder="1" applyAlignment="1">
      <alignment horizontal="center" vertical="center" wrapText="1"/>
    </xf>
    <xf numFmtId="3" fontId="13" fillId="0" borderId="0" xfId="29" applyNumberFormat="1" applyFont="1" applyAlignment="1">
      <alignment horizontal="center"/>
    </xf>
    <xf numFmtId="3" fontId="11" fillId="0" borderId="72" xfId="29" applyNumberFormat="1" applyFont="1" applyBorder="1" applyAlignment="1">
      <alignment horizontal="center" vertical="center" wrapText="1"/>
    </xf>
    <xf numFmtId="3" fontId="11" fillId="0" borderId="126" xfId="29" applyNumberFormat="1" applyFont="1" applyBorder="1" applyAlignment="1">
      <alignment horizontal="center" vertical="center" wrapText="1"/>
    </xf>
    <xf numFmtId="3" fontId="11" fillId="0" borderId="6" xfId="29" applyNumberFormat="1" applyFont="1" applyBorder="1" applyAlignment="1">
      <alignment horizontal="center" vertical="center" wrapText="1"/>
    </xf>
    <xf numFmtId="3" fontId="11" fillId="0" borderId="227" xfId="29" applyNumberFormat="1" applyFont="1" applyBorder="1" applyAlignment="1">
      <alignment horizontal="center" vertical="center" wrapText="1"/>
    </xf>
    <xf numFmtId="3" fontId="11" fillId="0" borderId="43" xfId="29" applyNumberFormat="1" applyFont="1" applyBorder="1" applyAlignment="1">
      <alignment horizontal="center" vertical="center" wrapText="1"/>
    </xf>
    <xf numFmtId="3" fontId="11" fillId="0" borderId="224" xfId="29" applyNumberFormat="1" applyFont="1" applyBorder="1" applyAlignment="1">
      <alignment horizontal="center" vertical="center" wrapText="1"/>
    </xf>
    <xf numFmtId="3" fontId="11" fillId="0" borderId="35" xfId="29" applyNumberFormat="1" applyFont="1" applyBorder="1" applyAlignment="1">
      <alignment horizontal="center" vertical="center" wrapText="1"/>
    </xf>
    <xf numFmtId="3" fontId="11" fillId="0" borderId="226" xfId="29" applyNumberFormat="1" applyFont="1" applyBorder="1" applyAlignment="1">
      <alignment horizontal="center" vertical="center" wrapText="1"/>
    </xf>
    <xf numFmtId="0" fontId="11" fillId="0" borderId="0" xfId="55" applyFont="1" applyAlignment="1">
      <alignment horizontal="center" vertical="center"/>
    </xf>
    <xf numFmtId="0" fontId="60" fillId="0" borderId="0" xfId="56" applyFont="1" applyAlignment="1">
      <alignment horizontal="center"/>
    </xf>
    <xf numFmtId="0" fontId="11" fillId="0" borderId="0" xfId="55" applyFont="1"/>
    <xf numFmtId="166" fontId="11" fillId="0" borderId="0" xfId="55" applyNumberFormat="1" applyFont="1"/>
    <xf numFmtId="0" fontId="60" fillId="0" borderId="0" xfId="56" applyFont="1" applyAlignment="1">
      <alignment horizontal="center"/>
    </xf>
    <xf numFmtId="0" fontId="13" fillId="0" borderId="0" xfId="56" applyFont="1" applyAlignment="1">
      <alignment horizontal="center" vertical="center"/>
    </xf>
    <xf numFmtId="0" fontId="11" fillId="0" borderId="0" xfId="55" applyFont="1" applyAlignment="1">
      <alignment vertical="center"/>
    </xf>
    <xf numFmtId="166" fontId="11" fillId="0" borderId="0" xfId="55" applyNumberFormat="1" applyFont="1" applyAlignment="1">
      <alignment vertical="center"/>
    </xf>
    <xf numFmtId="0" fontId="11" fillId="0" borderId="0" xfId="56" applyFont="1" applyAlignment="1">
      <alignment horizontal="center" vertical="center"/>
    </xf>
    <xf numFmtId="0" fontId="14" fillId="0" borderId="0" xfId="55" applyFont="1" applyAlignment="1">
      <alignment horizontal="right"/>
    </xf>
    <xf numFmtId="0" fontId="20" fillId="0" borderId="0" xfId="55" applyFont="1" applyAlignment="1">
      <alignment horizontal="right"/>
    </xf>
    <xf numFmtId="14" fontId="11" fillId="0" borderId="0" xfId="55" applyNumberFormat="1" applyFont="1"/>
    <xf numFmtId="0" fontId="18" fillId="0" borderId="0" xfId="55" applyFont="1" applyAlignment="1">
      <alignment horizontal="center" vertical="center"/>
    </xf>
    <xf numFmtId="0" fontId="18" fillId="0" borderId="3" xfId="57" applyFont="1" applyBorder="1" applyAlignment="1">
      <alignment horizontal="center"/>
    </xf>
    <xf numFmtId="0" fontId="18" fillId="0" borderId="0" xfId="57" applyFont="1" applyAlignment="1">
      <alignment horizontal="center"/>
    </xf>
    <xf numFmtId="0" fontId="15" fillId="0" borderId="0" xfId="55" applyFont="1"/>
    <xf numFmtId="0" fontId="15" fillId="0" borderId="0" xfId="55" applyFont="1" applyAlignment="1">
      <alignment horizontal="center" vertical="center" wrapText="1"/>
    </xf>
    <xf numFmtId="0" fontId="15" fillId="0" borderId="0" xfId="55" applyFont="1" applyAlignment="1">
      <alignment wrapText="1"/>
    </xf>
    <xf numFmtId="0" fontId="18" fillId="0" borderId="247" xfId="56" applyFont="1" applyBorder="1" applyAlignment="1">
      <alignment horizontal="center" vertical="center" wrapText="1"/>
    </xf>
    <xf numFmtId="0" fontId="18" fillId="0" borderId="248" xfId="56" applyFont="1" applyBorder="1" applyAlignment="1">
      <alignment horizontal="center" vertical="center" wrapText="1"/>
    </xf>
    <xf numFmtId="0" fontId="18" fillId="0" borderId="249" xfId="56" applyFont="1" applyBorder="1" applyAlignment="1">
      <alignment horizontal="center" vertical="center" wrapText="1"/>
    </xf>
    <xf numFmtId="0" fontId="18" fillId="0" borderId="250" xfId="56" applyFont="1" applyBorder="1" applyAlignment="1">
      <alignment horizontal="center" vertical="center" wrapText="1"/>
    </xf>
    <xf numFmtId="0" fontId="18" fillId="0" borderId="248" xfId="56" applyFont="1" applyBorder="1" applyAlignment="1">
      <alignment horizontal="center" vertical="center" wrapText="1"/>
    </xf>
    <xf numFmtId="0" fontId="15" fillId="0" borderId="0" xfId="55" applyFont="1" applyAlignment="1">
      <alignment horizontal="center" vertical="center"/>
    </xf>
    <xf numFmtId="166" fontId="15" fillId="0" borderId="0" xfId="55" applyNumberFormat="1" applyFont="1" applyAlignment="1">
      <alignment horizontal="center" vertical="center" wrapText="1"/>
    </xf>
    <xf numFmtId="0" fontId="18" fillId="0" borderId="15" xfId="55" applyFont="1" applyBorder="1" applyAlignment="1">
      <alignment horizontal="center" vertical="center"/>
    </xf>
    <xf numFmtId="0" fontId="18" fillId="0" borderId="47" xfId="55" applyFont="1" applyBorder="1" applyAlignment="1">
      <alignment horizontal="center" vertical="top"/>
    </xf>
    <xf numFmtId="0" fontId="18" fillId="0" borderId="31" xfId="55" applyFont="1" applyBorder="1" applyAlignment="1">
      <alignment horizontal="center" vertical="center" wrapText="1"/>
    </xf>
    <xf numFmtId="14" fontId="18" fillId="0" borderId="31" xfId="55" applyNumberFormat="1" applyFont="1" applyBorder="1" applyAlignment="1">
      <alignment horizontal="center" vertical="center"/>
    </xf>
    <xf numFmtId="3" fontId="18" fillId="0" borderId="31" xfId="58" applyNumberFormat="1" applyFont="1" applyFill="1" applyBorder="1" applyAlignment="1">
      <alignment horizontal="center" vertical="center"/>
    </xf>
    <xf numFmtId="3" fontId="18" fillId="0" borderId="11" xfId="58" applyNumberFormat="1" applyFont="1" applyFill="1" applyBorder="1" applyAlignment="1">
      <alignment horizontal="center" vertical="center"/>
    </xf>
    <xf numFmtId="3" fontId="18" fillId="0" borderId="32" xfId="58" applyNumberFormat="1" applyFont="1" applyFill="1" applyBorder="1" applyAlignment="1">
      <alignment horizontal="center" vertical="center"/>
    </xf>
    <xf numFmtId="3" fontId="18" fillId="0" borderId="85" xfId="58" applyNumberFormat="1" applyFont="1" applyFill="1" applyBorder="1" applyAlignment="1">
      <alignment horizontal="center" vertical="center"/>
    </xf>
    <xf numFmtId="3" fontId="18" fillId="0" borderId="13" xfId="58" applyNumberFormat="1" applyFont="1" applyFill="1" applyBorder="1" applyAlignment="1">
      <alignment horizontal="center" vertical="center"/>
    </xf>
    <xf numFmtId="3" fontId="18" fillId="0" borderId="21" xfId="58" applyNumberFormat="1" applyFont="1" applyFill="1" applyBorder="1" applyAlignment="1">
      <alignment horizontal="center" vertical="center"/>
    </xf>
    <xf numFmtId="3" fontId="15" fillId="0" borderId="0" xfId="55" applyNumberFormat="1" applyFont="1"/>
    <xf numFmtId="166" fontId="15" fillId="0" borderId="0" xfId="55" applyNumberFormat="1" applyFont="1"/>
    <xf numFmtId="0" fontId="18" fillId="0" borderId="20" xfId="55" applyFont="1" applyBorder="1" applyAlignment="1">
      <alignment horizontal="center" vertical="top"/>
    </xf>
    <xf numFmtId="0" fontId="18" fillId="0" borderId="18" xfId="55" applyFont="1" applyBorder="1" applyAlignment="1">
      <alignment horizontal="center" vertical="center" wrapText="1"/>
    </xf>
    <xf numFmtId="14" fontId="18" fillId="0" borderId="18" xfId="55" applyNumberFormat="1" applyFont="1" applyBorder="1" applyAlignment="1">
      <alignment horizontal="center" vertical="center"/>
    </xf>
    <xf numFmtId="3" fontId="18" fillId="0" borderId="18" xfId="58" applyNumberFormat="1" applyFont="1" applyFill="1" applyBorder="1" applyAlignment="1">
      <alignment horizontal="center" vertical="center"/>
    </xf>
    <xf numFmtId="3" fontId="18" fillId="0" borderId="13" xfId="58" applyNumberFormat="1" applyFont="1" applyFill="1" applyBorder="1" applyAlignment="1">
      <alignment horizontal="center" vertical="center"/>
    </xf>
    <xf numFmtId="3" fontId="18" fillId="0" borderId="21" xfId="58" applyNumberFormat="1" applyFont="1" applyFill="1" applyBorder="1" applyAlignment="1">
      <alignment horizontal="center" vertical="center"/>
    </xf>
    <xf numFmtId="3" fontId="18" fillId="0" borderId="50" xfId="58" applyNumberFormat="1" applyFont="1" applyFill="1" applyBorder="1" applyAlignment="1">
      <alignment horizontal="center" vertical="center"/>
    </xf>
    <xf numFmtId="3" fontId="18" fillId="0" borderId="14" xfId="58" applyNumberFormat="1" applyFont="1" applyFill="1" applyBorder="1" applyAlignment="1">
      <alignment horizontal="center" vertical="center"/>
    </xf>
    <xf numFmtId="14" fontId="18" fillId="3" borderId="31" xfId="55" applyNumberFormat="1" applyFont="1" applyFill="1" applyBorder="1" applyAlignment="1">
      <alignment horizontal="center" vertical="center"/>
    </xf>
    <xf numFmtId="14" fontId="18" fillId="3" borderId="18" xfId="55" applyNumberFormat="1" applyFont="1" applyFill="1" applyBorder="1" applyAlignment="1">
      <alignment horizontal="center" vertical="center"/>
    </xf>
    <xf numFmtId="3" fontId="18" fillId="0" borderId="202" xfId="58" applyNumberFormat="1" applyFont="1" applyFill="1" applyBorder="1" applyAlignment="1">
      <alignment horizontal="center" vertical="center"/>
    </xf>
    <xf numFmtId="3" fontId="18" fillId="0" borderId="213" xfId="58" applyNumberFormat="1" applyFont="1" applyFill="1" applyBorder="1" applyAlignment="1">
      <alignment horizontal="center" vertical="center"/>
    </xf>
    <xf numFmtId="3" fontId="18" fillId="0" borderId="218" xfId="58" applyNumberFormat="1" applyFont="1" applyFill="1" applyBorder="1" applyAlignment="1">
      <alignment horizontal="center" vertical="center"/>
    </xf>
    <xf numFmtId="0" fontId="21" fillId="0" borderId="251" xfId="56" applyFont="1" applyBorder="1" applyAlignment="1">
      <alignment horizontal="center" vertical="center"/>
    </xf>
    <xf numFmtId="3" fontId="21" fillId="0" borderId="252" xfId="55" applyNumberFormat="1" applyFont="1" applyBorder="1" applyAlignment="1">
      <alignment vertical="center"/>
    </xf>
    <xf numFmtId="3" fontId="21" fillId="0" borderId="252" xfId="55" applyNumberFormat="1" applyFont="1" applyBorder="1" applyAlignment="1">
      <alignment horizontal="center" vertical="center"/>
    </xf>
    <xf numFmtId="3" fontId="21" fillId="0" borderId="253" xfId="55" applyNumberFormat="1" applyFont="1" applyBorder="1" applyAlignment="1">
      <alignment horizontal="center" vertical="center"/>
    </xf>
    <xf numFmtId="3" fontId="21" fillId="0" borderId="254" xfId="55" applyNumberFormat="1" applyFont="1" applyBorder="1" applyAlignment="1">
      <alignment horizontal="center" vertical="center"/>
    </xf>
    <xf numFmtId="166" fontId="15" fillId="0" borderId="0" xfId="55" applyNumberFormat="1" applyFont="1" applyAlignment="1">
      <alignment vertical="center"/>
    </xf>
    <xf numFmtId="0" fontId="15" fillId="0" borderId="0" xfId="55" applyFont="1" applyAlignment="1">
      <alignment vertical="center"/>
    </xf>
    <xf numFmtId="0" fontId="18" fillId="0" borderId="61" xfId="56" applyFont="1" applyBorder="1" applyAlignment="1">
      <alignment horizontal="center"/>
    </xf>
    <xf numFmtId="0" fontId="18" fillId="0" borderId="62" xfId="56" applyFont="1" applyBorder="1"/>
    <xf numFmtId="0" fontId="18" fillId="0" borderId="62" xfId="56" applyFont="1" applyBorder="1" applyAlignment="1">
      <alignment horizontal="center"/>
    </xf>
    <xf numFmtId="3" fontId="18" fillId="0" borderId="11" xfId="56" applyNumberFormat="1" applyFont="1" applyBorder="1" applyAlignment="1">
      <alignment horizontal="center"/>
    </xf>
    <xf numFmtId="3" fontId="18" fillId="0" borderId="80" xfId="56" applyNumberFormat="1" applyFont="1" applyBorder="1" applyAlignment="1">
      <alignment horizontal="center"/>
    </xf>
    <xf numFmtId="0" fontId="18" fillId="0" borderId="2" xfId="56" applyFont="1" applyBorder="1" applyAlignment="1">
      <alignment horizontal="center"/>
    </xf>
    <xf numFmtId="0" fontId="18" fillId="0" borderId="3" xfId="56" applyFont="1" applyBorder="1"/>
    <xf numFmtId="0" fontId="18" fillId="0" borderId="3" xfId="56" applyFont="1" applyBorder="1" applyAlignment="1">
      <alignment horizontal="center"/>
    </xf>
    <xf numFmtId="3" fontId="18" fillId="0" borderId="100" xfId="56" applyNumberFormat="1" applyFont="1" applyBorder="1" applyAlignment="1">
      <alignment horizontal="center"/>
    </xf>
    <xf numFmtId="3" fontId="18" fillId="0" borderId="98" xfId="56" applyNumberFormat="1" applyFont="1" applyBorder="1" applyAlignment="1">
      <alignment horizontal="center"/>
    </xf>
    <xf numFmtId="0" fontId="11" fillId="0" borderId="0" xfId="56" applyFont="1" applyAlignment="1">
      <alignment horizontal="center"/>
    </xf>
    <xf numFmtId="0" fontId="11" fillId="0" borderId="0" xfId="56" applyFont="1"/>
    <xf numFmtId="3" fontId="11" fillId="0" borderId="0" xfId="56" applyNumberFormat="1" applyFont="1" applyAlignment="1">
      <alignment horizontal="center"/>
    </xf>
    <xf numFmtId="3" fontId="11" fillId="0" borderId="0" xfId="26" applyNumberFormat="1" applyFont="1" applyAlignment="1"/>
    <xf numFmtId="1" fontId="11" fillId="0" borderId="0" xfId="27" applyNumberFormat="1" applyFont="1" applyFill="1" applyAlignment="1">
      <alignment horizontal="center" vertical="center"/>
    </xf>
    <xf numFmtId="3" fontId="11" fillId="0" borderId="0" xfId="27" applyNumberFormat="1" applyFont="1" applyFill="1" applyAlignment="1">
      <alignment horizontal="left"/>
    </xf>
    <xf numFmtId="3" fontId="11" fillId="0" borderId="0" xfId="27" applyNumberFormat="1" applyFont="1" applyFill="1"/>
    <xf numFmtId="3" fontId="11" fillId="0" borderId="0" xfId="27" applyNumberFormat="1" applyFont="1" applyFill="1" applyAlignment="1">
      <alignment horizontal="right"/>
    </xf>
    <xf numFmtId="3" fontId="11" fillId="0" borderId="0" xfId="27" applyNumberFormat="1" applyFont="1" applyFill="1" applyAlignment="1">
      <alignment horizontal="right"/>
    </xf>
    <xf numFmtId="3" fontId="13" fillId="0" borderId="0" xfId="27" applyNumberFormat="1" applyFont="1" applyFill="1" applyAlignment="1">
      <alignment horizontal="center"/>
    </xf>
    <xf numFmtId="3" fontId="13" fillId="0" borderId="0" xfId="27" applyNumberFormat="1" applyFont="1" applyFill="1" applyAlignment="1">
      <alignment horizontal="center" vertical="center"/>
    </xf>
    <xf numFmtId="3" fontId="11" fillId="0" borderId="0" xfId="27" applyNumberFormat="1" applyFont="1" applyFill="1" applyAlignment="1">
      <alignment vertical="center"/>
    </xf>
    <xf numFmtId="1" fontId="18" fillId="0" borderId="0" xfId="27" applyNumberFormat="1" applyFont="1" applyFill="1" applyAlignment="1">
      <alignment horizontal="center" vertical="center"/>
    </xf>
    <xf numFmtId="3" fontId="18" fillId="0" borderId="0" xfId="27" applyNumberFormat="1" applyFont="1" applyFill="1" applyAlignment="1">
      <alignment horizontal="center"/>
    </xf>
    <xf numFmtId="3" fontId="18" fillId="0" borderId="0" xfId="27" applyNumberFormat="1" applyFont="1" applyFill="1" applyAlignment="1">
      <alignment horizontal="center" vertical="top"/>
    </xf>
    <xf numFmtId="0" fontId="21" fillId="0" borderId="0" xfId="27" applyFont="1" applyFill="1" applyAlignment="1">
      <alignment vertical="top" wrapText="1"/>
    </xf>
    <xf numFmtId="3" fontId="18" fillId="0" borderId="0" xfId="27" applyNumberFormat="1" applyFont="1" applyFill="1"/>
    <xf numFmtId="0" fontId="18" fillId="0" borderId="0" xfId="27" applyFont="1" applyFill="1" applyAlignment="1">
      <alignment horizontal="center"/>
    </xf>
    <xf numFmtId="3" fontId="21" fillId="0" borderId="0" xfId="27" applyNumberFormat="1" applyFont="1" applyFill="1"/>
    <xf numFmtId="3" fontId="18" fillId="0" borderId="0" xfId="27" applyNumberFormat="1" applyFont="1" applyFill="1" applyAlignment="1">
      <alignment horizontal="right"/>
    </xf>
    <xf numFmtId="3" fontId="20" fillId="0" borderId="0" xfId="27" applyNumberFormat="1" applyFont="1" applyFill="1" applyAlignment="1">
      <alignment horizontal="right"/>
    </xf>
    <xf numFmtId="1" fontId="15" fillId="0" borderId="0" xfId="27" applyNumberFormat="1" applyFont="1" applyFill="1" applyAlignment="1">
      <alignment horizontal="center" vertical="center"/>
    </xf>
    <xf numFmtId="3" fontId="15" fillId="0" borderId="0" xfId="27" applyNumberFormat="1" applyFont="1" applyFill="1" applyAlignment="1">
      <alignment horizontal="center" vertical="center"/>
    </xf>
    <xf numFmtId="3" fontId="15" fillId="0" borderId="0" xfId="27" applyNumberFormat="1" applyFont="1" applyFill="1" applyAlignment="1">
      <alignment horizontal="center" vertical="center" wrapText="1"/>
    </xf>
    <xf numFmtId="3" fontId="15" fillId="0" borderId="0" xfId="27" applyNumberFormat="1" applyFont="1" applyFill="1" applyAlignment="1">
      <alignment horizontal="center"/>
    </xf>
    <xf numFmtId="1" fontId="26" fillId="0" borderId="0" xfId="27" applyNumberFormat="1" applyFont="1" applyFill="1" applyAlignment="1">
      <alignment horizontal="center" vertical="center"/>
    </xf>
    <xf numFmtId="3" fontId="18" fillId="0" borderId="137" xfId="27" applyNumberFormat="1" applyFont="1" applyFill="1" applyBorder="1" applyAlignment="1">
      <alignment horizontal="center" vertical="center" textRotation="90"/>
    </xf>
    <xf numFmtId="3" fontId="18" fillId="0" borderId="133" xfId="27" applyNumberFormat="1" applyFont="1" applyFill="1" applyBorder="1" applyAlignment="1">
      <alignment horizontal="center" vertical="center" textRotation="90"/>
    </xf>
    <xf numFmtId="0" fontId="21" fillId="0" borderId="133" xfId="27" applyFont="1" applyFill="1" applyBorder="1" applyAlignment="1">
      <alignment horizontal="center" vertical="center" wrapText="1"/>
    </xf>
    <xf numFmtId="3" fontId="18" fillId="0" borderId="133" xfId="27" applyNumberFormat="1" applyFont="1" applyFill="1" applyBorder="1" applyAlignment="1">
      <alignment horizontal="center" vertical="center" wrapText="1"/>
    </xf>
    <xf numFmtId="3" fontId="18" fillId="0" borderId="139" xfId="27" applyNumberFormat="1" applyFont="1" applyFill="1" applyBorder="1" applyAlignment="1">
      <alignment horizontal="center" vertical="center" wrapText="1"/>
    </xf>
    <xf numFmtId="3" fontId="18" fillId="0" borderId="126" xfId="0" applyNumberFormat="1" applyFont="1" applyFill="1" applyBorder="1" applyAlignment="1">
      <alignment horizontal="center" vertical="center" textRotation="90" wrapText="1"/>
    </xf>
    <xf numFmtId="3" fontId="21" fillId="0" borderId="133" xfId="27" applyNumberFormat="1" applyFont="1" applyFill="1" applyBorder="1" applyAlignment="1">
      <alignment horizontal="center" vertical="center" wrapText="1"/>
    </xf>
    <xf numFmtId="3" fontId="18" fillId="0" borderId="135" xfId="0" applyNumberFormat="1" applyFont="1" applyFill="1" applyBorder="1" applyAlignment="1">
      <alignment horizontal="center" vertical="center"/>
    </xf>
    <xf numFmtId="3" fontId="18" fillId="0" borderId="136" xfId="0" applyNumberFormat="1" applyFont="1" applyFill="1" applyBorder="1" applyAlignment="1">
      <alignment horizontal="center" vertical="center"/>
    </xf>
    <xf numFmtId="3" fontId="13" fillId="0" borderId="0" xfId="27" applyNumberFormat="1" applyFont="1" applyFill="1" applyAlignment="1">
      <alignment horizontal="center" vertical="center"/>
    </xf>
    <xf numFmtId="3" fontId="18" fillId="0" borderId="138" xfId="27" applyNumberFormat="1" applyFont="1" applyFill="1" applyBorder="1" applyAlignment="1">
      <alignment horizontal="center" vertical="center" textRotation="90"/>
    </xf>
    <xf numFmtId="3" fontId="18" fillId="0" borderId="134" xfId="27" applyNumberFormat="1" applyFont="1" applyFill="1" applyBorder="1" applyAlignment="1">
      <alignment horizontal="center" vertical="center" textRotation="90"/>
    </xf>
    <xf numFmtId="0" fontId="21" fillId="0" borderId="134" xfId="27" applyFont="1" applyFill="1" applyBorder="1" applyAlignment="1">
      <alignment horizontal="center" vertical="center" wrapText="1"/>
    </xf>
    <xf numFmtId="3" fontId="18" fillId="0" borderId="134" xfId="27" applyNumberFormat="1" applyFont="1" applyFill="1" applyBorder="1" applyAlignment="1">
      <alignment horizontal="center" vertical="center" wrapText="1"/>
    </xf>
    <xf numFmtId="3" fontId="18" fillId="0" borderId="140" xfId="27" applyNumberFormat="1" applyFont="1" applyFill="1" applyBorder="1" applyAlignment="1">
      <alignment horizontal="center" vertical="center" wrapText="1"/>
    </xf>
    <xf numFmtId="0" fontId="18" fillId="0" borderId="127" xfId="0" applyFont="1" applyFill="1" applyBorder="1" applyAlignment="1">
      <alignment horizontal="center" vertical="center" textRotation="90" wrapText="1"/>
    </xf>
    <xf numFmtId="3" fontId="21" fillId="0" borderId="134" xfId="27" applyNumberFormat="1" applyFont="1" applyFill="1" applyBorder="1" applyAlignment="1">
      <alignment horizontal="center" vertical="center" wrapText="1"/>
    </xf>
    <xf numFmtId="3" fontId="18" fillId="0" borderId="114"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center" wrapText="1"/>
    </xf>
    <xf numFmtId="3" fontId="18" fillId="0" borderId="123" xfId="27" applyNumberFormat="1" applyFont="1" applyFill="1" applyBorder="1" applyAlignment="1">
      <alignment horizontal="center"/>
    </xf>
    <xf numFmtId="3" fontId="29" fillId="0" borderId="29" xfId="27" applyNumberFormat="1" applyFont="1" applyFill="1" applyBorder="1" applyAlignment="1">
      <alignment horizontal="left"/>
    </xf>
    <xf numFmtId="0" fontId="21" fillId="0" borderId="29" xfId="27" applyFont="1" applyFill="1" applyBorder="1" applyAlignment="1">
      <alignment horizontal="center" vertical="center" wrapText="1"/>
    </xf>
    <xf numFmtId="3" fontId="18" fillId="0" borderId="29" xfId="27" applyNumberFormat="1" applyFont="1" applyFill="1" applyBorder="1" applyAlignment="1">
      <alignment horizontal="center" vertical="center" wrapText="1"/>
    </xf>
    <xf numFmtId="3" fontId="18" fillId="0" borderId="94" xfId="27" applyNumberFormat="1" applyFont="1" applyFill="1" applyBorder="1" applyAlignment="1">
      <alignment horizontal="center" vertical="center" wrapText="1"/>
    </xf>
    <xf numFmtId="0" fontId="18" fillId="0" borderId="84" xfId="0" applyFont="1" applyFill="1" applyBorder="1" applyAlignment="1">
      <alignment horizontal="center" vertical="center" textRotation="90" wrapText="1"/>
    </xf>
    <xf numFmtId="3" fontId="21" fillId="0" borderId="29" xfId="27" applyNumberFormat="1" applyFont="1" applyFill="1" applyBorder="1" applyAlignment="1">
      <alignment horizontal="center"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xf numFmtId="3" fontId="18" fillId="0" borderId="170" xfId="27" applyNumberFormat="1" applyFont="1" applyFill="1" applyBorder="1" applyAlignment="1">
      <alignment horizontal="center"/>
    </xf>
    <xf numFmtId="3" fontId="18" fillId="0" borderId="18" xfId="27" applyNumberFormat="1" applyFont="1" applyFill="1" applyBorder="1" applyAlignment="1">
      <alignment horizontal="center"/>
    </xf>
    <xf numFmtId="3" fontId="21" fillId="0" borderId="18" xfId="27" applyNumberFormat="1" applyFont="1" applyFill="1" applyBorder="1" applyAlignment="1">
      <alignment wrapText="1"/>
    </xf>
    <xf numFmtId="3" fontId="18" fillId="0" borderId="18" xfId="27" applyNumberFormat="1" applyFont="1" applyFill="1" applyBorder="1" applyAlignment="1">
      <alignment horizontal="right"/>
    </xf>
    <xf numFmtId="3" fontId="18" fillId="0" borderId="19" xfId="27" applyNumberFormat="1" applyFont="1" applyFill="1" applyBorder="1" applyAlignment="1">
      <alignment horizontal="right"/>
    </xf>
    <xf numFmtId="3" fontId="18" fillId="0" borderId="46" xfId="27" applyNumberFormat="1" applyFont="1" applyFill="1" applyBorder="1" applyAlignment="1">
      <alignment horizontal="center"/>
    </xf>
    <xf numFmtId="3" fontId="21" fillId="0" borderId="50" xfId="27" applyNumberFormat="1" applyFont="1" applyFill="1" applyBorder="1" applyAlignment="1">
      <alignment horizontal="right"/>
    </xf>
    <xf numFmtId="3" fontId="18" fillId="0" borderId="18" xfId="0" applyNumberFormat="1" applyFont="1" applyFill="1" applyBorder="1" applyAlignment="1">
      <alignment horizontal="right" wrapText="1"/>
    </xf>
    <xf numFmtId="3" fontId="18" fillId="0" borderId="21" xfId="0" applyNumberFormat="1" applyFont="1" applyFill="1" applyBorder="1" applyAlignment="1">
      <alignment horizontal="right" wrapText="1"/>
    </xf>
    <xf numFmtId="3" fontId="11" fillId="0" borderId="0" xfId="27" applyNumberFormat="1" applyFont="1" applyFill="1" applyAlignment="1">
      <alignment horizontal="center"/>
    </xf>
    <xf numFmtId="3" fontId="18" fillId="0" borderId="81" xfId="27" applyNumberFormat="1" applyFont="1" applyFill="1" applyBorder="1" applyAlignment="1">
      <alignment horizontal="center" vertical="center"/>
    </xf>
    <xf numFmtId="3" fontId="18" fillId="0" borderId="13" xfId="27" applyNumberFormat="1" applyFont="1" applyFill="1" applyBorder="1" applyAlignment="1">
      <alignment horizontal="center" vertical="center"/>
    </xf>
    <xf numFmtId="3" fontId="34" fillId="0" borderId="18" xfId="27" applyNumberFormat="1" applyFont="1" applyFill="1" applyBorder="1" applyAlignment="1">
      <alignment wrapText="1"/>
    </xf>
    <xf numFmtId="3" fontId="18" fillId="0" borderId="13" xfId="27" applyNumberFormat="1" applyFont="1" applyFill="1" applyBorder="1" applyAlignment="1">
      <alignment horizontal="right"/>
    </xf>
    <xf numFmtId="3" fontId="18" fillId="0" borderId="17" xfId="27" applyNumberFormat="1" applyFont="1" applyFill="1" applyBorder="1" applyAlignment="1">
      <alignment horizontal="right"/>
    </xf>
    <xf numFmtId="3" fontId="18" fillId="0" borderId="33" xfId="27" applyNumberFormat="1" applyFont="1" applyFill="1" applyBorder="1" applyAlignment="1">
      <alignment horizontal="center"/>
    </xf>
    <xf numFmtId="3" fontId="34" fillId="0" borderId="75" xfId="27" applyNumberFormat="1" applyFont="1" applyFill="1" applyBorder="1" applyAlignment="1">
      <alignment horizontal="right"/>
    </xf>
    <xf numFmtId="3" fontId="42" fillId="0" borderId="13" xfId="0" applyNumberFormat="1" applyFont="1" applyFill="1" applyBorder="1" applyAlignment="1">
      <alignment horizontal="right" wrapText="1"/>
    </xf>
    <xf numFmtId="3" fontId="34" fillId="0" borderId="13" xfId="0" applyNumberFormat="1" applyFont="1" applyFill="1" applyBorder="1" applyAlignment="1">
      <alignment horizontal="right" wrapText="1"/>
    </xf>
    <xf numFmtId="3" fontId="42" fillId="0" borderId="14" xfId="0" applyNumberFormat="1" applyFont="1" applyFill="1" applyBorder="1" applyAlignment="1">
      <alignment horizontal="right" wrapText="1"/>
    </xf>
    <xf numFmtId="3" fontId="11" fillId="0" borderId="0" xfId="27" applyNumberFormat="1" applyFont="1" applyFill="1" applyAlignment="1">
      <alignment horizontal="center" vertical="center"/>
    </xf>
    <xf numFmtId="3" fontId="21" fillId="0" borderId="13" xfId="30" applyNumberFormat="1" applyFont="1" applyFill="1" applyBorder="1"/>
    <xf numFmtId="3" fontId="18" fillId="0" borderId="184" xfId="27" applyNumberFormat="1" applyFont="1" applyFill="1" applyBorder="1" applyAlignment="1">
      <alignment horizontal="center"/>
    </xf>
    <xf numFmtId="3" fontId="21" fillId="0" borderId="13" xfId="27" applyNumberFormat="1" applyFont="1" applyFill="1" applyBorder="1" applyAlignment="1">
      <alignment horizontal="right"/>
    </xf>
    <xf numFmtId="3" fontId="21" fillId="0" borderId="18" xfId="0" applyNumberFormat="1" applyFont="1" applyFill="1" applyBorder="1" applyAlignment="1">
      <alignment horizontal="right" wrapText="1"/>
    </xf>
    <xf numFmtId="3" fontId="42" fillId="0" borderId="18" xfId="0" applyNumberFormat="1" applyFont="1" applyFill="1" applyBorder="1" applyAlignment="1">
      <alignment horizontal="right" wrapText="1"/>
    </xf>
    <xf numFmtId="3" fontId="42" fillId="0" borderId="21" xfId="0" applyNumberFormat="1" applyFont="1" applyFill="1" applyBorder="1" applyAlignment="1">
      <alignment horizontal="right" wrapText="1"/>
    </xf>
    <xf numFmtId="0" fontId="20" fillId="0" borderId="17" xfId="28" applyFont="1" applyFill="1" applyBorder="1" applyAlignment="1">
      <alignment horizontal="left"/>
    </xf>
    <xf numFmtId="3" fontId="20" fillId="0" borderId="13" xfId="0" applyNumberFormat="1" applyFont="1" applyFill="1" applyBorder="1"/>
    <xf numFmtId="3" fontId="20" fillId="0" borderId="18" xfId="0" applyNumberFormat="1" applyFont="1" applyFill="1" applyBorder="1" applyAlignment="1">
      <alignment horizontal="right" wrapText="1"/>
    </xf>
    <xf numFmtId="3" fontId="43" fillId="0" borderId="21" xfId="0" applyNumberFormat="1" applyFont="1" applyFill="1" applyBorder="1" applyAlignment="1">
      <alignment horizontal="right" wrapText="1"/>
    </xf>
    <xf numFmtId="3" fontId="18" fillId="0" borderId="81" xfId="27" applyNumberFormat="1" applyFont="1" applyFill="1" applyBorder="1" applyAlignment="1">
      <alignment horizontal="center"/>
    </xf>
    <xf numFmtId="3" fontId="18" fillId="0" borderId="13" xfId="27" applyNumberFormat="1" applyFont="1" applyFill="1" applyBorder="1" applyAlignment="1">
      <alignment horizontal="center"/>
    </xf>
    <xf numFmtId="3" fontId="21" fillId="0" borderId="13" xfId="27" applyNumberFormat="1" applyFont="1" applyFill="1" applyBorder="1" applyAlignment="1">
      <alignment wrapText="1"/>
    </xf>
    <xf numFmtId="3" fontId="34" fillId="0" borderId="50" xfId="27" applyNumberFormat="1" applyFont="1" applyFill="1" applyBorder="1" applyAlignment="1">
      <alignment horizontal="right"/>
    </xf>
    <xf numFmtId="3" fontId="34" fillId="0" borderId="14" xfId="0" applyNumberFormat="1" applyFont="1" applyFill="1" applyBorder="1" applyAlignment="1">
      <alignment horizontal="right" wrapText="1"/>
    </xf>
    <xf numFmtId="3" fontId="21" fillId="0" borderId="75" xfId="27" applyNumberFormat="1" applyFont="1" applyFill="1" applyBorder="1" applyAlignment="1">
      <alignment horizontal="right"/>
    </xf>
    <xf numFmtId="3" fontId="18" fillId="0" borderId="13" xfId="0" applyNumberFormat="1" applyFont="1" applyFill="1" applyBorder="1" applyAlignment="1">
      <alignment horizontal="right" wrapText="1"/>
    </xf>
    <xf numFmtId="3" fontId="21" fillId="0" borderId="13" xfId="0" applyNumberFormat="1" applyFont="1" applyFill="1" applyBorder="1" applyAlignment="1">
      <alignment horizontal="right" wrapText="1"/>
    </xf>
    <xf numFmtId="3" fontId="21" fillId="0" borderId="14" xfId="0" applyNumberFormat="1" applyFont="1" applyFill="1" applyBorder="1" applyAlignment="1">
      <alignment horizontal="right" wrapText="1"/>
    </xf>
    <xf numFmtId="3" fontId="20" fillId="0" borderId="13" xfId="0" applyNumberFormat="1" applyFont="1" applyFill="1" applyBorder="1" applyAlignment="1">
      <alignment horizontal="right" wrapText="1"/>
    </xf>
    <xf numFmtId="3" fontId="20" fillId="0" borderId="14" xfId="0" applyNumberFormat="1" applyFont="1" applyFill="1" applyBorder="1" applyAlignment="1">
      <alignment horizontal="right" wrapText="1"/>
    </xf>
    <xf numFmtId="3" fontId="34" fillId="0" borderId="75" xfId="27" applyNumberFormat="1" applyFont="1" applyFill="1" applyBorder="1" applyAlignment="1">
      <alignment horizontal="right" vertical="center"/>
    </xf>
    <xf numFmtId="3" fontId="42" fillId="0" borderId="13" xfId="0" applyNumberFormat="1" applyFont="1" applyFill="1" applyBorder="1" applyAlignment="1">
      <alignment horizontal="right" vertical="center" wrapText="1"/>
    </xf>
    <xf numFmtId="3" fontId="42" fillId="0" borderId="14" xfId="0" applyNumberFormat="1" applyFont="1" applyFill="1" applyBorder="1" applyAlignment="1">
      <alignment horizontal="right" vertical="center" wrapText="1"/>
    </xf>
    <xf numFmtId="3" fontId="34" fillId="0" borderId="13" xfId="0" applyNumberFormat="1" applyFont="1" applyFill="1" applyBorder="1" applyAlignment="1">
      <alignment horizontal="right" vertical="center" wrapText="1"/>
    </xf>
    <xf numFmtId="3" fontId="34" fillId="0" borderId="14" xfId="0" applyNumberFormat="1" applyFont="1" applyFill="1" applyBorder="1" applyAlignment="1">
      <alignment horizontal="right" vertical="center" wrapText="1"/>
    </xf>
    <xf numFmtId="3" fontId="21"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vertical="center" wrapText="1"/>
    </xf>
    <xf numFmtId="3" fontId="21" fillId="0" borderId="14" xfId="0" applyNumberFormat="1" applyFont="1" applyFill="1" applyBorder="1" applyAlignment="1">
      <alignment horizontal="right" vertical="center" wrapText="1"/>
    </xf>
    <xf numFmtId="3" fontId="20" fillId="0" borderId="13" xfId="0" applyNumberFormat="1" applyFont="1" applyFill="1" applyBorder="1" applyAlignment="1">
      <alignment horizontal="right" vertical="center" wrapText="1"/>
    </xf>
    <xf numFmtId="3" fontId="20" fillId="0" borderId="14" xfId="0" applyNumberFormat="1" applyFont="1" applyFill="1" applyBorder="1" applyAlignment="1">
      <alignment horizontal="right" vertical="center" wrapText="1"/>
    </xf>
    <xf numFmtId="3" fontId="11" fillId="0" borderId="31" xfId="27" applyNumberFormat="1" applyFont="1" applyFill="1" applyBorder="1" applyAlignment="1">
      <alignment horizontal="center" vertical="center"/>
    </xf>
    <xf numFmtId="3" fontId="11" fillId="0" borderId="17" xfId="27" applyNumberFormat="1" applyFont="1" applyFill="1" applyBorder="1" applyAlignment="1">
      <alignment horizontal="center" vertical="center"/>
    </xf>
    <xf numFmtId="3" fontId="11" fillId="0" borderId="13" xfId="27" applyNumberFormat="1" applyFont="1" applyFill="1" applyBorder="1" applyAlignment="1">
      <alignment horizontal="center" vertical="center"/>
    </xf>
    <xf numFmtId="3" fontId="11" fillId="0" borderId="142" xfId="27" applyNumberFormat="1" applyFont="1" applyFill="1" applyBorder="1" applyAlignment="1">
      <alignment horizontal="center" vertical="center"/>
    </xf>
    <xf numFmtId="3" fontId="34" fillId="0" borderId="81" xfId="27" applyNumberFormat="1" applyFont="1" applyFill="1" applyBorder="1" applyAlignment="1">
      <alignment horizontal="center" vertical="center"/>
    </xf>
    <xf numFmtId="3" fontId="34" fillId="0" borderId="13" xfId="27" applyNumberFormat="1" applyFont="1" applyFill="1" applyBorder="1" applyAlignment="1">
      <alignment horizontal="center" vertical="center"/>
    </xf>
    <xf numFmtId="3" fontId="42" fillId="0" borderId="13" xfId="27" applyNumberFormat="1" applyFont="1" applyFill="1" applyBorder="1" applyAlignment="1">
      <alignment horizontal="right"/>
    </xf>
    <xf numFmtId="3" fontId="34" fillId="0" borderId="17" xfId="27" applyNumberFormat="1" applyFont="1" applyFill="1" applyBorder="1" applyAlignment="1">
      <alignment horizontal="right"/>
    </xf>
    <xf numFmtId="3" fontId="34" fillId="0" borderId="33" xfId="27" applyNumberFormat="1" applyFont="1" applyFill="1" applyBorder="1" applyAlignment="1">
      <alignment horizontal="center"/>
    </xf>
    <xf numFmtId="3" fontId="38" fillId="0" borderId="0" xfId="27" applyNumberFormat="1" applyFont="1" applyFill="1" applyAlignment="1">
      <alignment horizontal="center" vertical="center"/>
    </xf>
    <xf numFmtId="3" fontId="20" fillId="0" borderId="81" xfId="27" applyNumberFormat="1" applyFont="1" applyFill="1" applyBorder="1" applyAlignment="1">
      <alignment horizontal="center" vertical="center"/>
    </xf>
    <xf numFmtId="3" fontId="18" fillId="0" borderId="13" xfId="27" applyNumberFormat="1" applyFont="1" applyFill="1" applyBorder="1" applyAlignment="1">
      <alignment horizontal="center" vertical="top"/>
    </xf>
    <xf numFmtId="3" fontId="20" fillId="0" borderId="13" xfId="27" applyNumberFormat="1" applyFont="1" applyFill="1" applyBorder="1" applyAlignment="1">
      <alignment wrapText="1"/>
    </xf>
    <xf numFmtId="3" fontId="20" fillId="0" borderId="33" xfId="27" applyNumberFormat="1" applyFont="1" applyFill="1" applyBorder="1" applyAlignment="1">
      <alignment horizontal="center"/>
    </xf>
    <xf numFmtId="3" fontId="35" fillId="0" borderId="75" xfId="27" applyNumberFormat="1" applyFont="1" applyFill="1" applyBorder="1" applyAlignment="1">
      <alignment horizontal="right"/>
    </xf>
    <xf numFmtId="3" fontId="43" fillId="0" borderId="13" xfId="0" applyNumberFormat="1" applyFont="1" applyFill="1" applyBorder="1" applyAlignment="1">
      <alignment horizontal="right" wrapText="1"/>
    </xf>
    <xf numFmtId="3" fontId="43" fillId="0" borderId="14" xfId="0" applyNumberFormat="1" applyFont="1" applyFill="1" applyBorder="1" applyAlignment="1">
      <alignment horizontal="right" wrapText="1"/>
    </xf>
    <xf numFmtId="3" fontId="14" fillId="0" borderId="0" xfId="27" applyNumberFormat="1" applyFont="1" applyFill="1" applyAlignment="1">
      <alignment horizontal="center" vertical="center"/>
    </xf>
    <xf numFmtId="3" fontId="43" fillId="0" borderId="18" xfId="27" applyNumberFormat="1" applyFont="1" applyFill="1" applyBorder="1" applyAlignment="1">
      <alignment horizontal="left" vertical="top" wrapText="1" indent="4"/>
    </xf>
    <xf numFmtId="3" fontId="43" fillId="0" borderId="75" xfId="27" applyNumberFormat="1" applyFont="1" applyFill="1" applyBorder="1" applyAlignment="1">
      <alignment horizontal="right"/>
    </xf>
    <xf numFmtId="3" fontId="20" fillId="0" borderId="18" xfId="27" applyNumberFormat="1" applyFont="1" applyFill="1" applyBorder="1" applyAlignment="1">
      <alignment horizontal="left" vertical="top" wrapText="1" indent="4"/>
    </xf>
    <xf numFmtId="3" fontId="20" fillId="0" borderId="75" xfId="27" applyNumberFormat="1" applyFont="1" applyFill="1" applyBorder="1" applyAlignment="1">
      <alignment horizontal="right"/>
    </xf>
    <xf numFmtId="3" fontId="35" fillId="0" borderId="75" xfId="27" applyNumberFormat="1" applyFont="1" applyFill="1" applyBorder="1" applyAlignment="1">
      <alignment horizontal="right" vertical="center"/>
    </xf>
    <xf numFmtId="3" fontId="43" fillId="0" borderId="13" xfId="0" applyNumberFormat="1" applyFont="1" applyFill="1" applyBorder="1" applyAlignment="1">
      <alignment horizontal="right" vertical="center" wrapText="1"/>
    </xf>
    <xf numFmtId="3" fontId="43" fillId="0" borderId="14" xfId="0" applyNumberFormat="1" applyFont="1" applyFill="1" applyBorder="1" applyAlignment="1">
      <alignment horizontal="right" vertical="center" wrapText="1"/>
    </xf>
    <xf numFmtId="3" fontId="20" fillId="0" borderId="75" xfId="0" applyNumberFormat="1" applyFont="1" applyFill="1" applyBorder="1"/>
    <xf numFmtId="3" fontId="11" fillId="0" borderId="95" xfId="27" applyNumberFormat="1" applyFont="1" applyFill="1" applyBorder="1" applyAlignment="1">
      <alignment horizontal="center" vertical="center"/>
    </xf>
    <xf numFmtId="3" fontId="24" fillId="0" borderId="14" xfId="0" applyNumberFormat="1" applyFont="1" applyFill="1" applyBorder="1" applyAlignment="1">
      <alignment horizontal="right" wrapText="1"/>
    </xf>
    <xf numFmtId="3" fontId="20" fillId="0" borderId="13" xfId="27" applyNumberFormat="1" applyFont="1" applyFill="1" applyBorder="1" applyAlignment="1">
      <alignment vertical="center" wrapText="1"/>
    </xf>
    <xf numFmtId="3" fontId="35" fillId="0" borderId="18" xfId="27" applyNumberFormat="1" applyFont="1" applyFill="1" applyBorder="1" applyAlignment="1">
      <alignment horizontal="left" vertical="top" wrapText="1" indent="4"/>
    </xf>
    <xf numFmtId="3" fontId="20" fillId="0" borderId="17" xfId="27" applyNumberFormat="1" applyFont="1" applyFill="1" applyBorder="1" applyAlignment="1">
      <alignment horizontal="left" vertical="center" wrapText="1"/>
    </xf>
    <xf numFmtId="3" fontId="20" fillId="0" borderId="75" xfId="27" applyNumberFormat="1" applyFont="1" applyFill="1" applyBorder="1" applyAlignment="1">
      <alignment horizontal="left" vertical="center" wrapText="1"/>
    </xf>
    <xf numFmtId="3" fontId="20" fillId="0" borderId="14" xfId="0" applyNumberFormat="1" applyFont="1" applyFill="1" applyBorder="1"/>
    <xf numFmtId="3" fontId="35" fillId="0" borderId="81" xfId="27" applyNumberFormat="1" applyFont="1" applyFill="1" applyBorder="1" applyAlignment="1">
      <alignment horizontal="center" vertical="center"/>
    </xf>
    <xf numFmtId="3" fontId="35" fillId="0" borderId="13" xfId="0" applyNumberFormat="1" applyFont="1" applyFill="1" applyBorder="1" applyAlignment="1">
      <alignment horizontal="right" wrapText="1"/>
    </xf>
    <xf numFmtId="3" fontId="41" fillId="0" borderId="0" xfId="27" applyNumberFormat="1" applyFont="1" applyFill="1" applyAlignment="1">
      <alignment horizontal="center" vertical="center"/>
    </xf>
    <xf numFmtId="3" fontId="24" fillId="0" borderId="13" xfId="0" applyNumberFormat="1" applyFont="1" applyFill="1" applyBorder="1" applyAlignment="1">
      <alignment horizontal="right" wrapText="1"/>
    </xf>
    <xf numFmtId="3" fontId="35" fillId="0" borderId="33" xfId="27" applyNumberFormat="1" applyFont="1" applyFill="1" applyBorder="1" applyAlignment="1">
      <alignment horizontal="center"/>
    </xf>
    <xf numFmtId="3" fontId="20" fillId="0" borderId="13" xfId="27" applyNumberFormat="1" applyFont="1" applyFill="1" applyBorder="1" applyAlignment="1">
      <alignment horizontal="left" wrapText="1"/>
    </xf>
    <xf numFmtId="3" fontId="20" fillId="0" borderId="13" xfId="27" applyNumberFormat="1" applyFont="1" applyFill="1" applyBorder="1" applyAlignment="1">
      <alignment horizontal="left" wrapText="1" indent="3"/>
    </xf>
    <xf numFmtId="3" fontId="18" fillId="0" borderId="170" xfId="27" applyNumberFormat="1" applyFont="1" applyFill="1" applyBorder="1" applyAlignment="1">
      <alignment horizontal="center" vertical="center"/>
    </xf>
    <xf numFmtId="3" fontId="34" fillId="0" borderId="21" xfId="0" applyNumberFormat="1" applyFont="1" applyFill="1" applyBorder="1" applyAlignment="1">
      <alignment horizontal="right" wrapText="1"/>
    </xf>
    <xf numFmtId="3" fontId="21" fillId="0" borderId="21" xfId="0" applyNumberFormat="1" applyFont="1" applyFill="1" applyBorder="1" applyAlignment="1">
      <alignment horizontal="right" wrapText="1"/>
    </xf>
    <xf numFmtId="3" fontId="20" fillId="0" borderId="21" xfId="0" applyNumberFormat="1" applyFont="1" applyFill="1" applyBorder="1" applyAlignment="1">
      <alignment horizontal="right" wrapText="1"/>
    </xf>
    <xf numFmtId="3" fontId="24" fillId="0" borderId="170" xfId="27" applyNumberFormat="1" applyFont="1" applyFill="1" applyBorder="1" applyAlignment="1">
      <alignment horizontal="center"/>
    </xf>
    <xf numFmtId="3" fontId="25" fillId="0" borderId="0" xfId="27" applyNumberFormat="1" applyFont="1" applyFill="1" applyAlignment="1">
      <alignment horizontal="center" vertical="center"/>
    </xf>
    <xf numFmtId="3" fontId="25" fillId="0" borderId="0" xfId="27" applyNumberFormat="1" applyFont="1" applyFill="1" applyAlignment="1">
      <alignment horizontal="center"/>
    </xf>
    <xf numFmtId="3" fontId="21" fillId="0" borderId="81" xfId="27" applyNumberFormat="1" applyFont="1" applyFill="1" applyBorder="1" applyAlignment="1">
      <alignment horizontal="center"/>
    </xf>
    <xf numFmtId="3" fontId="13" fillId="0" borderId="0" xfId="27" applyNumberFormat="1" applyFont="1" applyFill="1" applyAlignment="1">
      <alignment horizontal="center"/>
    </xf>
    <xf numFmtId="3" fontId="20" fillId="0" borderId="0" xfId="27" applyNumberFormat="1" applyFont="1" applyFill="1" applyAlignment="1">
      <alignment horizontal="center" vertical="center"/>
    </xf>
    <xf numFmtId="3" fontId="18" fillId="0" borderId="0" xfId="27" applyNumberFormat="1" applyFont="1" applyFill="1" applyAlignment="1">
      <alignment horizontal="center" vertical="center"/>
    </xf>
    <xf numFmtId="3" fontId="35" fillId="0" borderId="0" xfId="27" applyNumberFormat="1" applyFont="1" applyFill="1" applyAlignment="1">
      <alignment horizontal="center" vertical="center"/>
    </xf>
    <xf numFmtId="3" fontId="34" fillId="0" borderId="0" xfId="27" applyNumberFormat="1" applyFont="1" applyFill="1" applyAlignment="1">
      <alignment horizontal="center" vertical="center"/>
    </xf>
    <xf numFmtId="3" fontId="43" fillId="0" borderId="75" xfId="27" applyNumberFormat="1" applyFont="1" applyFill="1" applyBorder="1" applyAlignment="1">
      <alignment horizontal="right" vertical="center"/>
    </xf>
    <xf numFmtId="3" fontId="24" fillId="0" borderId="81" xfId="27" applyNumberFormat="1" applyFont="1" applyFill="1" applyBorder="1" applyAlignment="1">
      <alignment horizontal="center" vertical="center"/>
    </xf>
    <xf numFmtId="3" fontId="18" fillId="0" borderId="13" xfId="0" applyNumberFormat="1" applyFont="1" applyFill="1" applyBorder="1"/>
    <xf numFmtId="3" fontId="34" fillId="0" borderId="46" xfId="27" applyNumberFormat="1" applyFont="1" applyFill="1" applyBorder="1" applyAlignment="1">
      <alignment horizontal="center"/>
    </xf>
    <xf numFmtId="3" fontId="21" fillId="0" borderId="81" xfId="27" applyNumberFormat="1" applyFont="1" applyFill="1" applyBorder="1" applyAlignment="1">
      <alignment horizontal="center" vertical="center"/>
    </xf>
    <xf numFmtId="3" fontId="35" fillId="0" borderId="14" xfId="0" applyNumberFormat="1" applyFont="1" applyFill="1" applyBorder="1" applyAlignment="1">
      <alignment horizontal="right" wrapText="1"/>
    </xf>
    <xf numFmtId="3" fontId="34" fillId="0" borderId="170" xfId="27" applyNumberFormat="1" applyFont="1" applyFill="1" applyBorder="1" applyAlignment="1">
      <alignment horizontal="center" vertical="center"/>
    </xf>
    <xf numFmtId="3" fontId="42" fillId="0" borderId="18" xfId="27" applyNumberFormat="1" applyFont="1" applyFill="1" applyBorder="1" applyAlignment="1">
      <alignment horizontal="right"/>
    </xf>
    <xf numFmtId="3" fontId="34" fillId="0" borderId="19" xfId="27" applyNumberFormat="1" applyFont="1" applyFill="1" applyBorder="1" applyAlignment="1">
      <alignment horizontal="right"/>
    </xf>
    <xf numFmtId="3" fontId="34" fillId="0" borderId="18" xfId="0" applyNumberFormat="1" applyFont="1" applyFill="1" applyBorder="1" applyAlignment="1">
      <alignment horizontal="right" wrapText="1"/>
    </xf>
    <xf numFmtId="3" fontId="21" fillId="0" borderId="17" xfId="27" applyNumberFormat="1" applyFont="1" applyFill="1" applyBorder="1" applyAlignment="1">
      <alignment horizontal="right"/>
    </xf>
    <xf numFmtId="3" fontId="21" fillId="0" borderId="33" xfId="27" applyNumberFormat="1" applyFont="1" applyFill="1" applyBorder="1" applyAlignment="1">
      <alignment horizontal="center"/>
    </xf>
    <xf numFmtId="3" fontId="21" fillId="0" borderId="13" xfId="0" applyNumberFormat="1" applyFont="1" applyFill="1" applyBorder="1"/>
    <xf numFmtId="3" fontId="18" fillId="0" borderId="13" xfId="27" applyNumberFormat="1" applyFont="1" applyFill="1" applyBorder="1"/>
    <xf numFmtId="3" fontId="18" fillId="0" borderId="17" xfId="27" applyNumberFormat="1" applyFont="1" applyFill="1" applyBorder="1"/>
    <xf numFmtId="3" fontId="20" fillId="0" borderId="13" xfId="27" applyNumberFormat="1" applyFont="1" applyFill="1" applyBorder="1" applyAlignment="1">
      <alignment horizontal="left" wrapText="1" indent="2"/>
    </xf>
    <xf numFmtId="3" fontId="34" fillId="0" borderId="18" xfId="27" applyNumberFormat="1" applyFont="1" applyFill="1" applyBorder="1" applyAlignment="1">
      <alignment horizontal="left" wrapText="1" indent="2"/>
    </xf>
    <xf numFmtId="3" fontId="29" fillId="0" borderId="13" xfId="27" applyNumberFormat="1" applyFont="1" applyFill="1" applyBorder="1" applyAlignment="1">
      <alignment wrapText="1"/>
    </xf>
    <xf numFmtId="3" fontId="21" fillId="0" borderId="13" xfId="27" applyNumberFormat="1" applyFont="1" applyFill="1" applyBorder="1" applyAlignment="1">
      <alignment horizontal="left" wrapText="1"/>
    </xf>
    <xf numFmtId="3" fontId="18" fillId="0" borderId="81" xfId="27" applyNumberFormat="1" applyFont="1" applyFill="1" applyBorder="1" applyAlignment="1">
      <alignment horizontal="center" vertical="top"/>
    </xf>
    <xf numFmtId="3" fontId="35" fillId="0" borderId="18" xfId="27" applyNumberFormat="1" applyFont="1" applyFill="1" applyBorder="1" applyAlignment="1">
      <alignment horizontal="left" wrapText="1" indent="4"/>
    </xf>
    <xf numFmtId="3" fontId="24" fillId="0" borderId="75" xfId="27" applyNumberFormat="1" applyFont="1" applyFill="1" applyBorder="1" applyAlignment="1">
      <alignment horizontal="right"/>
    </xf>
    <xf numFmtId="49" fontId="20" fillId="0" borderId="13" xfId="27" applyNumberFormat="1" applyFont="1" applyFill="1" applyBorder="1" applyAlignment="1">
      <alignment horizontal="left" vertical="center" wrapText="1" indent="4"/>
    </xf>
    <xf numFmtId="3" fontId="42" fillId="0" borderId="82" xfId="27" applyNumberFormat="1" applyFont="1" applyFill="1" applyBorder="1" applyAlignment="1">
      <alignment horizontal="right"/>
    </xf>
    <xf numFmtId="3" fontId="34" fillId="0" borderId="82" xfId="27" applyNumberFormat="1" applyFont="1" applyFill="1" applyBorder="1" applyAlignment="1">
      <alignment horizontal="right"/>
    </xf>
    <xf numFmtId="3" fontId="35" fillId="0" borderId="46" xfId="27" applyNumberFormat="1" applyFont="1" applyFill="1" applyBorder="1" applyAlignment="1">
      <alignment horizontal="center"/>
    </xf>
    <xf numFmtId="3" fontId="24" fillId="0" borderId="164" xfId="0" applyNumberFormat="1" applyFont="1" applyFill="1" applyBorder="1" applyAlignment="1">
      <alignment horizontal="right" wrapText="1"/>
    </xf>
    <xf numFmtId="3" fontId="18" fillId="0" borderId="82" xfId="27" applyNumberFormat="1" applyFont="1" applyFill="1" applyBorder="1" applyAlignment="1">
      <alignment horizontal="right"/>
    </xf>
    <xf numFmtId="3" fontId="18" fillId="0" borderId="142" xfId="27" applyNumberFormat="1" applyFont="1" applyFill="1" applyBorder="1" applyAlignment="1">
      <alignment horizontal="right"/>
    </xf>
    <xf numFmtId="3" fontId="35" fillId="0" borderId="164" xfId="0" applyNumberFormat="1" applyFont="1" applyFill="1" applyBorder="1" applyAlignment="1">
      <alignment horizontal="right" wrapText="1"/>
    </xf>
    <xf numFmtId="3" fontId="20" fillId="0" borderId="170" xfId="27" applyNumberFormat="1" applyFont="1" applyFill="1" applyBorder="1" applyAlignment="1">
      <alignment horizontal="center" vertical="center"/>
    </xf>
    <xf numFmtId="3" fontId="18" fillId="0" borderId="88" xfId="27" applyNumberFormat="1" applyFont="1" applyFill="1" applyBorder="1" applyAlignment="1">
      <alignment horizontal="right"/>
    </xf>
    <xf numFmtId="3" fontId="18" fillId="0" borderId="88" xfId="27" applyNumberFormat="1" applyFont="1" applyFill="1" applyBorder="1" applyAlignment="1">
      <alignment horizontal="center"/>
    </xf>
    <xf numFmtId="3" fontId="43" fillId="0" borderId="18" xfId="0" applyNumberFormat="1" applyFont="1" applyFill="1" applyBorder="1" applyAlignment="1">
      <alignment horizontal="right" wrapText="1"/>
    </xf>
    <xf numFmtId="3" fontId="35" fillId="0" borderId="115" xfId="0" applyNumberFormat="1" applyFont="1" applyFill="1" applyBorder="1" applyAlignment="1">
      <alignment horizontal="right" wrapText="1"/>
    </xf>
    <xf numFmtId="3" fontId="18" fillId="0" borderId="95" xfId="27" applyNumberFormat="1" applyFont="1" applyFill="1" applyBorder="1" applyAlignment="1">
      <alignment horizontal="right"/>
    </xf>
    <xf numFmtId="3" fontId="24" fillId="0" borderId="115" xfId="0" applyNumberFormat="1" applyFont="1" applyFill="1" applyBorder="1" applyAlignment="1">
      <alignment horizontal="right" wrapText="1"/>
    </xf>
    <xf numFmtId="3" fontId="34" fillId="0" borderId="13" xfId="27" applyNumberFormat="1" applyFont="1" applyFill="1" applyBorder="1" applyAlignment="1">
      <alignment horizontal="center"/>
    </xf>
    <xf numFmtId="3" fontId="38" fillId="0" borderId="0" xfId="27" applyNumberFormat="1" applyFont="1" applyFill="1" applyAlignment="1">
      <alignment horizontal="center"/>
    </xf>
    <xf numFmtId="3" fontId="11" fillId="0" borderId="81" xfId="27" applyNumberFormat="1" applyFont="1" applyFill="1" applyBorder="1" applyAlignment="1">
      <alignment horizontal="center"/>
    </xf>
    <xf numFmtId="3" fontId="11" fillId="0" borderId="33" xfId="27" applyNumberFormat="1" applyFont="1" applyFill="1" applyBorder="1" applyAlignment="1">
      <alignment horizontal="center"/>
    </xf>
    <xf numFmtId="3" fontId="38" fillId="0" borderId="75" xfId="27" applyNumberFormat="1" applyFont="1" applyFill="1" applyBorder="1"/>
    <xf numFmtId="3" fontId="39" fillId="0" borderId="13" xfId="27" applyNumberFormat="1" applyFont="1" applyFill="1" applyBorder="1"/>
    <xf numFmtId="3" fontId="39" fillId="0" borderId="14" xfId="27" applyNumberFormat="1" applyFont="1" applyFill="1" applyBorder="1"/>
    <xf numFmtId="3" fontId="34" fillId="0" borderId="13" xfId="27" applyNumberFormat="1" applyFont="1" applyFill="1" applyBorder="1"/>
    <xf numFmtId="3" fontId="38" fillId="0" borderId="13" xfId="27" applyNumberFormat="1" applyFont="1" applyFill="1" applyBorder="1"/>
    <xf numFmtId="3" fontId="38" fillId="0" borderId="14" xfId="27" applyNumberFormat="1" applyFont="1" applyFill="1" applyBorder="1"/>
    <xf numFmtId="3" fontId="11" fillId="0" borderId="170" xfId="27" applyNumberFormat="1" applyFont="1" applyFill="1" applyBorder="1" applyAlignment="1">
      <alignment horizontal="center"/>
    </xf>
    <xf numFmtId="3" fontId="11" fillId="0" borderId="46" xfId="27" applyNumberFormat="1" applyFont="1" applyFill="1" applyBorder="1" applyAlignment="1">
      <alignment horizontal="center"/>
    </xf>
    <xf numFmtId="3" fontId="11" fillId="0" borderId="18" xfId="27" applyNumberFormat="1" applyFont="1" applyFill="1" applyBorder="1"/>
    <xf numFmtId="3" fontId="21" fillId="0" borderId="18" xfId="27" applyNumberFormat="1" applyFont="1" applyFill="1" applyBorder="1"/>
    <xf numFmtId="3" fontId="38" fillId="0" borderId="18" xfId="27" applyNumberFormat="1" applyFont="1" applyFill="1" applyBorder="1"/>
    <xf numFmtId="3" fontId="38" fillId="0" borderId="21" xfId="27" applyNumberFormat="1" applyFont="1" applyFill="1" applyBorder="1"/>
    <xf numFmtId="3" fontId="14" fillId="0" borderId="18" xfId="27" applyNumberFormat="1" applyFont="1" applyFill="1" applyBorder="1"/>
    <xf numFmtId="3" fontId="20" fillId="0" borderId="18" xfId="27" applyNumberFormat="1" applyFont="1" applyFill="1" applyBorder="1"/>
    <xf numFmtId="3" fontId="25" fillId="0" borderId="18" xfId="27" applyNumberFormat="1" applyFont="1" applyFill="1" applyBorder="1"/>
    <xf numFmtId="3" fontId="25" fillId="0" borderId="21" xfId="27" applyNumberFormat="1" applyFont="1" applyFill="1" applyBorder="1"/>
    <xf numFmtId="3" fontId="18" fillId="0" borderId="13" xfId="27" applyNumberFormat="1" applyFont="1" applyFill="1" applyBorder="1" applyAlignment="1">
      <alignment shrinkToFit="1"/>
    </xf>
    <xf numFmtId="0" fontId="21" fillId="0" borderId="17" xfId="28" applyFont="1" applyFill="1" applyBorder="1" applyAlignment="1">
      <alignment horizontal="left"/>
    </xf>
    <xf numFmtId="3" fontId="18" fillId="0" borderId="82" xfId="27" applyNumberFormat="1" applyFont="1" applyFill="1" applyBorder="1" applyAlignment="1">
      <alignment horizontal="center"/>
    </xf>
    <xf numFmtId="3" fontId="34" fillId="0" borderId="13" xfId="27" applyNumberFormat="1" applyFont="1" applyFill="1" applyBorder="1" applyAlignment="1">
      <alignment horizontal="right"/>
    </xf>
    <xf numFmtId="3" fontId="43" fillId="0" borderId="75" xfId="0" applyNumberFormat="1" applyFont="1" applyFill="1" applyBorder="1" applyAlignment="1">
      <alignment horizontal="right" wrapText="1"/>
    </xf>
    <xf numFmtId="3" fontId="34" fillId="0" borderId="75" xfId="0" applyNumberFormat="1" applyFont="1" applyFill="1" applyBorder="1" applyAlignment="1">
      <alignment horizontal="right" wrapText="1"/>
    </xf>
    <xf numFmtId="3" fontId="34" fillId="0" borderId="164" xfId="0" applyNumberFormat="1" applyFont="1" applyFill="1" applyBorder="1" applyAlignment="1">
      <alignment horizontal="right" wrapText="1"/>
    </xf>
    <xf numFmtId="3" fontId="34" fillId="0" borderId="17" xfId="27" applyNumberFormat="1" applyFont="1" applyFill="1" applyBorder="1" applyAlignment="1">
      <alignment wrapText="1"/>
    </xf>
    <xf numFmtId="3" fontId="20" fillId="0" borderId="75" xfId="0" applyNumberFormat="1" applyFont="1" applyFill="1" applyBorder="1" applyAlignment="1">
      <alignment horizontal="right" wrapText="1"/>
    </xf>
    <xf numFmtId="3" fontId="21" fillId="0" borderId="75" xfId="0" applyNumberFormat="1" applyFont="1" applyFill="1" applyBorder="1" applyAlignment="1">
      <alignment horizontal="right" wrapText="1"/>
    </xf>
    <xf numFmtId="3" fontId="11" fillId="0" borderId="13" xfId="27" applyNumberFormat="1" applyFont="1" applyFill="1" applyBorder="1" applyAlignment="1">
      <alignment horizontal="center"/>
    </xf>
    <xf numFmtId="3" fontId="18" fillId="0" borderId="18" xfId="27" applyNumberFormat="1" applyFont="1" applyFill="1" applyBorder="1" applyAlignment="1">
      <alignment wrapText="1"/>
    </xf>
    <xf numFmtId="3" fontId="21" fillId="0" borderId="115" xfId="0" applyNumberFormat="1" applyFont="1" applyFill="1" applyBorder="1" applyAlignment="1">
      <alignment horizontal="right" wrapText="1"/>
    </xf>
    <xf numFmtId="3" fontId="24" fillId="0" borderId="18" xfId="0" applyNumberFormat="1" applyFont="1" applyFill="1" applyBorder="1" applyAlignment="1">
      <alignment horizontal="right" wrapText="1"/>
    </xf>
    <xf numFmtId="3" fontId="20" fillId="0" borderId="115" xfId="0" applyNumberFormat="1" applyFont="1" applyFill="1" applyBorder="1" applyAlignment="1">
      <alignment horizontal="right" wrapText="1"/>
    </xf>
    <xf numFmtId="3" fontId="18" fillId="0" borderId="13" xfId="27" applyNumberFormat="1" applyFont="1" applyFill="1" applyBorder="1" applyAlignment="1">
      <alignment wrapText="1"/>
    </xf>
    <xf numFmtId="3" fontId="21" fillId="0" borderId="17" xfId="30" applyNumberFormat="1" applyFont="1" applyFill="1" applyBorder="1"/>
    <xf numFmtId="3" fontId="21" fillId="0" borderId="164" xfId="0" applyNumberFormat="1" applyFont="1" applyFill="1" applyBorder="1" applyAlignment="1">
      <alignment horizontal="right" wrapText="1"/>
    </xf>
    <xf numFmtId="3" fontId="20" fillId="0" borderId="164" xfId="0" applyNumberFormat="1" applyFont="1" applyFill="1" applyBorder="1" applyAlignment="1">
      <alignment horizontal="right" wrapText="1"/>
    </xf>
    <xf numFmtId="3" fontId="18" fillId="0" borderId="17" xfId="27" applyNumberFormat="1" applyFont="1" applyFill="1" applyBorder="1" applyAlignment="1">
      <alignment wrapText="1"/>
    </xf>
    <xf numFmtId="3" fontId="21" fillId="0" borderId="17" xfId="27" applyNumberFormat="1" applyFont="1" applyFill="1" applyBorder="1" applyAlignment="1">
      <alignment wrapText="1"/>
    </xf>
    <xf numFmtId="3" fontId="34" fillId="0" borderId="19" xfId="27" applyNumberFormat="1" applyFont="1" applyFill="1" applyBorder="1" applyAlignment="1">
      <alignment wrapText="1"/>
    </xf>
    <xf numFmtId="3" fontId="18" fillId="0" borderId="169" xfId="27" applyNumberFormat="1" applyFont="1" applyFill="1" applyBorder="1" applyAlignment="1">
      <alignment horizontal="center"/>
    </xf>
    <xf numFmtId="3" fontId="21" fillId="0" borderId="31" xfId="27" applyNumberFormat="1" applyFont="1" applyFill="1" applyBorder="1" applyAlignment="1">
      <alignment wrapText="1"/>
    </xf>
    <xf numFmtId="3" fontId="18" fillId="0" borderId="82" xfId="27" applyNumberFormat="1" applyFont="1" applyFill="1" applyBorder="1" applyAlignment="1">
      <alignment horizontal="center" vertical="top"/>
    </xf>
    <xf numFmtId="3" fontId="34" fillId="0" borderId="13" xfId="27" applyNumberFormat="1" applyFont="1" applyFill="1" applyBorder="1" applyAlignment="1">
      <alignment wrapText="1"/>
    </xf>
    <xf numFmtId="3" fontId="24" fillId="0" borderId="75" xfId="0" applyNumberFormat="1" applyFont="1" applyFill="1" applyBorder="1" applyAlignment="1">
      <alignment horizontal="right" wrapText="1"/>
    </xf>
    <xf numFmtId="3" fontId="18" fillId="0" borderId="75" xfId="0" applyNumberFormat="1" applyFont="1" applyFill="1" applyBorder="1" applyAlignment="1">
      <alignment horizontal="right" wrapText="1"/>
    </xf>
    <xf numFmtId="3" fontId="42" fillId="0" borderId="75" xfId="0" applyNumberFormat="1" applyFont="1" applyFill="1" applyBorder="1" applyAlignment="1">
      <alignment horizontal="right" wrapText="1"/>
    </xf>
    <xf numFmtId="3" fontId="20" fillId="0" borderId="12" xfId="27" applyNumberFormat="1" applyFont="1" applyFill="1" applyBorder="1" applyAlignment="1">
      <alignment horizontal="center" vertical="center"/>
    </xf>
    <xf numFmtId="3" fontId="18" fillId="0" borderId="75" xfId="27" applyNumberFormat="1" applyFont="1" applyFill="1" applyBorder="1" applyAlignment="1">
      <alignment horizontal="center"/>
    </xf>
    <xf numFmtId="3" fontId="20" fillId="0" borderId="163" xfId="27" applyNumberFormat="1" applyFont="1" applyFill="1" applyBorder="1" applyAlignment="1">
      <alignment horizontal="center" vertical="center"/>
    </xf>
    <xf numFmtId="3" fontId="18" fillId="0" borderId="31" xfId="27" applyNumberFormat="1" applyFont="1" applyFill="1" applyBorder="1" applyAlignment="1">
      <alignment horizontal="center"/>
    </xf>
    <xf numFmtId="3" fontId="34" fillId="0" borderId="31" xfId="27" applyNumberFormat="1" applyFont="1" applyFill="1" applyBorder="1" applyAlignment="1">
      <alignment wrapText="1"/>
    </xf>
    <xf numFmtId="3" fontId="18" fillId="0" borderId="97" xfId="27" applyNumberFormat="1" applyFont="1" applyFill="1" applyBorder="1" applyAlignment="1">
      <alignment horizontal="right"/>
    </xf>
    <xf numFmtId="3" fontId="18" fillId="0" borderId="31" xfId="27" applyNumberFormat="1" applyFont="1" applyFill="1" applyBorder="1" applyAlignment="1">
      <alignment horizontal="right"/>
    </xf>
    <xf numFmtId="3" fontId="18" fillId="0" borderId="185" xfId="27" applyNumberFormat="1" applyFont="1" applyFill="1" applyBorder="1" applyAlignment="1">
      <alignment horizontal="right"/>
    </xf>
    <xf numFmtId="3" fontId="18" fillId="0" borderId="97" xfId="27" applyNumberFormat="1" applyFont="1" applyFill="1" applyBorder="1" applyAlignment="1">
      <alignment horizontal="center"/>
    </xf>
    <xf numFmtId="3" fontId="34" fillId="0" borderId="31" xfId="27" applyNumberFormat="1" applyFont="1" applyFill="1" applyBorder="1" applyAlignment="1">
      <alignment horizontal="right"/>
    </xf>
    <xf numFmtId="3" fontId="43" fillId="0" borderId="85" xfId="0" applyNumberFormat="1" applyFont="1" applyFill="1" applyBorder="1" applyAlignment="1">
      <alignment horizontal="right" wrapText="1"/>
    </xf>
    <xf numFmtId="3" fontId="34" fillId="0" borderId="85" xfId="0" applyNumberFormat="1" applyFont="1" applyFill="1" applyBorder="1" applyAlignment="1">
      <alignment horizontal="right" wrapText="1"/>
    </xf>
    <xf numFmtId="3" fontId="34" fillId="0" borderId="186" xfId="0" applyNumberFormat="1" applyFont="1" applyFill="1" applyBorder="1" applyAlignment="1">
      <alignment horizontal="right" wrapText="1"/>
    </xf>
    <xf numFmtId="3" fontId="21" fillId="0" borderId="102" xfId="30" applyNumberFormat="1" applyFont="1" applyFill="1" applyBorder="1"/>
    <xf numFmtId="3" fontId="21" fillId="0" borderId="31" xfId="27" applyNumberFormat="1" applyFont="1" applyFill="1" applyBorder="1" applyAlignment="1">
      <alignment horizontal="right"/>
    </xf>
    <xf numFmtId="3" fontId="20" fillId="0" borderId="85" xfId="0" applyNumberFormat="1" applyFont="1" applyFill="1" applyBorder="1" applyAlignment="1">
      <alignment horizontal="right" wrapText="1"/>
    </xf>
    <xf numFmtId="3" fontId="21" fillId="0" borderId="85" xfId="0" applyNumberFormat="1" applyFont="1" applyFill="1" applyBorder="1" applyAlignment="1">
      <alignment horizontal="right" wrapText="1"/>
    </xf>
    <xf numFmtId="3" fontId="21" fillId="0" borderId="186" xfId="0" applyNumberFormat="1" applyFont="1" applyFill="1" applyBorder="1" applyAlignment="1">
      <alignment horizontal="right" wrapText="1"/>
    </xf>
    <xf numFmtId="3" fontId="21" fillId="0" borderId="31" xfId="0" applyNumberFormat="1" applyFont="1" applyFill="1" applyBorder="1"/>
    <xf numFmtId="3" fontId="21" fillId="0" borderId="17" xfId="30" applyNumberFormat="1" applyFont="1" applyFill="1" applyBorder="1" applyAlignment="1">
      <alignment horizontal="left" wrapText="1"/>
    </xf>
    <xf numFmtId="3" fontId="20" fillId="0" borderId="201" xfId="27" applyNumberFormat="1" applyFont="1" applyFill="1" applyBorder="1" applyAlignment="1">
      <alignment horizontal="center" vertical="center"/>
    </xf>
    <xf numFmtId="3" fontId="18" fillId="0" borderId="202" xfId="27" applyNumberFormat="1" applyFont="1" applyFill="1" applyBorder="1" applyAlignment="1">
      <alignment horizontal="center"/>
    </xf>
    <xf numFmtId="0" fontId="20" fillId="0" borderId="203" xfId="28" applyFont="1" applyFill="1" applyBorder="1" applyAlignment="1">
      <alignment horizontal="left"/>
    </xf>
    <xf numFmtId="3" fontId="18" fillId="0" borderId="202" xfId="27" applyNumberFormat="1" applyFont="1" applyFill="1" applyBorder="1" applyAlignment="1">
      <alignment horizontal="right"/>
    </xf>
    <xf numFmtId="3" fontId="18" fillId="0" borderId="204" xfId="27" applyNumberFormat="1" applyFont="1" applyFill="1" applyBorder="1" applyAlignment="1">
      <alignment horizontal="right"/>
    </xf>
    <xf numFmtId="3" fontId="18" fillId="0" borderId="209" xfId="27" applyNumberFormat="1" applyFont="1" applyFill="1" applyBorder="1" applyAlignment="1">
      <alignment horizontal="center"/>
    </xf>
    <xf numFmtId="3" fontId="20" fillId="0" borderId="202" xfId="0" applyNumberFormat="1" applyFont="1" applyFill="1" applyBorder="1"/>
    <xf numFmtId="3" fontId="20" fillId="0" borderId="210" xfId="0" applyNumberFormat="1" applyFont="1" applyFill="1" applyBorder="1" applyAlignment="1">
      <alignment horizontal="right" wrapText="1"/>
    </xf>
    <xf numFmtId="3" fontId="43" fillId="0" borderId="210" xfId="0" applyNumberFormat="1" applyFont="1" applyFill="1" applyBorder="1" applyAlignment="1">
      <alignment horizontal="right" wrapText="1"/>
    </xf>
    <xf numFmtId="3" fontId="20" fillId="0" borderId="211" xfId="0" applyNumberFormat="1" applyFont="1" applyFill="1" applyBorder="1" applyAlignment="1">
      <alignment horizontal="right" wrapText="1"/>
    </xf>
    <xf numFmtId="3" fontId="20" fillId="0" borderId="1" xfId="27" applyNumberFormat="1" applyFont="1" applyFill="1" applyBorder="1" applyAlignment="1">
      <alignment horizontal="center" vertical="center"/>
    </xf>
    <xf numFmtId="3" fontId="18" fillId="0" borderId="48" xfId="27" applyNumberFormat="1" applyFont="1" applyFill="1" applyBorder="1" applyAlignment="1">
      <alignment horizontal="center" vertical="top"/>
    </xf>
    <xf numFmtId="3" fontId="21" fillId="0" borderId="19" xfId="27" applyNumberFormat="1" applyFont="1" applyFill="1" applyBorder="1" applyAlignment="1">
      <alignment horizontal="center" vertical="center" wrapText="1"/>
    </xf>
    <xf numFmtId="3" fontId="21" fillId="0" borderId="88" xfId="27" applyNumberFormat="1" applyFont="1" applyFill="1" applyBorder="1" applyAlignment="1">
      <alignment horizontal="center" vertical="center" wrapText="1"/>
    </xf>
    <xf numFmtId="3" fontId="21" fillId="0" borderId="168" xfId="27" applyNumberFormat="1" applyFont="1" applyFill="1" applyBorder="1" applyAlignment="1">
      <alignment horizontal="center" vertical="center" wrapText="1"/>
    </xf>
    <xf numFmtId="3" fontId="34" fillId="0" borderId="18" xfId="27" applyNumberFormat="1" applyFont="1" applyFill="1" applyBorder="1" applyAlignment="1">
      <alignment horizontal="right"/>
    </xf>
    <xf numFmtId="3" fontId="43" fillId="0" borderId="49" xfId="0" applyNumberFormat="1" applyFont="1" applyFill="1" applyBorder="1" applyAlignment="1">
      <alignment horizontal="right" wrapText="1"/>
    </xf>
    <xf numFmtId="3" fontId="34" fillId="0" borderId="49" xfId="0" applyNumberFormat="1" applyFont="1" applyFill="1" applyBorder="1" applyAlignment="1">
      <alignment horizontal="right" wrapText="1"/>
    </xf>
    <xf numFmtId="3" fontId="34" fillId="0" borderId="15" xfId="0" applyNumberFormat="1" applyFont="1" applyFill="1" applyBorder="1" applyAlignment="1">
      <alignment horizontal="right" wrapText="1"/>
    </xf>
    <xf numFmtId="3" fontId="21" fillId="0" borderId="163" xfId="27" applyNumberFormat="1" applyFont="1" applyFill="1" applyBorder="1" applyAlignment="1">
      <alignment horizontal="center" vertical="center"/>
    </xf>
    <xf numFmtId="3" fontId="18" fillId="0" borderId="31" xfId="27" applyNumberFormat="1" applyFont="1" applyFill="1" applyBorder="1" applyAlignment="1">
      <alignment horizontal="center" vertical="center" wrapText="1"/>
    </xf>
    <xf numFmtId="3" fontId="47" fillId="0" borderId="97" xfId="27" applyNumberFormat="1" applyFont="1" applyFill="1" applyBorder="1" applyAlignment="1">
      <alignment wrapText="1"/>
    </xf>
    <xf numFmtId="3" fontId="52" fillId="0" borderId="31" xfId="27" applyNumberFormat="1" applyFont="1" applyFill="1" applyBorder="1" applyAlignment="1">
      <alignment wrapText="1"/>
    </xf>
    <xf numFmtId="3" fontId="42" fillId="0" borderId="85" xfId="0" applyNumberFormat="1" applyFont="1" applyFill="1" applyBorder="1" applyAlignment="1">
      <alignment vertical="center"/>
    </xf>
    <xf numFmtId="3" fontId="34" fillId="0" borderId="112" xfId="0" applyNumberFormat="1" applyFont="1" applyFill="1" applyBorder="1" applyAlignment="1">
      <alignment vertical="center"/>
    </xf>
    <xf numFmtId="3" fontId="34" fillId="0" borderId="85" xfId="0" applyNumberFormat="1" applyFont="1" applyFill="1" applyBorder="1" applyAlignment="1">
      <alignment vertical="center"/>
    </xf>
    <xf numFmtId="3" fontId="34" fillId="0" borderId="186" xfId="0" applyNumberFormat="1" applyFont="1" applyFill="1" applyBorder="1" applyAlignment="1">
      <alignment vertical="center"/>
    </xf>
    <xf numFmtId="3" fontId="34" fillId="0" borderId="185" xfId="0" applyNumberFormat="1" applyFont="1" applyFill="1" applyBorder="1" applyAlignment="1">
      <alignment vertical="center"/>
    </xf>
    <xf numFmtId="3" fontId="21" fillId="0" borderId="85" xfId="0" applyNumberFormat="1" applyFont="1" applyFill="1" applyBorder="1" applyAlignment="1">
      <alignment vertical="center"/>
    </xf>
    <xf numFmtId="3" fontId="21" fillId="0" borderId="186" xfId="0" applyNumberFormat="1" applyFont="1" applyFill="1" applyBorder="1" applyAlignment="1">
      <alignment vertical="center"/>
    </xf>
    <xf numFmtId="3" fontId="18" fillId="0" borderId="13" xfId="27" applyNumberFormat="1" applyFont="1" applyFill="1" applyBorder="1" applyAlignment="1">
      <alignment horizontal="center" vertical="center" wrapText="1"/>
    </xf>
    <xf numFmtId="3" fontId="52" fillId="0" borderId="13" xfId="27" applyNumberFormat="1" applyFont="1" applyFill="1" applyBorder="1" applyAlignment="1">
      <alignment wrapText="1"/>
    </xf>
    <xf numFmtId="3" fontId="42" fillId="0" borderId="13" xfId="0" applyNumberFormat="1" applyFont="1" applyFill="1" applyBorder="1" applyAlignment="1">
      <alignment vertical="center"/>
    </xf>
    <xf numFmtId="3" fontId="34" fillId="0" borderId="142" xfId="0" applyNumberFormat="1" applyFont="1" applyFill="1" applyBorder="1" applyAlignment="1">
      <alignment vertical="center"/>
    </xf>
    <xf numFmtId="3" fontId="34" fillId="0" borderId="75" xfId="0" applyNumberFormat="1" applyFont="1" applyFill="1" applyBorder="1" applyAlignment="1">
      <alignment vertical="center"/>
    </xf>
    <xf numFmtId="3" fontId="24" fillId="0" borderId="13" xfId="0" applyNumberFormat="1" applyFont="1" applyFill="1" applyBorder="1" applyAlignment="1">
      <alignment vertical="center"/>
    </xf>
    <xf numFmtId="3" fontId="24" fillId="0" borderId="14" xfId="0" applyNumberFormat="1" applyFont="1" applyFill="1" applyBorder="1" applyAlignment="1">
      <alignment vertical="center"/>
    </xf>
    <xf numFmtId="3" fontId="21" fillId="0" borderId="175" xfId="27" applyNumberFormat="1" applyFont="1" applyFill="1" applyBorder="1" applyAlignment="1">
      <alignment horizontal="center" vertical="center"/>
    </xf>
    <xf numFmtId="3" fontId="18" fillId="0" borderId="11" xfId="27" applyNumberFormat="1" applyFont="1" applyFill="1" applyBorder="1" applyAlignment="1">
      <alignment horizontal="center" vertical="center" wrapText="1"/>
    </xf>
    <xf numFmtId="3" fontId="20" fillId="0" borderId="91" xfId="0" applyNumberFormat="1" applyFont="1" applyFill="1" applyBorder="1" applyAlignment="1">
      <alignment wrapText="1"/>
    </xf>
    <xf numFmtId="3" fontId="20" fillId="0" borderId="11" xfId="0" applyNumberFormat="1" applyFont="1" applyFill="1" applyBorder="1" applyAlignment="1">
      <alignment wrapText="1"/>
    </xf>
    <xf numFmtId="3" fontId="20" fillId="0" borderId="141" xfId="0" applyNumberFormat="1" applyFont="1" applyFill="1" applyBorder="1" applyAlignment="1">
      <alignment wrapText="1"/>
    </xf>
    <xf numFmtId="3" fontId="18" fillId="0" borderId="79" xfId="27" applyNumberFormat="1" applyFont="1" applyFill="1" applyBorder="1" applyAlignment="1">
      <alignment horizontal="center"/>
    </xf>
    <xf numFmtId="3" fontId="34" fillId="0" borderId="76" xfId="0" applyNumberFormat="1" applyFont="1" applyFill="1" applyBorder="1" applyAlignment="1">
      <alignment vertical="center"/>
    </xf>
    <xf numFmtId="3" fontId="34" fillId="0" borderId="166" xfId="0" applyNumberFormat="1" applyFont="1" applyFill="1" applyBorder="1" applyAlignment="1">
      <alignment vertical="center"/>
    </xf>
    <xf numFmtId="3" fontId="18" fillId="0" borderId="170" xfId="0" applyNumberFormat="1" applyFont="1" applyFill="1" applyBorder="1" applyAlignment="1">
      <alignment horizontal="center" wrapText="1"/>
    </xf>
    <xf numFmtId="3" fontId="18" fillId="0" borderId="18" xfId="0" applyNumberFormat="1" applyFont="1" applyFill="1" applyBorder="1" applyAlignment="1">
      <alignment horizontal="center" wrapText="1"/>
    </xf>
    <xf numFmtId="0" fontId="0" fillId="0" borderId="13" xfId="0" applyFill="1" applyBorder="1" applyAlignment="1">
      <alignment wrapText="1"/>
    </xf>
    <xf numFmtId="0" fontId="0" fillId="0" borderId="168" xfId="0" applyFill="1" applyBorder="1" applyAlignment="1">
      <alignment wrapText="1"/>
    </xf>
    <xf numFmtId="3" fontId="18" fillId="0" borderId="46" xfId="0" applyNumberFormat="1" applyFont="1" applyFill="1" applyBorder="1" applyAlignment="1">
      <alignment horizontal="center" wrapText="1"/>
    </xf>
    <xf numFmtId="3" fontId="34" fillId="0" borderId="50" xfId="0" applyNumberFormat="1" applyFont="1" applyFill="1" applyBorder="1" applyAlignment="1">
      <alignment horizontal="right"/>
    </xf>
    <xf numFmtId="3" fontId="42" fillId="0" borderId="0" xfId="0" applyNumberFormat="1" applyFont="1" applyFill="1" applyAlignment="1">
      <alignment horizontal="right" wrapText="1"/>
    </xf>
    <xf numFmtId="3" fontId="21" fillId="0" borderId="50" xfId="0" applyNumberFormat="1" applyFont="1" applyFill="1" applyBorder="1" applyAlignment="1">
      <alignment horizontal="right"/>
    </xf>
    <xf numFmtId="0" fontId="0" fillId="0" borderId="13" xfId="0" applyFill="1" applyBorder="1" applyAlignment="1">
      <alignment horizontal="left" wrapText="1"/>
    </xf>
    <xf numFmtId="0" fontId="0" fillId="0" borderId="168" xfId="0" applyFill="1" applyBorder="1" applyAlignment="1">
      <alignment horizontal="left" wrapText="1"/>
    </xf>
    <xf numFmtId="3" fontId="20" fillId="0" borderId="19" xfId="0" applyNumberFormat="1" applyFont="1" applyFill="1" applyBorder="1" applyAlignment="1">
      <alignment wrapText="1"/>
    </xf>
    <xf numFmtId="0" fontId="0" fillId="0" borderId="142" xfId="0" applyFill="1" applyBorder="1" applyAlignment="1">
      <alignment wrapText="1"/>
    </xf>
    <xf numFmtId="3" fontId="18" fillId="0" borderId="163" xfId="0" applyNumberFormat="1" applyFont="1" applyFill="1" applyBorder="1" applyAlignment="1">
      <alignment horizontal="center" wrapText="1"/>
    </xf>
    <xf numFmtId="3" fontId="18" fillId="0" borderId="31" xfId="0" applyNumberFormat="1" applyFont="1" applyFill="1" applyBorder="1" applyAlignment="1">
      <alignment horizontal="center" wrapText="1"/>
    </xf>
    <xf numFmtId="3" fontId="34" fillId="0" borderId="102" xfId="27" applyNumberFormat="1" applyFont="1" applyFill="1" applyBorder="1" applyAlignment="1">
      <alignment wrapText="1"/>
    </xf>
    <xf numFmtId="0" fontId="0" fillId="0" borderId="185" xfId="0" applyFill="1" applyBorder="1" applyAlignment="1">
      <alignment wrapText="1"/>
    </xf>
    <xf numFmtId="3" fontId="18" fillId="0" borderId="103" xfId="0" applyNumberFormat="1" applyFont="1" applyFill="1" applyBorder="1" applyAlignment="1">
      <alignment horizontal="center" wrapText="1"/>
    </xf>
    <xf numFmtId="3" fontId="34" fillId="0" borderId="13" xfId="0" applyNumberFormat="1" applyFont="1" applyFill="1" applyBorder="1" applyAlignment="1">
      <alignment horizontal="right"/>
    </xf>
    <xf numFmtId="3" fontId="42" fillId="0" borderId="31" xfId="0" applyNumberFormat="1" applyFont="1" applyFill="1" applyBorder="1" applyAlignment="1">
      <alignment horizontal="right" wrapText="1"/>
    </xf>
    <xf numFmtId="3" fontId="42" fillId="0" borderId="32" xfId="0" applyNumberFormat="1" applyFont="1" applyFill="1" applyBorder="1" applyAlignment="1">
      <alignment horizontal="right" wrapText="1"/>
    </xf>
    <xf numFmtId="3" fontId="18" fillId="0" borderId="85" xfId="0" applyNumberFormat="1" applyFont="1" applyFill="1" applyBorder="1" applyAlignment="1">
      <alignment horizontal="center" wrapText="1"/>
    </xf>
    <xf numFmtId="3" fontId="21" fillId="0" borderId="49" xfId="0" applyNumberFormat="1" applyFont="1" applyFill="1" applyBorder="1" applyAlignment="1">
      <alignment horizontal="right"/>
    </xf>
    <xf numFmtId="3" fontId="18" fillId="0" borderId="31" xfId="0" applyNumberFormat="1" applyFont="1" applyFill="1" applyBorder="1" applyAlignment="1">
      <alignment horizontal="right" wrapText="1"/>
    </xf>
    <xf numFmtId="3" fontId="18" fillId="0" borderId="32" xfId="0" applyNumberFormat="1" applyFont="1" applyFill="1" applyBorder="1" applyAlignment="1">
      <alignment horizontal="right" wrapText="1"/>
    </xf>
    <xf numFmtId="3" fontId="18" fillId="0" borderId="99" xfId="0" applyNumberFormat="1" applyFont="1" applyFill="1" applyBorder="1" applyAlignment="1">
      <alignment horizontal="center" wrapText="1"/>
    </xf>
    <xf numFmtId="3" fontId="18" fillId="0" borderId="100" xfId="0" applyNumberFormat="1" applyFont="1" applyFill="1" applyBorder="1" applyAlignment="1">
      <alignment horizontal="center" wrapText="1"/>
    </xf>
    <xf numFmtId="0" fontId="20" fillId="0" borderId="105" xfId="28" applyFont="1" applyFill="1" applyBorder="1" applyAlignment="1">
      <alignment horizontal="left"/>
    </xf>
    <xf numFmtId="0" fontId="0" fillId="0" borderId="100" xfId="0" applyFill="1" applyBorder="1" applyAlignment="1">
      <alignment horizontal="left" wrapText="1"/>
    </xf>
    <xf numFmtId="0" fontId="0" fillId="0" borderId="219" xfId="0" applyFill="1" applyBorder="1" applyAlignment="1">
      <alignment horizontal="left" wrapText="1"/>
    </xf>
    <xf numFmtId="3" fontId="18" fillId="0" borderId="106" xfId="0" applyNumberFormat="1" applyFont="1" applyFill="1" applyBorder="1" applyAlignment="1">
      <alignment horizontal="center" wrapText="1"/>
    </xf>
    <xf numFmtId="3" fontId="20" fillId="0" borderId="100" xfId="0" applyNumberFormat="1" applyFont="1" applyFill="1" applyBorder="1"/>
    <xf numFmtId="3" fontId="20" fillId="0" borderId="100" xfId="0" applyNumberFormat="1" applyFont="1" applyFill="1" applyBorder="1" applyAlignment="1">
      <alignment horizontal="right" wrapText="1"/>
    </xf>
    <xf numFmtId="3" fontId="20" fillId="0" borderId="98" xfId="0" applyNumberFormat="1" applyFont="1" applyFill="1" applyBorder="1" applyAlignment="1">
      <alignment horizontal="right" wrapText="1"/>
    </xf>
    <xf numFmtId="1" fontId="26" fillId="0" borderId="0" xfId="27" applyNumberFormat="1" applyFont="1" applyFill="1" applyAlignment="1">
      <alignment horizontal="left" vertical="center"/>
    </xf>
    <xf numFmtId="3" fontId="15" fillId="0" borderId="72" xfId="0" applyNumberFormat="1" applyFont="1" applyFill="1" applyBorder="1" applyAlignment="1">
      <alignment horizontal="left" vertical="top"/>
    </xf>
    <xf numFmtId="3" fontId="15" fillId="0" borderId="72" xfId="0" applyNumberFormat="1" applyFont="1" applyFill="1" applyBorder="1"/>
    <xf numFmtId="3" fontId="15" fillId="0" borderId="0" xfId="0" applyNumberFormat="1" applyFont="1" applyFill="1" applyAlignment="1">
      <alignment horizontal="center"/>
    </xf>
    <xf numFmtId="3" fontId="19" fillId="0" borderId="72" xfId="0" applyNumberFormat="1" applyFont="1" applyFill="1" applyBorder="1"/>
    <xf numFmtId="3" fontId="15" fillId="0" borderId="0" xfId="0" applyNumberFormat="1" applyFont="1" applyFill="1"/>
    <xf numFmtId="3" fontId="15" fillId="0" borderId="0" xfId="0" applyNumberFormat="1" applyFont="1" applyFill="1" applyAlignment="1">
      <alignment vertical="top"/>
    </xf>
    <xf numFmtId="3" fontId="19" fillId="0" borderId="0" xfId="0" applyNumberFormat="1" applyFont="1" applyFill="1"/>
    <xf numFmtId="3" fontId="15" fillId="0" borderId="0" xfId="0" applyNumberFormat="1" applyFont="1" applyFill="1" applyAlignment="1">
      <alignment horizontal="left" vertical="top"/>
    </xf>
    <xf numFmtId="3" fontId="11" fillId="0" borderId="0" xfId="27" applyNumberFormat="1" applyFont="1" applyFill="1" applyAlignment="1">
      <alignment horizontal="center" vertical="top"/>
    </xf>
    <xf numFmtId="3" fontId="11" fillId="0" borderId="0" xfId="27" applyNumberFormat="1" applyFont="1" applyFill="1" applyAlignment="1">
      <alignment vertical="top" wrapText="1"/>
    </xf>
    <xf numFmtId="3" fontId="13" fillId="0" borderId="0" xfId="27" applyNumberFormat="1" applyFont="1" applyFill="1"/>
    <xf numFmtId="3" fontId="13" fillId="0" borderId="0" xfId="27" applyNumberFormat="1" applyFont="1" applyFill="1" applyAlignment="1">
      <alignment vertical="top" wrapText="1"/>
    </xf>
    <xf numFmtId="3" fontId="11" fillId="0" borderId="0" xfId="27" applyNumberFormat="1" applyFont="1" applyFill="1" applyAlignment="1">
      <alignment horizontal="center" vertical="top" wrapText="1"/>
    </xf>
  </cellXfs>
  <cellStyles count="59">
    <cellStyle name="Ezres 2" xfId="1" xr:uid="{00000000-0005-0000-0000-000000000000}"/>
    <cellStyle name="Ezres 3" xfId="2" xr:uid="{00000000-0005-0000-0000-000001000000}"/>
    <cellStyle name="Ezres 4" xfId="3" xr:uid="{00000000-0005-0000-0000-000002000000}"/>
    <cellStyle name="Ezres 4 2" xfId="4" xr:uid="{00000000-0005-0000-0000-000003000000}"/>
    <cellStyle name="Ezres 4 3" xfId="5" xr:uid="{00000000-0005-0000-0000-000004000000}"/>
    <cellStyle name="Ezres 4 4" xfId="44" xr:uid="{00000000-0005-0000-0000-000005000000}"/>
    <cellStyle name="Ezres 4 4 2" xfId="52" xr:uid="{00000000-0005-0000-0000-000006000000}"/>
    <cellStyle name="Ezres 4 4 3" xfId="53" xr:uid="{00000000-0005-0000-0000-000007000000}"/>
    <cellStyle name="Ezres 4 4 3 2" xfId="58" xr:uid="{62821B02-4915-4E12-8758-50CAA61CE99B}"/>
    <cellStyle name="Ezres 5" xfId="6" xr:uid="{00000000-0005-0000-0000-000008000000}"/>
    <cellStyle name="Normál" xfId="0" builtinId="0"/>
    <cellStyle name="Normál 10" xfId="7" xr:uid="{00000000-0005-0000-0000-00000A000000}"/>
    <cellStyle name="Normál 10 2" xfId="37" xr:uid="{00000000-0005-0000-0000-00000B000000}"/>
    <cellStyle name="Normál 10 3" xfId="49" xr:uid="{00000000-0005-0000-0000-00000C000000}"/>
    <cellStyle name="Normál 11" xfId="38" xr:uid="{00000000-0005-0000-0000-00000D000000}"/>
    <cellStyle name="Normál 11 2" xfId="39" xr:uid="{00000000-0005-0000-0000-00000E000000}"/>
    <cellStyle name="Normál 12" xfId="40" xr:uid="{00000000-0005-0000-0000-00000F000000}"/>
    <cellStyle name="Normál 13" xfId="45" xr:uid="{00000000-0005-0000-0000-000010000000}"/>
    <cellStyle name="Normál 14" xfId="48" xr:uid="{00000000-0005-0000-0000-000011000000}"/>
    <cellStyle name="Normál 14 2" xfId="51" xr:uid="{00000000-0005-0000-0000-000012000000}"/>
    <cellStyle name="Normál 14 2 2" xfId="54" xr:uid="{00000000-0005-0000-0000-000013000000}"/>
    <cellStyle name="Normál 15" xfId="50" xr:uid="{00000000-0005-0000-0000-000014000000}"/>
    <cellStyle name="Normál 2" xfId="8" xr:uid="{00000000-0005-0000-0000-000015000000}"/>
    <cellStyle name="Normál 3" xfId="9" xr:uid="{00000000-0005-0000-0000-000016000000}"/>
    <cellStyle name="Normál 4" xfId="10" xr:uid="{00000000-0005-0000-0000-000017000000}"/>
    <cellStyle name="Normál 5" xfId="11" xr:uid="{00000000-0005-0000-0000-000018000000}"/>
    <cellStyle name="Normál 6" xfId="12" xr:uid="{00000000-0005-0000-0000-000019000000}"/>
    <cellStyle name="Normál 6 2" xfId="13" xr:uid="{00000000-0005-0000-0000-00001A000000}"/>
    <cellStyle name="Normál 6 3" xfId="14" xr:uid="{00000000-0005-0000-0000-00001B000000}"/>
    <cellStyle name="Normál 6 3 2" xfId="15" xr:uid="{00000000-0005-0000-0000-00001C000000}"/>
    <cellStyle name="Normál 6 3 2 2" xfId="16" xr:uid="{00000000-0005-0000-0000-00001D000000}"/>
    <cellStyle name="Normál 6 3 2 3" xfId="17" xr:uid="{00000000-0005-0000-0000-00001E000000}"/>
    <cellStyle name="Normál 6 3 2 3 2" xfId="41" xr:uid="{00000000-0005-0000-0000-00001F000000}"/>
    <cellStyle name="Normál 6 3 2 3 3" xfId="47" xr:uid="{00000000-0005-0000-0000-000020000000}"/>
    <cellStyle name="Normál 6 3 2 4" xfId="42" xr:uid="{00000000-0005-0000-0000-000021000000}"/>
    <cellStyle name="Normál 6 3 2 5" xfId="43" xr:uid="{00000000-0005-0000-0000-000022000000}"/>
    <cellStyle name="Normál 7" xfId="18" xr:uid="{00000000-0005-0000-0000-000023000000}"/>
    <cellStyle name="Normál 8" xfId="19" xr:uid="{00000000-0005-0000-0000-000024000000}"/>
    <cellStyle name="Normál 8 2" xfId="20" xr:uid="{00000000-0005-0000-0000-000025000000}"/>
    <cellStyle name="Normál 8 2 2" xfId="21" xr:uid="{00000000-0005-0000-0000-000026000000}"/>
    <cellStyle name="Normál 8 2 3" xfId="22" xr:uid="{00000000-0005-0000-0000-000027000000}"/>
    <cellStyle name="Normál 8 3" xfId="46" xr:uid="{00000000-0005-0000-0000-000028000000}"/>
    <cellStyle name="Normál 9" xfId="23" xr:uid="{00000000-0005-0000-0000-000029000000}"/>
    <cellStyle name="Normál 9 2" xfId="24" xr:uid="{00000000-0005-0000-0000-00002A000000}"/>
    <cellStyle name="Normál 9 3" xfId="25" xr:uid="{00000000-0005-0000-0000-00002B000000}"/>
    <cellStyle name="Normál_2007.évi konc. összefoglaló bevétel" xfId="26" xr:uid="{00000000-0005-0000-0000-00002C000000}"/>
    <cellStyle name="Normál_2007.évi konc. összefoglaló bevétel 2" xfId="27" xr:uid="{00000000-0005-0000-0000-00002D000000}"/>
    <cellStyle name="Normál_Beruházási tábla 2007" xfId="28" xr:uid="{00000000-0005-0000-0000-00002E000000}"/>
    <cellStyle name="Normál_EU-s tábla kv-hez_EU projektek tábla" xfId="29" xr:uid="{00000000-0005-0000-0000-00002F000000}"/>
    <cellStyle name="Normál_Hitel tábla 2012 terv" xfId="56" xr:uid="{5ED0998C-20F6-49D1-B5F1-207A9401A4F6}"/>
    <cellStyle name="Normál_Hitel tábla 2012 terv (2)" xfId="57" xr:uid="{7AD8B884-E6D4-411B-BFEE-F031C75676AE}"/>
    <cellStyle name="Normál_hiteltörl költségvetés 2014" xfId="55" xr:uid="{6EC4C101-2867-4298-BADF-647D230C0E46}"/>
    <cellStyle name="Normál_Intézményi bevétel-kiadás" xfId="30" xr:uid="{00000000-0005-0000-0000-000030000000}"/>
    <cellStyle name="Normál_Városfejlesztési Iroda - 2008. kv. tervezés" xfId="31" xr:uid="{00000000-0005-0000-0000-000031000000}"/>
    <cellStyle name="Normál_Városfejlesztési Iroda - 2008. kv. tervezés_2014.évi eredeti előirányzat 2" xfId="32" xr:uid="{00000000-0005-0000-0000-000032000000}"/>
    <cellStyle name="Százalék" xfId="33" builtinId="5"/>
    <cellStyle name="Százalék 2" xfId="34" xr:uid="{00000000-0005-0000-0000-000035000000}"/>
    <cellStyle name="Százalék 3" xfId="35" xr:uid="{00000000-0005-0000-0000-000036000000}"/>
    <cellStyle name="Százalék 3 2" xfId="36" xr:uid="{00000000-0005-0000-0000-000037000000}"/>
  </cellStyles>
  <dxfs count="0"/>
  <tableStyles count="0" defaultTableStyle="TableStyleMedium2" defaultPivotStyle="PivotStyleLight16"/>
  <colors>
    <mruColors>
      <color rgb="FF080808"/>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view="pageBreakPreview" zoomScaleNormal="100" zoomScaleSheetLayoutView="100" workbookViewId="0">
      <selection activeCell="N79" sqref="N79"/>
    </sheetView>
  </sheetViews>
  <sheetFormatPr defaultColWidth="9.28515625" defaultRowHeight="16.5" x14ac:dyDescent="0.3"/>
  <cols>
    <col min="1" max="1" width="3.7109375" style="8" customWidth="1"/>
    <col min="2" max="4" width="5.7109375" style="10" customWidth="1"/>
    <col min="5" max="5" width="59.7109375" style="4" customWidth="1"/>
    <col min="6" max="8" width="13.7109375" style="2" customWidth="1"/>
    <col min="9" max="11" width="15.7109375" style="579" customWidth="1"/>
    <col min="12" max="12" width="9.28515625" style="4"/>
    <col min="13" max="13" width="12.42578125" style="4" bestFit="1" customWidth="1"/>
    <col min="14" max="16384" width="9.28515625" style="4"/>
  </cols>
  <sheetData>
    <row r="1" spans="1:11" x14ac:dyDescent="0.3">
      <c r="B1" s="1230" t="s">
        <v>752</v>
      </c>
      <c r="C1" s="1230"/>
      <c r="D1" s="1230"/>
      <c r="E1" s="1230"/>
      <c r="F1" s="4"/>
      <c r="G1" s="4"/>
      <c r="H1" s="4"/>
      <c r="I1" s="15"/>
      <c r="J1" s="15"/>
    </row>
    <row r="2" spans="1:11" x14ac:dyDescent="0.3">
      <c r="B2" s="154"/>
      <c r="C2" s="154"/>
      <c r="D2" s="154"/>
      <c r="E2" s="154"/>
      <c r="F2" s="4"/>
      <c r="G2" s="4"/>
      <c r="H2" s="4"/>
      <c r="I2" s="15"/>
      <c r="J2" s="15"/>
    </row>
    <row r="3" spans="1:11" s="1" customFormat="1" ht="25.15" customHeight="1" x14ac:dyDescent="0.3">
      <c r="A3" s="8"/>
      <c r="B3" s="1231" t="s">
        <v>128</v>
      </c>
      <c r="C3" s="1231"/>
      <c r="D3" s="1231"/>
      <c r="E3" s="1231"/>
      <c r="F3" s="1231"/>
      <c r="G3" s="1231"/>
      <c r="H3" s="1231"/>
      <c r="I3" s="1231"/>
      <c r="J3" s="1231"/>
      <c r="K3" s="1231"/>
    </row>
    <row r="4" spans="1:11" s="1" customFormat="1" ht="25.15" customHeight="1" x14ac:dyDescent="0.3">
      <c r="A4" s="8"/>
      <c r="B4" s="1231" t="s">
        <v>762</v>
      </c>
      <c r="C4" s="1231"/>
      <c r="D4" s="1231"/>
      <c r="E4" s="1231"/>
      <c r="F4" s="1231"/>
      <c r="G4" s="1231"/>
      <c r="H4" s="1231"/>
      <c r="I4" s="1231"/>
      <c r="J4" s="1231"/>
      <c r="K4" s="1231"/>
    </row>
    <row r="5" spans="1:11" s="585" customFormat="1" ht="15" x14ac:dyDescent="0.3">
      <c r="A5" s="8"/>
      <c r="B5" s="580"/>
      <c r="C5" s="580"/>
      <c r="D5" s="580"/>
      <c r="E5" s="580"/>
      <c r="F5" s="581"/>
      <c r="G5" s="581"/>
      <c r="H5" s="582"/>
      <c r="I5" s="583"/>
      <c r="J5" s="583"/>
      <c r="K5" s="584"/>
    </row>
    <row r="6" spans="1:11" s="76" customFormat="1" ht="17.25" customHeight="1" thickBot="1" x14ac:dyDescent="0.35">
      <c r="A6" s="8"/>
      <c r="B6" s="586" t="s">
        <v>1</v>
      </c>
      <c r="C6" s="586" t="s">
        <v>3</v>
      </c>
      <c r="D6" s="586" t="s">
        <v>2</v>
      </c>
      <c r="E6" s="586" t="s">
        <v>4</v>
      </c>
      <c r="F6" s="587" t="s">
        <v>5</v>
      </c>
      <c r="G6" s="587" t="s">
        <v>15</v>
      </c>
      <c r="H6" s="587" t="s">
        <v>16</v>
      </c>
      <c r="I6" s="587" t="s">
        <v>17</v>
      </c>
      <c r="J6" s="5" t="s">
        <v>32</v>
      </c>
      <c r="K6" s="588" t="s">
        <v>28</v>
      </c>
    </row>
    <row r="7" spans="1:11" s="598" customFormat="1" ht="80.099999999999994" customHeight="1" thickBot="1" x14ac:dyDescent="0.35">
      <c r="A7" s="589"/>
      <c r="B7" s="590" t="s">
        <v>18</v>
      </c>
      <c r="C7" s="591" t="s">
        <v>305</v>
      </c>
      <c r="D7" s="591" t="s">
        <v>306</v>
      </c>
      <c r="E7" s="592" t="s">
        <v>6</v>
      </c>
      <c r="F7" s="593" t="s">
        <v>571</v>
      </c>
      <c r="G7" s="594" t="s">
        <v>494</v>
      </c>
      <c r="H7" s="595" t="s">
        <v>676</v>
      </c>
      <c r="I7" s="596" t="s">
        <v>568</v>
      </c>
      <c r="J7" s="592" t="s">
        <v>699</v>
      </c>
      <c r="K7" s="597" t="s">
        <v>750</v>
      </c>
    </row>
    <row r="8" spans="1:11" s="605" customFormat="1" ht="36" customHeight="1" x14ac:dyDescent="0.35">
      <c r="A8" s="589">
        <v>1</v>
      </c>
      <c r="B8" s="599"/>
      <c r="C8" s="600">
        <v>1</v>
      </c>
      <c r="D8" s="600"/>
      <c r="E8" s="601" t="s">
        <v>103</v>
      </c>
      <c r="F8" s="602">
        <f>SUM(F9,F22,F34,F40,F43,F21,F39)</f>
        <v>33712776</v>
      </c>
      <c r="G8" s="602">
        <f>SUM(G9,G22,G34,G40,G43,G21,G39)</f>
        <v>26826816</v>
      </c>
      <c r="H8" s="602">
        <f>SUM(H9,H22,H34,H40,H43,H21,H39)</f>
        <v>28369256</v>
      </c>
      <c r="I8" s="603">
        <f>SUM(I9,I22,I34,I40,I43,I21,I39)</f>
        <v>25716683</v>
      </c>
      <c r="J8" s="602">
        <f>SUM(J9,J22,J34,J40,J43,J21,J39)</f>
        <v>25953240</v>
      </c>
      <c r="K8" s="604">
        <f t="shared" ref="K8" si="0">SUM(K9,K22,K34,K40,K43,K21,K39)</f>
        <v>14141056</v>
      </c>
    </row>
    <row r="9" spans="1:11" s="605" customFormat="1" ht="36" customHeight="1" x14ac:dyDescent="0.35">
      <c r="A9" s="589">
        <v>2</v>
      </c>
      <c r="B9" s="606">
        <v>18</v>
      </c>
      <c r="C9" s="607"/>
      <c r="D9" s="607">
        <v>1</v>
      </c>
      <c r="E9" s="608" t="s">
        <v>129</v>
      </c>
      <c r="F9" s="609">
        <f t="shared" ref="F9:J9" si="1">SUM(F10,F19:F19)</f>
        <v>7999614</v>
      </c>
      <c r="G9" s="609">
        <f t="shared" si="1"/>
        <v>8407420</v>
      </c>
      <c r="H9" s="609">
        <f t="shared" si="1"/>
        <v>8806897</v>
      </c>
      <c r="I9" s="610">
        <f>SUM(I10,I19:I19)</f>
        <v>8132955</v>
      </c>
      <c r="J9" s="611">
        <f t="shared" si="1"/>
        <v>8330146</v>
      </c>
      <c r="K9" s="612">
        <f>SUM(K10,K19:K19)</f>
        <v>4254862</v>
      </c>
    </row>
    <row r="10" spans="1:11" s="618" customFormat="1" ht="17.25" x14ac:dyDescent="0.35">
      <c r="A10" s="589">
        <v>3</v>
      </c>
      <c r="B10" s="6"/>
      <c r="C10" s="10"/>
      <c r="D10" s="10"/>
      <c r="E10" s="613" t="s">
        <v>130</v>
      </c>
      <c r="F10" s="614">
        <f>SUM(F11:F18)</f>
        <v>6825509</v>
      </c>
      <c r="G10" s="614">
        <f>SUM(G11:G18)</f>
        <v>6886393</v>
      </c>
      <c r="H10" s="614">
        <f>SUM(H11:H18)</f>
        <v>7246465</v>
      </c>
      <c r="I10" s="615">
        <f>SUM(I11:I18)</f>
        <v>7246648</v>
      </c>
      <c r="J10" s="616">
        <f>SUM(J11:J18)</f>
        <v>7425319</v>
      </c>
      <c r="K10" s="617">
        <f t="shared" ref="K10" si="2">SUM(K11:K18)</f>
        <v>3930143</v>
      </c>
    </row>
    <row r="11" spans="1:11" ht="17.100000000000001" customHeight="1" x14ac:dyDescent="0.3">
      <c r="A11" s="589">
        <v>4</v>
      </c>
      <c r="B11" s="619"/>
      <c r="C11" s="620"/>
      <c r="D11" s="620"/>
      <c r="E11" s="621" t="s">
        <v>362</v>
      </c>
      <c r="F11" s="2">
        <v>1263768</v>
      </c>
      <c r="G11" s="2">
        <v>1358062</v>
      </c>
      <c r="H11" s="2">
        <v>1358062</v>
      </c>
      <c r="I11" s="622">
        <v>1355095</v>
      </c>
      <c r="J11" s="579">
        <v>1395350</v>
      </c>
      <c r="K11" s="503">
        <v>725582</v>
      </c>
    </row>
    <row r="12" spans="1:11" ht="32.25" customHeight="1" x14ac:dyDescent="0.3">
      <c r="A12" s="589">
        <v>5</v>
      </c>
      <c r="B12" s="619"/>
      <c r="C12" s="620"/>
      <c r="D12" s="620"/>
      <c r="E12" s="621" t="s">
        <v>363</v>
      </c>
      <c r="F12" s="29">
        <v>1575246</v>
      </c>
      <c r="G12" s="29">
        <v>2022488</v>
      </c>
      <c r="H12" s="29">
        <v>2022367</v>
      </c>
      <c r="I12" s="623">
        <v>2233104</v>
      </c>
      <c r="J12" s="624">
        <v>2229250</v>
      </c>
      <c r="K12" s="503">
        <v>1161214</v>
      </c>
    </row>
    <row r="13" spans="1:11" ht="33.75" customHeight="1" x14ac:dyDescent="0.3">
      <c r="A13" s="589">
        <v>6</v>
      </c>
      <c r="B13" s="619"/>
      <c r="C13" s="620"/>
      <c r="D13" s="620"/>
      <c r="E13" s="621" t="s">
        <v>364</v>
      </c>
      <c r="F13" s="29">
        <v>1831922</v>
      </c>
      <c r="G13" s="29">
        <v>1836205</v>
      </c>
      <c r="H13" s="29">
        <v>2139405</v>
      </c>
      <c r="I13" s="623">
        <f>2848153-888473</f>
        <v>1959680</v>
      </c>
      <c r="J13" s="624">
        <v>2093625</v>
      </c>
      <c r="K13" s="503">
        <v>1150769</v>
      </c>
    </row>
    <row r="14" spans="1:11" ht="32.25" customHeight="1" x14ac:dyDescent="0.35">
      <c r="A14" s="589">
        <v>7</v>
      </c>
      <c r="B14" s="619"/>
      <c r="C14" s="620"/>
      <c r="D14" s="620"/>
      <c r="E14" s="621" t="s">
        <v>367</v>
      </c>
      <c r="F14" s="2">
        <v>731430</v>
      </c>
      <c r="G14" s="2">
        <v>872006</v>
      </c>
      <c r="H14" s="2">
        <v>875057</v>
      </c>
      <c r="I14" s="622">
        <v>888473</v>
      </c>
      <c r="J14" s="579">
        <v>888473</v>
      </c>
      <c r="K14" s="499">
        <v>462006</v>
      </c>
    </row>
    <row r="15" spans="1:11" ht="17.100000000000001" customHeight="1" x14ac:dyDescent="0.35">
      <c r="A15" s="589">
        <v>8</v>
      </c>
      <c r="B15" s="619"/>
      <c r="C15" s="620"/>
      <c r="D15" s="620"/>
      <c r="E15" s="621" t="s">
        <v>365</v>
      </c>
      <c r="F15" s="2">
        <v>782440</v>
      </c>
      <c r="G15" s="2">
        <v>793912</v>
      </c>
      <c r="H15" s="2">
        <v>814784</v>
      </c>
      <c r="I15" s="622">
        <v>808436</v>
      </c>
      <c r="J15" s="579">
        <v>808436</v>
      </c>
      <c r="K15" s="499">
        <v>420387</v>
      </c>
    </row>
    <row r="16" spans="1:11" ht="36" customHeight="1" x14ac:dyDescent="0.3">
      <c r="A16" s="589">
        <v>9</v>
      </c>
      <c r="B16" s="619"/>
      <c r="C16" s="620"/>
      <c r="D16" s="620"/>
      <c r="E16" s="621" t="s">
        <v>131</v>
      </c>
      <c r="F16" s="29">
        <v>71628</v>
      </c>
      <c r="G16" s="29">
        <v>3720</v>
      </c>
      <c r="H16" s="29">
        <v>36790</v>
      </c>
      <c r="I16" s="623">
        <v>1860</v>
      </c>
      <c r="J16" s="624">
        <v>10185</v>
      </c>
      <c r="K16" s="503">
        <v>10185</v>
      </c>
    </row>
    <row r="17" spans="1:13" ht="31.5" customHeight="1" x14ac:dyDescent="0.35">
      <c r="A17" s="589">
        <v>10</v>
      </c>
      <c r="B17" s="619"/>
      <c r="C17" s="620"/>
      <c r="D17" s="620"/>
      <c r="E17" s="621" t="s">
        <v>382</v>
      </c>
      <c r="F17" s="625">
        <v>569075</v>
      </c>
      <c r="G17" s="625"/>
      <c r="H17" s="625"/>
      <c r="I17" s="626"/>
      <c r="J17" s="627"/>
      <c r="K17" s="499"/>
    </row>
    <row r="18" spans="1:13" ht="17.25" x14ac:dyDescent="0.35">
      <c r="A18" s="589">
        <v>11</v>
      </c>
      <c r="B18" s="6"/>
      <c r="C18" s="620"/>
      <c r="D18" s="620"/>
      <c r="E18" s="621" t="s">
        <v>366</v>
      </c>
      <c r="I18" s="622"/>
      <c r="K18" s="499"/>
    </row>
    <row r="19" spans="1:13" s="618" customFormat="1" ht="17.25" x14ac:dyDescent="0.35">
      <c r="A19" s="589">
        <v>12</v>
      </c>
      <c r="B19" s="6"/>
      <c r="C19" s="620"/>
      <c r="D19" s="620"/>
      <c r="E19" s="628" t="s">
        <v>132</v>
      </c>
      <c r="F19" s="614">
        <v>1174105</v>
      </c>
      <c r="G19" s="614">
        <v>1521027</v>
      </c>
      <c r="H19" s="614">
        <v>1560432</v>
      </c>
      <c r="I19" s="615">
        <v>886307</v>
      </c>
      <c r="J19" s="616">
        <v>904827</v>
      </c>
      <c r="K19" s="617">
        <v>324719</v>
      </c>
    </row>
    <row r="20" spans="1:13" ht="16.5" customHeight="1" x14ac:dyDescent="0.35">
      <c r="A20" s="589">
        <v>13</v>
      </c>
      <c r="B20" s="6"/>
      <c r="C20" s="620"/>
      <c r="D20" s="620"/>
      <c r="E20" s="621" t="s">
        <v>133</v>
      </c>
      <c r="F20" s="2">
        <v>295289</v>
      </c>
      <c r="G20" s="2">
        <v>325200</v>
      </c>
      <c r="H20" s="2">
        <v>357474</v>
      </c>
      <c r="I20" s="622">
        <v>350400</v>
      </c>
      <c r="J20" s="579">
        <v>357533</v>
      </c>
      <c r="K20" s="499">
        <v>186150</v>
      </c>
    </row>
    <row r="21" spans="1:13" ht="36" customHeight="1" x14ac:dyDescent="0.35">
      <c r="A21" s="589">
        <v>14</v>
      </c>
      <c r="B21" s="629" t="s">
        <v>286</v>
      </c>
      <c r="C21" s="620"/>
      <c r="D21" s="630">
        <v>1</v>
      </c>
      <c r="E21" s="608" t="s">
        <v>612</v>
      </c>
      <c r="F21" s="614">
        <v>287279</v>
      </c>
      <c r="G21" s="614">
        <v>32938</v>
      </c>
      <c r="H21" s="614">
        <v>203738</v>
      </c>
      <c r="I21" s="615">
        <v>15514</v>
      </c>
      <c r="J21" s="616">
        <v>32105</v>
      </c>
      <c r="K21" s="499">
        <f>'3.Inbe '!K107</f>
        <v>26964</v>
      </c>
    </row>
    <row r="22" spans="1:13" s="618" customFormat="1" ht="36" customHeight="1" x14ac:dyDescent="0.35">
      <c r="A22" s="589">
        <v>15</v>
      </c>
      <c r="B22" s="6">
        <v>18</v>
      </c>
      <c r="C22" s="10"/>
      <c r="D22" s="10">
        <v>2</v>
      </c>
      <c r="E22" s="618" t="s">
        <v>134</v>
      </c>
      <c r="F22" s="614">
        <f t="shared" ref="F22:K22" si="3">SUM(F23,F30:F33)</f>
        <v>15107943</v>
      </c>
      <c r="G22" s="614">
        <f t="shared" si="3"/>
        <v>13625150</v>
      </c>
      <c r="H22" s="614">
        <f t="shared" si="3"/>
        <v>14500214</v>
      </c>
      <c r="I22" s="615">
        <f t="shared" si="3"/>
        <v>14930300</v>
      </c>
      <c r="J22" s="616">
        <f t="shared" si="3"/>
        <v>14936800</v>
      </c>
      <c r="K22" s="617">
        <f t="shared" si="3"/>
        <v>8036913</v>
      </c>
      <c r="M22" s="614"/>
    </row>
    <row r="23" spans="1:13" s="618" customFormat="1" ht="17.25" x14ac:dyDescent="0.35">
      <c r="A23" s="589">
        <v>16</v>
      </c>
      <c r="B23" s="6"/>
      <c r="C23" s="10"/>
      <c r="D23" s="10"/>
      <c r="E23" s="631" t="s">
        <v>135</v>
      </c>
      <c r="F23" s="632">
        <f t="shared" ref="F23:K23" si="4">SUM(F24:F29)</f>
        <v>15080210</v>
      </c>
      <c r="G23" s="632">
        <f t="shared" si="4"/>
        <v>13625000</v>
      </c>
      <c r="H23" s="632">
        <f t="shared" si="4"/>
        <v>14484948</v>
      </c>
      <c r="I23" s="633">
        <f>SUM(I24:I29)</f>
        <v>14925000</v>
      </c>
      <c r="J23" s="634">
        <f t="shared" si="4"/>
        <v>14925000</v>
      </c>
      <c r="K23" s="617">
        <f t="shared" si="4"/>
        <v>8019828</v>
      </c>
    </row>
    <row r="24" spans="1:13" ht="16.5" customHeight="1" x14ac:dyDescent="0.35">
      <c r="A24" s="589">
        <v>17</v>
      </c>
      <c r="B24" s="6"/>
      <c r="E24" s="621" t="s">
        <v>98</v>
      </c>
      <c r="F24" s="2">
        <v>1373659</v>
      </c>
      <c r="G24" s="2">
        <v>1310000</v>
      </c>
      <c r="H24" s="2">
        <v>1321811</v>
      </c>
      <c r="I24" s="622">
        <v>1700000</v>
      </c>
      <c r="J24" s="579">
        <v>1700000</v>
      </c>
      <c r="K24" s="499">
        <v>957173</v>
      </c>
    </row>
    <row r="25" spans="1:13" ht="17.25" x14ac:dyDescent="0.35">
      <c r="A25" s="589">
        <v>18</v>
      </c>
      <c r="B25" s="6"/>
      <c r="E25" s="621" t="s">
        <v>101</v>
      </c>
      <c r="F25" s="2">
        <v>57941</v>
      </c>
      <c r="G25" s="2">
        <v>45000</v>
      </c>
      <c r="H25" s="2">
        <v>49027</v>
      </c>
      <c r="I25" s="622">
        <v>45000</v>
      </c>
      <c r="J25" s="579">
        <v>45000</v>
      </c>
      <c r="K25" s="499">
        <v>17092</v>
      </c>
    </row>
    <row r="26" spans="1:13" ht="17.25" x14ac:dyDescent="0.35">
      <c r="A26" s="589">
        <v>19</v>
      </c>
      <c r="B26" s="6"/>
      <c r="E26" s="621" t="s">
        <v>100</v>
      </c>
      <c r="F26" s="2">
        <v>153455</v>
      </c>
      <c r="G26" s="2">
        <v>145000</v>
      </c>
      <c r="H26" s="2">
        <v>151635</v>
      </c>
      <c r="I26" s="622">
        <v>145000</v>
      </c>
      <c r="J26" s="579">
        <v>145000</v>
      </c>
      <c r="K26" s="499">
        <v>77867</v>
      </c>
    </row>
    <row r="27" spans="1:13" ht="17.25" x14ac:dyDescent="0.35">
      <c r="A27" s="589">
        <v>20</v>
      </c>
      <c r="B27" s="6"/>
      <c r="E27" s="621" t="s">
        <v>99</v>
      </c>
      <c r="F27" s="2">
        <v>127207</v>
      </c>
      <c r="G27" s="2">
        <v>110000</v>
      </c>
      <c r="H27" s="2">
        <v>137993</v>
      </c>
      <c r="I27" s="622">
        <v>115000</v>
      </c>
      <c r="J27" s="579">
        <v>115000</v>
      </c>
      <c r="K27" s="499">
        <v>58659</v>
      </c>
    </row>
    <row r="28" spans="1:13" ht="17.25" x14ac:dyDescent="0.35">
      <c r="A28" s="589">
        <v>21</v>
      </c>
      <c r="B28" s="6"/>
      <c r="E28" s="621" t="s">
        <v>97</v>
      </c>
      <c r="F28" s="2">
        <v>13330454</v>
      </c>
      <c r="G28" s="2">
        <v>12000000</v>
      </c>
      <c r="H28" s="2">
        <v>12787629</v>
      </c>
      <c r="I28" s="622">
        <v>12900000</v>
      </c>
      <c r="J28" s="579">
        <v>12900000</v>
      </c>
      <c r="K28" s="499">
        <v>6890526</v>
      </c>
    </row>
    <row r="29" spans="1:13" ht="17.25" x14ac:dyDescent="0.35">
      <c r="A29" s="589">
        <v>22</v>
      </c>
      <c r="B29" s="6"/>
      <c r="E29" s="621" t="s">
        <v>136</v>
      </c>
      <c r="F29" s="2">
        <v>37494</v>
      </c>
      <c r="G29" s="2">
        <v>15000</v>
      </c>
      <c r="H29" s="2">
        <v>36853</v>
      </c>
      <c r="I29" s="622">
        <v>20000</v>
      </c>
      <c r="J29" s="579">
        <v>20000</v>
      </c>
      <c r="K29" s="499">
        <v>18511</v>
      </c>
    </row>
    <row r="30" spans="1:13" s="618" customFormat="1" ht="33.75" x14ac:dyDescent="0.35">
      <c r="A30" s="589">
        <v>23</v>
      </c>
      <c r="B30" s="6"/>
      <c r="C30" s="10"/>
      <c r="D30" s="10"/>
      <c r="E30" s="631" t="s">
        <v>137</v>
      </c>
      <c r="F30" s="632">
        <v>13599</v>
      </c>
      <c r="G30" s="632">
        <v>150</v>
      </c>
      <c r="H30" s="632">
        <v>7121</v>
      </c>
      <c r="I30" s="633">
        <v>5300</v>
      </c>
      <c r="J30" s="634">
        <v>5300</v>
      </c>
      <c r="K30" s="499">
        <v>8760</v>
      </c>
      <c r="M30" s="614"/>
    </row>
    <row r="31" spans="1:13" s="618" customFormat="1" ht="17.25" x14ac:dyDescent="0.35">
      <c r="A31" s="589">
        <v>24</v>
      </c>
      <c r="B31" s="6"/>
      <c r="C31" s="10"/>
      <c r="D31" s="10"/>
      <c r="E31" s="631" t="s">
        <v>389</v>
      </c>
      <c r="F31" s="632">
        <v>6524</v>
      </c>
      <c r="G31" s="632"/>
      <c r="H31" s="632">
        <v>6619</v>
      </c>
      <c r="I31" s="633"/>
      <c r="J31" s="634">
        <v>6500</v>
      </c>
      <c r="K31" s="499">
        <v>6500</v>
      </c>
    </row>
    <row r="32" spans="1:13" s="618" customFormat="1" ht="17.25" x14ac:dyDescent="0.35">
      <c r="A32" s="589">
        <v>25</v>
      </c>
      <c r="B32" s="6"/>
      <c r="C32" s="10"/>
      <c r="D32" s="10"/>
      <c r="E32" s="631" t="s">
        <v>390</v>
      </c>
      <c r="F32" s="632">
        <v>7600</v>
      </c>
      <c r="G32" s="632"/>
      <c r="H32" s="632">
        <v>650</v>
      </c>
      <c r="I32" s="633"/>
      <c r="J32" s="634"/>
      <c r="K32" s="499">
        <v>1200</v>
      </c>
    </row>
    <row r="33" spans="1:13" s="618" customFormat="1" ht="17.25" x14ac:dyDescent="0.35">
      <c r="A33" s="589">
        <v>26</v>
      </c>
      <c r="B33" s="6"/>
      <c r="C33" s="10"/>
      <c r="D33" s="10"/>
      <c r="E33" s="631" t="s">
        <v>391</v>
      </c>
      <c r="F33" s="632">
        <v>10</v>
      </c>
      <c r="G33" s="632"/>
      <c r="H33" s="632">
        <v>876</v>
      </c>
      <c r="I33" s="633"/>
      <c r="J33" s="634"/>
      <c r="K33" s="499">
        <v>625</v>
      </c>
    </row>
    <row r="34" spans="1:13" s="618" customFormat="1" ht="36" customHeight="1" x14ac:dyDescent="0.35">
      <c r="A34" s="589">
        <v>27</v>
      </c>
      <c r="B34" s="6">
        <v>18</v>
      </c>
      <c r="C34" s="10"/>
      <c r="D34" s="10">
        <v>3</v>
      </c>
      <c r="E34" s="618" t="s">
        <v>106</v>
      </c>
      <c r="F34" s="614">
        <f t="shared" ref="F34:J34" si="5">SUM(F35:F38)</f>
        <v>7382152</v>
      </c>
      <c r="G34" s="614">
        <f t="shared" si="5"/>
        <v>3494801</v>
      </c>
      <c r="H34" s="614">
        <f t="shared" si="5"/>
        <v>2644521</v>
      </c>
      <c r="I34" s="615">
        <f t="shared" si="5"/>
        <v>1328207</v>
      </c>
      <c r="J34" s="616">
        <f t="shared" si="5"/>
        <v>1328531</v>
      </c>
      <c r="K34" s="617">
        <f>SUM(K35:K38)</f>
        <v>974993</v>
      </c>
    </row>
    <row r="35" spans="1:13" ht="16.5" customHeight="1" x14ac:dyDescent="0.35">
      <c r="A35" s="589">
        <v>28</v>
      </c>
      <c r="B35" s="6"/>
      <c r="E35" s="621" t="s">
        <v>228</v>
      </c>
      <c r="F35" s="2">
        <v>651630</v>
      </c>
      <c r="G35" s="2">
        <v>412241</v>
      </c>
      <c r="H35" s="2">
        <v>649353</v>
      </c>
      <c r="I35" s="622">
        <v>615228</v>
      </c>
      <c r="J35" s="579">
        <v>615228</v>
      </c>
      <c r="K35" s="499">
        <v>444480</v>
      </c>
    </row>
    <row r="36" spans="1:13" ht="16.5" customHeight="1" x14ac:dyDescent="0.35">
      <c r="A36" s="589">
        <v>29</v>
      </c>
      <c r="B36" s="6"/>
      <c r="E36" s="621" t="s">
        <v>506</v>
      </c>
      <c r="F36" s="2">
        <v>1646737</v>
      </c>
      <c r="G36" s="2">
        <v>1723717</v>
      </c>
      <c r="H36" s="2">
        <v>210820</v>
      </c>
      <c r="I36" s="622">
        <v>368222</v>
      </c>
      <c r="J36" s="579">
        <v>368222</v>
      </c>
      <c r="K36" s="499">
        <v>111635</v>
      </c>
    </row>
    <row r="37" spans="1:13" ht="16.5" customHeight="1" x14ac:dyDescent="0.35">
      <c r="A37" s="589">
        <v>30</v>
      </c>
      <c r="B37" s="6"/>
      <c r="E37" s="621" t="s">
        <v>229</v>
      </c>
      <c r="F37" s="2">
        <v>3212029</v>
      </c>
      <c r="G37" s="2">
        <v>716355</v>
      </c>
      <c r="H37" s="2">
        <v>691017</v>
      </c>
      <c r="I37" s="622">
        <v>342395</v>
      </c>
      <c r="J37" s="579">
        <v>342395</v>
      </c>
      <c r="K37" s="499">
        <v>190825</v>
      </c>
    </row>
    <row r="38" spans="1:13" ht="16.5" customHeight="1" x14ac:dyDescent="0.35">
      <c r="A38" s="589">
        <v>31</v>
      </c>
      <c r="B38" s="6"/>
      <c r="E38" s="621" t="s">
        <v>484</v>
      </c>
      <c r="F38" s="2">
        <v>1871756</v>
      </c>
      <c r="G38" s="2">
        <v>642488</v>
      </c>
      <c r="H38" s="2">
        <v>1093331</v>
      </c>
      <c r="I38" s="622">
        <v>2362</v>
      </c>
      <c r="J38" s="579">
        <v>2686</v>
      </c>
      <c r="K38" s="499">
        <v>228053</v>
      </c>
      <c r="M38" s="2"/>
    </row>
    <row r="39" spans="1:13" s="618" customFormat="1" ht="36" customHeight="1" x14ac:dyDescent="0.35">
      <c r="A39" s="589">
        <v>32</v>
      </c>
      <c r="B39" s="635" t="s">
        <v>286</v>
      </c>
      <c r="C39" s="10"/>
      <c r="D39" s="10">
        <v>3</v>
      </c>
      <c r="E39" s="618" t="s">
        <v>138</v>
      </c>
      <c r="F39" s="614">
        <v>1596147</v>
      </c>
      <c r="G39" s="614">
        <v>1095969</v>
      </c>
      <c r="H39" s="614">
        <v>1577079</v>
      </c>
      <c r="I39" s="615">
        <v>1240860</v>
      </c>
      <c r="J39" s="616">
        <v>1255264</v>
      </c>
      <c r="K39" s="617">
        <f>'3.Inbe '!J107</f>
        <v>781405</v>
      </c>
    </row>
    <row r="40" spans="1:13" s="618" customFormat="1" ht="36" customHeight="1" x14ac:dyDescent="0.35">
      <c r="A40" s="589">
        <v>33</v>
      </c>
      <c r="B40" s="6">
        <v>18</v>
      </c>
      <c r="C40" s="10"/>
      <c r="D40" s="10">
        <v>4</v>
      </c>
      <c r="E40" s="618" t="s">
        <v>139</v>
      </c>
      <c r="F40" s="614">
        <v>934001</v>
      </c>
      <c r="G40" s="614">
        <v>127555</v>
      </c>
      <c r="H40" s="614">
        <v>531802</v>
      </c>
      <c r="I40" s="615">
        <f>39086+24761</f>
        <v>63847</v>
      </c>
      <c r="J40" s="616">
        <v>69077</v>
      </c>
      <c r="K40" s="617">
        <v>60527</v>
      </c>
    </row>
    <row r="41" spans="1:13" s="618" customFormat="1" ht="16.5" customHeight="1" x14ac:dyDescent="0.35">
      <c r="A41" s="589">
        <v>34</v>
      </c>
      <c r="B41" s="6"/>
      <c r="C41" s="10"/>
      <c r="D41" s="10"/>
      <c r="E41" s="621" t="s">
        <v>385</v>
      </c>
      <c r="F41" s="2"/>
      <c r="G41" s="2"/>
      <c r="H41" s="2"/>
      <c r="I41" s="622"/>
      <c r="J41" s="579"/>
      <c r="K41" s="617"/>
    </row>
    <row r="42" spans="1:13" s="618" customFormat="1" ht="16.5" customHeight="1" x14ac:dyDescent="0.35">
      <c r="A42" s="589">
        <v>35</v>
      </c>
      <c r="B42" s="6"/>
      <c r="C42" s="10"/>
      <c r="D42" s="10"/>
      <c r="E42" s="621" t="s">
        <v>613</v>
      </c>
      <c r="F42" s="2"/>
      <c r="G42" s="2"/>
      <c r="H42" s="2">
        <v>0</v>
      </c>
      <c r="I42" s="622"/>
      <c r="J42" s="579"/>
      <c r="K42" s="617"/>
    </row>
    <row r="43" spans="1:13" s="618" customFormat="1" ht="36" customHeight="1" x14ac:dyDescent="0.35">
      <c r="A43" s="589">
        <v>36</v>
      </c>
      <c r="B43" s="636" t="s">
        <v>286</v>
      </c>
      <c r="C43" s="637"/>
      <c r="D43" s="638">
        <v>4</v>
      </c>
      <c r="E43" s="639" t="s">
        <v>140</v>
      </c>
      <c r="F43" s="640">
        <v>405640</v>
      </c>
      <c r="G43" s="640">
        <v>42983</v>
      </c>
      <c r="H43" s="640">
        <v>105005</v>
      </c>
      <c r="I43" s="641">
        <v>5000</v>
      </c>
      <c r="J43" s="642">
        <v>1317</v>
      </c>
      <c r="K43" s="617">
        <f>'3.Inbe '!L107</f>
        <v>5392</v>
      </c>
    </row>
    <row r="44" spans="1:13" s="605" customFormat="1" ht="36" customHeight="1" x14ac:dyDescent="0.35">
      <c r="A44" s="589">
        <v>37</v>
      </c>
      <c r="B44" s="643"/>
      <c r="C44" s="644">
        <v>2</v>
      </c>
      <c r="D44" s="644"/>
      <c r="E44" s="645" t="s">
        <v>104</v>
      </c>
      <c r="F44" s="646">
        <f t="shared" ref="F44:H44" si="6">SUM(F45,F48:F49,F51:F53)</f>
        <v>11786876</v>
      </c>
      <c r="G44" s="646">
        <f t="shared" si="6"/>
        <v>4031558</v>
      </c>
      <c r="H44" s="647">
        <f t="shared" si="6"/>
        <v>3919512</v>
      </c>
      <c r="I44" s="646">
        <f>SUM(I45,I48:I49,I51:I53)</f>
        <v>676200</v>
      </c>
      <c r="J44" s="646">
        <f>SUM(J45,J48:J49,J51:J53)</f>
        <v>929857</v>
      </c>
      <c r="K44" s="648">
        <f>SUM(K45,K48:K49,K51:K53)</f>
        <v>59310</v>
      </c>
    </row>
    <row r="45" spans="1:13" s="618" customFormat="1" ht="36" customHeight="1" x14ac:dyDescent="0.35">
      <c r="A45" s="589">
        <v>38</v>
      </c>
      <c r="B45" s="6"/>
      <c r="C45" s="10"/>
      <c r="D45" s="10">
        <v>5</v>
      </c>
      <c r="E45" s="618" t="s">
        <v>614</v>
      </c>
      <c r="F45" s="614">
        <f>SUM(F46,F47)</f>
        <v>2689454</v>
      </c>
      <c r="G45" s="614">
        <f>SUM(G46,G47)</f>
        <v>2594724</v>
      </c>
      <c r="H45" s="614">
        <f>SUM(H46,H47)</f>
        <v>2594724</v>
      </c>
      <c r="I45" s="615">
        <f>SUM(I46,I47)</f>
        <v>198205</v>
      </c>
      <c r="J45" s="649">
        <f>SUM(J46,J47)</f>
        <v>447307</v>
      </c>
      <c r="K45" s="617">
        <f t="shared" ref="K45" si="7">SUM(K46,K47)</f>
        <v>0</v>
      </c>
    </row>
    <row r="46" spans="1:13" ht="17.25" x14ac:dyDescent="0.35">
      <c r="A46" s="589">
        <v>39</v>
      </c>
      <c r="B46" s="6">
        <v>18</v>
      </c>
      <c r="E46" s="650" t="s">
        <v>141</v>
      </c>
      <c r="I46" s="622"/>
      <c r="K46" s="499"/>
    </row>
    <row r="47" spans="1:13" ht="17.25" x14ac:dyDescent="0.35">
      <c r="A47" s="589">
        <v>40</v>
      </c>
      <c r="B47" s="6">
        <v>18</v>
      </c>
      <c r="C47" s="620"/>
      <c r="D47" s="620"/>
      <c r="E47" s="650" t="s">
        <v>142</v>
      </c>
      <c r="F47" s="2">
        <v>2689454</v>
      </c>
      <c r="G47" s="2">
        <v>2594724</v>
      </c>
      <c r="H47" s="2">
        <v>2594724</v>
      </c>
      <c r="I47" s="622">
        <v>198205</v>
      </c>
      <c r="J47" s="579">
        <v>447307</v>
      </c>
      <c r="K47" s="499"/>
    </row>
    <row r="48" spans="1:13" s="618" customFormat="1" ht="36" customHeight="1" x14ac:dyDescent="0.35">
      <c r="A48" s="589">
        <v>41</v>
      </c>
      <c r="B48" s="651" t="s">
        <v>286</v>
      </c>
      <c r="C48" s="652"/>
      <c r="D48" s="620">
        <v>5</v>
      </c>
      <c r="E48" s="628" t="s">
        <v>615</v>
      </c>
      <c r="F48" s="614">
        <v>69526</v>
      </c>
      <c r="G48" s="614"/>
      <c r="H48" s="614">
        <f>3984+352</f>
        <v>4336</v>
      </c>
      <c r="I48" s="615"/>
      <c r="J48" s="616"/>
      <c r="K48" s="617"/>
    </row>
    <row r="49" spans="1:11" s="618" customFormat="1" ht="36" customHeight="1" x14ac:dyDescent="0.35">
      <c r="A49" s="589">
        <v>42</v>
      </c>
      <c r="B49" s="6">
        <v>18</v>
      </c>
      <c r="C49" s="10"/>
      <c r="D49" s="10">
        <v>6</v>
      </c>
      <c r="E49" s="618" t="s">
        <v>143</v>
      </c>
      <c r="F49" s="614">
        <f>SUM(F50:F50)</f>
        <v>579073</v>
      </c>
      <c r="G49" s="614">
        <f>SUM(G50:G50)</f>
        <v>388700</v>
      </c>
      <c r="H49" s="614">
        <f>SUM(H50:H50)</f>
        <v>76822</v>
      </c>
      <c r="I49" s="615">
        <f>SUM(I50:I50)</f>
        <v>473550</v>
      </c>
      <c r="J49" s="616">
        <f>SUM(J50:J50)</f>
        <v>473550</v>
      </c>
      <c r="K49" s="617">
        <f t="shared" ref="K49" si="8">SUM(K50:K50)</f>
        <v>46905</v>
      </c>
    </row>
    <row r="50" spans="1:11" ht="17.25" x14ac:dyDescent="0.35">
      <c r="A50" s="589">
        <v>43</v>
      </c>
      <c r="B50" s="6"/>
      <c r="E50" s="621" t="s">
        <v>144</v>
      </c>
      <c r="F50" s="2">
        <v>579073</v>
      </c>
      <c r="G50" s="2">
        <v>388700</v>
      </c>
      <c r="H50" s="2">
        <v>76822</v>
      </c>
      <c r="I50" s="622">
        <v>473550</v>
      </c>
      <c r="J50" s="579">
        <v>473550</v>
      </c>
      <c r="K50" s="499">
        <v>46905</v>
      </c>
    </row>
    <row r="51" spans="1:11" ht="36" customHeight="1" x14ac:dyDescent="0.35">
      <c r="A51" s="589">
        <v>44</v>
      </c>
      <c r="B51" s="6"/>
      <c r="D51" s="10">
        <v>6</v>
      </c>
      <c r="E51" s="628" t="s">
        <v>145</v>
      </c>
      <c r="F51" s="614">
        <v>886</v>
      </c>
      <c r="G51" s="614"/>
      <c r="H51" s="614">
        <v>1100</v>
      </c>
      <c r="I51" s="615">
        <v>4445</v>
      </c>
      <c r="J51" s="616">
        <v>3500</v>
      </c>
      <c r="K51" s="617">
        <f>'3.Inbe '!M107</f>
        <v>6905</v>
      </c>
    </row>
    <row r="52" spans="1:11" s="618" customFormat="1" ht="36" customHeight="1" x14ac:dyDescent="0.35">
      <c r="A52" s="589">
        <v>45</v>
      </c>
      <c r="B52" s="6">
        <v>18</v>
      </c>
      <c r="C52" s="10"/>
      <c r="D52" s="10">
        <v>7</v>
      </c>
      <c r="E52" s="618" t="s">
        <v>146</v>
      </c>
      <c r="F52" s="614">
        <v>8351717</v>
      </c>
      <c r="G52" s="614">
        <v>1024140</v>
      </c>
      <c r="H52" s="614">
        <v>1215634</v>
      </c>
      <c r="I52" s="615"/>
      <c r="J52" s="616">
        <v>500</v>
      </c>
      <c r="K52" s="617">
        <v>500</v>
      </c>
    </row>
    <row r="53" spans="1:11" s="618" customFormat="1" ht="36" customHeight="1" x14ac:dyDescent="0.35">
      <c r="A53" s="589">
        <v>46</v>
      </c>
      <c r="B53" s="651" t="s">
        <v>286</v>
      </c>
      <c r="C53" s="652"/>
      <c r="D53" s="620">
        <v>7</v>
      </c>
      <c r="E53" s="653" t="s">
        <v>147</v>
      </c>
      <c r="F53" s="614">
        <v>96220</v>
      </c>
      <c r="G53" s="614">
        <v>23994</v>
      </c>
      <c r="H53" s="614">
        <f>27248-352</f>
        <v>26896</v>
      </c>
      <c r="I53" s="615"/>
      <c r="J53" s="616">
        <v>5000</v>
      </c>
      <c r="K53" s="617">
        <f>'3.Inbe '!O107</f>
        <v>5000</v>
      </c>
    </row>
    <row r="54" spans="1:11" s="660" customFormat="1" ht="36" customHeight="1" x14ac:dyDescent="0.3">
      <c r="A54" s="589">
        <v>47</v>
      </c>
      <c r="B54" s="654">
        <v>18</v>
      </c>
      <c r="C54" s="655"/>
      <c r="D54" s="655"/>
      <c r="E54" s="656" t="s">
        <v>148</v>
      </c>
      <c r="F54" s="657">
        <f>SUM(F55:F55)</f>
        <v>28</v>
      </c>
      <c r="G54" s="657">
        <f>SUM(G55:G55)</f>
        <v>0</v>
      </c>
      <c r="H54" s="657">
        <f>SUM(H55:H55)</f>
        <v>28</v>
      </c>
      <c r="I54" s="658">
        <f>SUM(I55:I55)</f>
        <v>0</v>
      </c>
      <c r="J54" s="659">
        <f t="shared" ref="J54:K54" si="9">SUM(J55:J55)</f>
        <v>0</v>
      </c>
      <c r="K54" s="497">
        <f t="shared" si="9"/>
        <v>0</v>
      </c>
    </row>
    <row r="55" spans="1:11" ht="33.75" x14ac:dyDescent="0.35">
      <c r="A55" s="589">
        <v>48</v>
      </c>
      <c r="B55" s="6"/>
      <c r="C55" s="13"/>
      <c r="D55" s="13"/>
      <c r="E55" s="661" t="s">
        <v>206</v>
      </c>
      <c r="F55" s="662">
        <v>28</v>
      </c>
      <c r="G55" s="662"/>
      <c r="H55" s="662">
        <v>28</v>
      </c>
      <c r="I55" s="663"/>
      <c r="K55" s="499"/>
    </row>
    <row r="56" spans="1:11" s="660" customFormat="1" ht="40.15" customHeight="1" thickBot="1" x14ac:dyDescent="0.35">
      <c r="A56" s="589">
        <v>49</v>
      </c>
      <c r="B56" s="664"/>
      <c r="C56" s="665"/>
      <c r="D56" s="665"/>
      <c r="E56" s="666" t="s">
        <v>149</v>
      </c>
      <c r="F56" s="667">
        <f>SUM(F8,F44,F54)</f>
        <v>45499680</v>
      </c>
      <c r="G56" s="667">
        <f>SUM(G8,G44,G54)</f>
        <v>30858374</v>
      </c>
      <c r="H56" s="667">
        <f>SUM(H8,H44,H54)</f>
        <v>32288796</v>
      </c>
      <c r="I56" s="668">
        <f>SUM(I8,I44,I54)</f>
        <v>26392883</v>
      </c>
      <c r="J56" s="669">
        <f>SUM(J8,J44,J54)</f>
        <v>26883097</v>
      </c>
      <c r="K56" s="500">
        <f t="shared" ref="K56" si="10">SUM(K8,K44,K54)</f>
        <v>14200366</v>
      </c>
    </row>
    <row r="57" spans="1:11" s="660" customFormat="1" ht="40.15" customHeight="1" thickTop="1" thickBot="1" x14ac:dyDescent="0.35">
      <c r="A57" s="589">
        <v>50</v>
      </c>
      <c r="B57" s="670"/>
      <c r="C57" s="671"/>
      <c r="D57" s="671"/>
      <c r="E57" s="672" t="s">
        <v>150</v>
      </c>
      <c r="F57" s="673">
        <f>+F56-'2.Onki'!F40</f>
        <v>-6554468</v>
      </c>
      <c r="G57" s="673">
        <f>+G56-'2.Onki'!G40</f>
        <v>-12231660</v>
      </c>
      <c r="H57" s="673">
        <f>+H56-'2.Onki'!H40</f>
        <v>-1457728</v>
      </c>
      <c r="I57" s="674">
        <f>+I56-'2.Onki'!I40</f>
        <v>-12041562</v>
      </c>
      <c r="J57" s="675">
        <f>+J56-'2.Onki'!J40</f>
        <v>-14452590</v>
      </c>
      <c r="K57" s="676">
        <f>+K56-'2.Onki'!K40</f>
        <v>-1414842</v>
      </c>
    </row>
    <row r="58" spans="1:11" s="660" customFormat="1" ht="36" customHeight="1" x14ac:dyDescent="0.3">
      <c r="A58" s="589">
        <v>51</v>
      </c>
      <c r="B58" s="654"/>
      <c r="C58" s="3"/>
      <c r="D58" s="3"/>
      <c r="E58" s="660" t="s">
        <v>151</v>
      </c>
      <c r="F58" s="677">
        <f>SUM(F59,F69)</f>
        <v>23797191</v>
      </c>
      <c r="G58" s="677">
        <f t="shared" ref="G58:K58" si="11">SUM(G59,G69)</f>
        <v>12689397</v>
      </c>
      <c r="H58" s="677">
        <f t="shared" si="11"/>
        <v>17175240</v>
      </c>
      <c r="I58" s="678">
        <f>SUM(I59,I69)</f>
        <v>12501795</v>
      </c>
      <c r="J58" s="679">
        <f t="shared" si="11"/>
        <v>15931820</v>
      </c>
      <c r="K58" s="680">
        <f t="shared" si="11"/>
        <v>14470509</v>
      </c>
    </row>
    <row r="59" spans="1:11" s="660" customFormat="1" ht="33" customHeight="1" x14ac:dyDescent="0.3">
      <c r="A59" s="589">
        <v>52</v>
      </c>
      <c r="B59" s="681"/>
      <c r="C59" s="655"/>
      <c r="D59" s="655"/>
      <c r="E59" s="682" t="s">
        <v>230</v>
      </c>
      <c r="F59" s="657">
        <f>SUM(F60,F64,F68)</f>
        <v>22898752</v>
      </c>
      <c r="G59" s="657">
        <f t="shared" ref="G59:J59" si="12">SUM(G60,G64,G68)</f>
        <v>12689397</v>
      </c>
      <c r="H59" s="657">
        <f t="shared" si="12"/>
        <v>16605894</v>
      </c>
      <c r="I59" s="658">
        <f t="shared" si="12"/>
        <v>12501795</v>
      </c>
      <c r="J59" s="659">
        <f t="shared" si="12"/>
        <v>14912823</v>
      </c>
      <c r="K59" s="497">
        <f>SUM(K60,K64,K68)</f>
        <v>13412823</v>
      </c>
    </row>
    <row r="60" spans="1:11" s="618" customFormat="1" ht="24" customHeight="1" x14ac:dyDescent="0.35">
      <c r="A60" s="589">
        <v>53</v>
      </c>
      <c r="B60" s="6"/>
      <c r="C60" s="10">
        <v>1</v>
      </c>
      <c r="D60" s="10">
        <v>8</v>
      </c>
      <c r="E60" s="618" t="s">
        <v>485</v>
      </c>
      <c r="F60" s="614">
        <f>SUM(F61:F63)</f>
        <v>7764718</v>
      </c>
      <c r="G60" s="614">
        <f>SUM(G61:G63)</f>
        <v>6572145</v>
      </c>
      <c r="H60" s="614">
        <f>SUM(H61:H63)</f>
        <v>10243449</v>
      </c>
      <c r="I60" s="615">
        <f>SUM(I61:I63)</f>
        <v>3844293</v>
      </c>
      <c r="J60" s="649">
        <f>SUM(J61:J63)</f>
        <v>5804629</v>
      </c>
      <c r="K60" s="617">
        <f t="shared" ref="K60" si="13">SUM(K61:K63)</f>
        <v>5804629</v>
      </c>
    </row>
    <row r="61" spans="1:11" ht="17.25" x14ac:dyDescent="0.35">
      <c r="A61" s="589">
        <v>54</v>
      </c>
      <c r="B61" s="629" t="s">
        <v>252</v>
      </c>
      <c r="E61" s="621" t="s">
        <v>152</v>
      </c>
      <c r="F61" s="2">
        <v>944483</v>
      </c>
      <c r="G61" s="2">
        <v>313980</v>
      </c>
      <c r="H61" s="2">
        <v>1044828</v>
      </c>
      <c r="I61" s="622">
        <f>690175-22619</f>
        <v>667556</v>
      </c>
      <c r="J61" s="579">
        <v>1267312</v>
      </c>
      <c r="K61" s="499">
        <v>1267312</v>
      </c>
    </row>
    <row r="62" spans="1:11" ht="17.25" x14ac:dyDescent="0.35">
      <c r="A62" s="589">
        <v>55</v>
      </c>
      <c r="B62" s="6">
        <v>17</v>
      </c>
      <c r="E62" s="621" t="s">
        <v>153</v>
      </c>
      <c r="F62" s="2">
        <v>657003</v>
      </c>
      <c r="G62" s="2">
        <v>10712</v>
      </c>
      <c r="H62" s="2">
        <v>625428</v>
      </c>
      <c r="I62" s="622">
        <f>166375-78247</f>
        <v>88128</v>
      </c>
      <c r="J62" s="579">
        <v>859051</v>
      </c>
      <c r="K62" s="499">
        <v>859051</v>
      </c>
    </row>
    <row r="63" spans="1:11" ht="17.25" x14ac:dyDescent="0.35">
      <c r="A63" s="589">
        <v>56</v>
      </c>
      <c r="B63" s="6">
        <v>18</v>
      </c>
      <c r="E63" s="621" t="s">
        <v>95</v>
      </c>
      <c r="F63" s="2">
        <v>6163232</v>
      </c>
      <c r="G63" s="2">
        <v>6247453</v>
      </c>
      <c r="H63" s="2">
        <v>8573193</v>
      </c>
      <c r="I63" s="622">
        <f>3058526+20000+10083</f>
        <v>3088609</v>
      </c>
      <c r="J63" s="579">
        <v>3678266</v>
      </c>
      <c r="K63" s="499">
        <v>3678266</v>
      </c>
    </row>
    <row r="64" spans="1:11" s="618" customFormat="1" ht="24" customHeight="1" x14ac:dyDescent="0.35">
      <c r="A64" s="589">
        <v>57</v>
      </c>
      <c r="B64" s="6"/>
      <c r="C64" s="10">
        <v>2</v>
      </c>
      <c r="D64" s="10">
        <v>11</v>
      </c>
      <c r="E64" s="618" t="s">
        <v>207</v>
      </c>
      <c r="F64" s="614">
        <f>SUM(F65:F67)</f>
        <v>15134034</v>
      </c>
      <c r="G64" s="614">
        <f>SUM(G65:G67)</f>
        <v>6117252</v>
      </c>
      <c r="H64" s="614">
        <f>SUM(H65:H67)</f>
        <v>6362445</v>
      </c>
      <c r="I64" s="615">
        <f>SUM(I65:I67)</f>
        <v>7157502</v>
      </c>
      <c r="J64" s="616">
        <f>SUM(J65:J67)</f>
        <v>7608194</v>
      </c>
      <c r="K64" s="617">
        <f t="shared" ref="K64" si="14">SUM(K65:K67)</f>
        <v>7608194</v>
      </c>
    </row>
    <row r="65" spans="1:13" s="618" customFormat="1" ht="17.25" x14ac:dyDescent="0.35">
      <c r="A65" s="589">
        <v>58</v>
      </c>
      <c r="B65" s="635" t="s">
        <v>252</v>
      </c>
      <c r="C65" s="10"/>
      <c r="D65" s="10"/>
      <c r="E65" s="683" t="s">
        <v>152</v>
      </c>
      <c r="F65" s="2">
        <v>302812</v>
      </c>
      <c r="G65" s="2">
        <v>116782</v>
      </c>
      <c r="H65" s="2">
        <v>215702</v>
      </c>
      <c r="I65" s="622">
        <v>26619</v>
      </c>
      <c r="J65" s="579">
        <v>120651</v>
      </c>
      <c r="K65" s="499">
        <v>120651</v>
      </c>
    </row>
    <row r="66" spans="1:13" s="618" customFormat="1" ht="17.25" x14ac:dyDescent="0.35">
      <c r="A66" s="589">
        <v>59</v>
      </c>
      <c r="B66" s="635" t="s">
        <v>244</v>
      </c>
      <c r="C66" s="10"/>
      <c r="D66" s="10"/>
      <c r="E66" s="621" t="s">
        <v>153</v>
      </c>
      <c r="F66" s="2">
        <v>65678</v>
      </c>
      <c r="G66" s="2"/>
      <c r="H66" s="2">
        <v>75275</v>
      </c>
      <c r="I66" s="622">
        <v>78247</v>
      </c>
      <c r="J66" s="579">
        <v>167947</v>
      </c>
      <c r="K66" s="499">
        <v>167947</v>
      </c>
    </row>
    <row r="67" spans="1:13" s="618" customFormat="1" ht="17.25" x14ac:dyDescent="0.35">
      <c r="A67" s="589">
        <v>60</v>
      </c>
      <c r="B67" s="6">
        <v>18</v>
      </c>
      <c r="C67" s="10"/>
      <c r="D67" s="10"/>
      <c r="E67" s="683" t="s">
        <v>95</v>
      </c>
      <c r="F67" s="2">
        <v>14765544</v>
      </c>
      <c r="G67" s="2">
        <v>6000470</v>
      </c>
      <c r="H67" s="2">
        <v>6071468</v>
      </c>
      <c r="I67" s="622">
        <f>7056136-3500</f>
        <v>7052636</v>
      </c>
      <c r="J67" s="579">
        <v>7319596</v>
      </c>
      <c r="K67" s="499">
        <v>7319596</v>
      </c>
    </row>
    <row r="68" spans="1:13" s="660" customFormat="1" ht="24" customHeight="1" x14ac:dyDescent="0.3">
      <c r="A68" s="589">
        <v>61</v>
      </c>
      <c r="B68" s="654">
        <v>18</v>
      </c>
      <c r="C68" s="3">
        <v>1</v>
      </c>
      <c r="D68" s="3">
        <v>9</v>
      </c>
      <c r="E68" s="660" t="s">
        <v>567</v>
      </c>
      <c r="F68" s="677"/>
      <c r="G68" s="677"/>
      <c r="H68" s="677"/>
      <c r="I68" s="678">
        <v>1500000</v>
      </c>
      <c r="J68" s="684">
        <v>1500000</v>
      </c>
      <c r="K68" s="680"/>
    </row>
    <row r="69" spans="1:13" s="660" customFormat="1" ht="30" customHeight="1" x14ac:dyDescent="0.3">
      <c r="A69" s="589">
        <v>62</v>
      </c>
      <c r="B69" s="681"/>
      <c r="C69" s="655"/>
      <c r="D69" s="655"/>
      <c r="E69" s="682" t="s">
        <v>231</v>
      </c>
      <c r="F69" s="657">
        <f>SUM(F70:F73)</f>
        <v>898439</v>
      </c>
      <c r="G69" s="657">
        <f t="shared" ref="G69:K69" si="15">SUM(G70:G73)</f>
        <v>0</v>
      </c>
      <c r="H69" s="657">
        <f t="shared" si="15"/>
        <v>569346</v>
      </c>
      <c r="I69" s="658">
        <f t="shared" si="15"/>
        <v>0</v>
      </c>
      <c r="J69" s="659">
        <f t="shared" si="15"/>
        <v>1018997</v>
      </c>
      <c r="K69" s="497">
        <f t="shared" si="15"/>
        <v>1057686</v>
      </c>
    </row>
    <row r="70" spans="1:13" s="660" customFormat="1" ht="24" customHeight="1" x14ac:dyDescent="0.3">
      <c r="A70" s="589">
        <v>63</v>
      </c>
      <c r="B70" s="654">
        <v>18</v>
      </c>
      <c r="C70" s="3">
        <v>1</v>
      </c>
      <c r="D70" s="3">
        <v>10</v>
      </c>
      <c r="E70" s="660" t="s">
        <v>209</v>
      </c>
      <c r="F70" s="677">
        <v>378732</v>
      </c>
      <c r="G70" s="677"/>
      <c r="H70" s="677">
        <v>569346</v>
      </c>
      <c r="I70" s="678"/>
      <c r="J70" s="684">
        <v>1018997</v>
      </c>
      <c r="K70" s="680">
        <f>1057686</f>
        <v>1057686</v>
      </c>
      <c r="M70" s="677"/>
    </row>
    <row r="71" spans="1:13" s="618" customFormat="1" ht="24" customHeight="1" x14ac:dyDescent="0.35">
      <c r="A71" s="589">
        <v>64</v>
      </c>
      <c r="B71" s="6">
        <v>18</v>
      </c>
      <c r="C71" s="10">
        <v>2</v>
      </c>
      <c r="D71" s="10">
        <v>12</v>
      </c>
      <c r="E71" s="618" t="s">
        <v>154</v>
      </c>
      <c r="F71" s="614"/>
      <c r="G71" s="614"/>
      <c r="H71" s="614"/>
      <c r="I71" s="615"/>
      <c r="J71" s="616"/>
      <c r="K71" s="617"/>
    </row>
    <row r="72" spans="1:13" ht="17.25" x14ac:dyDescent="0.35">
      <c r="A72" s="589">
        <v>65</v>
      </c>
      <c r="B72" s="6"/>
      <c r="E72" s="621" t="s">
        <v>154</v>
      </c>
      <c r="I72" s="622"/>
      <c r="K72" s="499"/>
    </row>
    <row r="73" spans="1:13" ht="17.25" x14ac:dyDescent="0.35">
      <c r="A73" s="589">
        <v>66</v>
      </c>
      <c r="B73" s="6"/>
      <c r="E73" s="685" t="s">
        <v>155</v>
      </c>
      <c r="F73" s="662">
        <v>519707</v>
      </c>
      <c r="G73" s="662"/>
      <c r="H73" s="662"/>
      <c r="I73" s="622"/>
      <c r="K73" s="686"/>
    </row>
    <row r="74" spans="1:13" s="660" customFormat="1" ht="36" customHeight="1" thickBot="1" x14ac:dyDescent="0.35">
      <c r="A74" s="589">
        <v>67</v>
      </c>
      <c r="B74" s="687"/>
      <c r="C74" s="688"/>
      <c r="D74" s="688"/>
      <c r="E74" s="689" t="s">
        <v>156</v>
      </c>
      <c r="F74" s="690">
        <f>SUM(F56,F58)</f>
        <v>69296871</v>
      </c>
      <c r="G74" s="690">
        <f>SUM(G56,G58)</f>
        <v>43547771</v>
      </c>
      <c r="H74" s="690">
        <f>SUM(H56,H58)</f>
        <v>49464036</v>
      </c>
      <c r="I74" s="691">
        <f>SUM(I56,I58)</f>
        <v>38894678</v>
      </c>
      <c r="J74" s="692">
        <f t="shared" ref="J74:K74" si="16">SUM(J56,J58)</f>
        <v>42814917</v>
      </c>
      <c r="K74" s="693">
        <f t="shared" si="16"/>
        <v>28670875</v>
      </c>
    </row>
    <row r="75" spans="1:13" x14ac:dyDescent="0.3">
      <c r="I75" s="2"/>
      <c r="J75" s="2"/>
    </row>
  </sheetData>
  <mergeCells count="3">
    <mergeCell ref="B1:E1"/>
    <mergeCell ref="B3:K3"/>
    <mergeCell ref="B4:K4"/>
  </mergeCells>
  <printOptions horizontalCentered="1"/>
  <pageMargins left="0.19685039370078741" right="0.19685039370078741" top="0.59055118110236227" bottom="0.59055118110236227" header="0.51181102362204722" footer="0.51181102362204722"/>
  <pageSetup paperSize="9" scale="54" fitToHeight="2" orientation="portrait"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39"/>
  <sheetViews>
    <sheetView view="pageBreakPreview" topLeftCell="A16" zoomScaleNormal="100" zoomScaleSheetLayoutView="100" workbookViewId="0">
      <selection activeCell="B1" sqref="B1:D1"/>
    </sheetView>
  </sheetViews>
  <sheetFormatPr defaultColWidth="9.28515625" defaultRowHeight="16.5" x14ac:dyDescent="0.3"/>
  <cols>
    <col min="1" max="1" width="4.7109375" style="10" customWidth="1"/>
    <col min="2" max="3" width="5.7109375" style="15" customWidth="1"/>
    <col min="4" max="4" width="55.7109375" style="4" customWidth="1"/>
    <col min="5" max="6" width="15.7109375" style="2" customWidth="1"/>
    <col min="7" max="9" width="17.7109375" style="2" customWidth="1"/>
    <col min="10" max="11" width="5.7109375" style="15" customWidth="1"/>
    <col min="12" max="12" width="60.7109375" style="4" customWidth="1"/>
    <col min="13" max="14" width="15.7109375" style="2" customWidth="1"/>
    <col min="15" max="15" width="17.7109375" style="2" customWidth="1"/>
    <col min="16" max="17" width="17.7109375" style="4" customWidth="1"/>
    <col min="18" max="16384" width="9.28515625" style="4"/>
  </cols>
  <sheetData>
    <row r="1" spans="1:17" s="1" customFormat="1" ht="18" customHeight="1" x14ac:dyDescent="0.2">
      <c r="A1" s="3"/>
      <c r="B1" s="1408" t="s">
        <v>761</v>
      </c>
      <c r="C1" s="1408"/>
      <c r="D1" s="1408"/>
      <c r="E1" s="29"/>
      <c r="F1" s="29"/>
      <c r="G1" s="29"/>
      <c r="H1" s="29"/>
      <c r="I1" s="29"/>
      <c r="J1" s="30"/>
      <c r="K1" s="30"/>
      <c r="M1" s="29"/>
      <c r="N1" s="29"/>
      <c r="O1" s="29"/>
    </row>
    <row r="2" spans="1:17" s="1" customFormat="1" ht="24.75" customHeight="1" x14ac:dyDescent="0.2">
      <c r="A2" s="3"/>
      <c r="B2" s="1231" t="s">
        <v>169</v>
      </c>
      <c r="C2" s="1231"/>
      <c r="D2" s="1231"/>
      <c r="E2" s="1231"/>
      <c r="F2" s="1231"/>
      <c r="G2" s="1231"/>
      <c r="H2" s="1231"/>
      <c r="I2" s="1231"/>
      <c r="J2" s="1231"/>
      <c r="K2" s="1231"/>
      <c r="L2" s="1231"/>
      <c r="M2" s="1231"/>
      <c r="N2" s="1231"/>
      <c r="O2" s="1231"/>
      <c r="P2" s="1231"/>
      <c r="Q2" s="1231"/>
    </row>
    <row r="3" spans="1:17" s="1" customFormat="1" ht="24.75" customHeight="1" x14ac:dyDescent="0.2">
      <c r="A3" s="3"/>
      <c r="B3" s="1231" t="s">
        <v>769</v>
      </c>
      <c r="C3" s="1231"/>
      <c r="D3" s="1231"/>
      <c r="E3" s="1231"/>
      <c r="F3" s="1231"/>
      <c r="G3" s="1231"/>
      <c r="H3" s="1231"/>
      <c r="I3" s="1231"/>
      <c r="J3" s="1231"/>
      <c r="K3" s="1231"/>
      <c r="L3" s="1231"/>
      <c r="M3" s="1231"/>
      <c r="N3" s="1231"/>
      <c r="O3" s="1231"/>
      <c r="P3" s="1231"/>
      <c r="Q3" s="1231"/>
    </row>
    <row r="4" spans="1:17" s="97" customFormat="1" ht="13.15" customHeight="1" x14ac:dyDescent="0.2">
      <c r="A4" s="95"/>
      <c r="B4" s="96"/>
      <c r="C4" s="96"/>
      <c r="D4" s="96"/>
      <c r="E4" s="96"/>
      <c r="F4" s="96"/>
      <c r="G4" s="96"/>
      <c r="H4" s="96"/>
      <c r="I4" s="96"/>
      <c r="J4" s="96"/>
      <c r="K4" s="96"/>
      <c r="L4" s="96"/>
      <c r="M4" s="11"/>
      <c r="N4" s="11"/>
      <c r="O4" s="11"/>
      <c r="P4" s="11"/>
      <c r="Q4" s="11" t="s">
        <v>0</v>
      </c>
    </row>
    <row r="5" spans="1:17" s="7" customFormat="1" ht="18" customHeight="1" thickBot="1" x14ac:dyDescent="0.35">
      <c r="B5" s="8" t="s">
        <v>1</v>
      </c>
      <c r="C5" s="8" t="s">
        <v>3</v>
      </c>
      <c r="D5" s="8" t="s">
        <v>2</v>
      </c>
      <c r="E5" s="8" t="s">
        <v>4</v>
      </c>
      <c r="F5" s="8" t="s">
        <v>5</v>
      </c>
      <c r="G5" s="8" t="s">
        <v>15</v>
      </c>
      <c r="H5" s="8" t="s">
        <v>16</v>
      </c>
      <c r="I5" s="8" t="s">
        <v>17</v>
      </c>
      <c r="J5" s="8" t="s">
        <v>32</v>
      </c>
      <c r="K5" s="8" t="s">
        <v>28</v>
      </c>
      <c r="L5" s="5" t="s">
        <v>23</v>
      </c>
      <c r="M5" s="5" t="s">
        <v>33</v>
      </c>
      <c r="N5" s="5" t="s">
        <v>34</v>
      </c>
      <c r="O5" s="5" t="s">
        <v>117</v>
      </c>
      <c r="P5" s="7" t="s">
        <v>118</v>
      </c>
      <c r="Q5" s="7" t="s">
        <v>119</v>
      </c>
    </row>
    <row r="6" spans="1:17" ht="66" x14ac:dyDescent="0.3">
      <c r="A6" s="10">
        <v>1</v>
      </c>
      <c r="B6" s="123" t="s">
        <v>305</v>
      </c>
      <c r="C6" s="124" t="s">
        <v>306</v>
      </c>
      <c r="D6" s="139" t="s">
        <v>361</v>
      </c>
      <c r="E6" s="214" t="s">
        <v>494</v>
      </c>
      <c r="F6" s="215" t="s">
        <v>638</v>
      </c>
      <c r="G6" s="214" t="s">
        <v>568</v>
      </c>
      <c r="H6" s="214" t="s">
        <v>699</v>
      </c>
      <c r="I6" s="446" t="s">
        <v>751</v>
      </c>
      <c r="J6" s="124" t="s">
        <v>305</v>
      </c>
      <c r="K6" s="124" t="s">
        <v>306</v>
      </c>
      <c r="L6" s="139" t="s">
        <v>361</v>
      </c>
      <c r="M6" s="214" t="s">
        <v>494</v>
      </c>
      <c r="N6" s="215" t="s">
        <v>638</v>
      </c>
      <c r="O6" s="214" t="s">
        <v>569</v>
      </c>
      <c r="P6" s="481" t="s">
        <v>699</v>
      </c>
      <c r="Q6" s="486" t="s">
        <v>751</v>
      </c>
    </row>
    <row r="7" spans="1:17" ht="24.75" customHeight="1" x14ac:dyDescent="0.35">
      <c r="A7" s="10">
        <v>2</v>
      </c>
      <c r="B7" s="6">
        <v>1</v>
      </c>
      <c r="C7" s="10"/>
      <c r="D7" s="487" t="s">
        <v>170</v>
      </c>
      <c r="E7" s="43"/>
      <c r="F7" s="43"/>
      <c r="G7" s="43"/>
      <c r="H7" s="43"/>
      <c r="I7" s="447"/>
      <c r="J7" s="10">
        <v>1</v>
      </c>
      <c r="K7" s="10"/>
      <c r="L7" s="487" t="s">
        <v>171</v>
      </c>
      <c r="M7" s="216"/>
      <c r="N7" s="217"/>
      <c r="O7" s="216"/>
      <c r="P7" s="482"/>
      <c r="Q7" s="488"/>
    </row>
    <row r="8" spans="1:17" ht="15" customHeight="1" x14ac:dyDescent="0.35">
      <c r="A8" s="10">
        <v>3</v>
      </c>
      <c r="B8" s="6"/>
      <c r="C8" s="10">
        <v>1</v>
      </c>
      <c r="D8" s="4" t="s">
        <v>172</v>
      </c>
      <c r="E8" s="31">
        <v>8440358</v>
      </c>
      <c r="F8" s="31">
        <v>9010635</v>
      </c>
      <c r="G8" s="31">
        <f>'1.Onbe'!I9+'1.Onbe'!I21</f>
        <v>8148469</v>
      </c>
      <c r="H8" s="31">
        <f>'1.Onbe'!J9+'1.Onbe'!J21</f>
        <v>8362251</v>
      </c>
      <c r="I8" s="448">
        <f>'1.Onbe'!K9+'1.Onbe'!K21</f>
        <v>4281826</v>
      </c>
      <c r="J8" s="10"/>
      <c r="K8" s="10">
        <v>1</v>
      </c>
      <c r="L8" s="4" t="s">
        <v>36</v>
      </c>
      <c r="M8" s="34">
        <v>7695400</v>
      </c>
      <c r="N8" s="218">
        <v>7958623</v>
      </c>
      <c r="O8" s="34">
        <f>'4.Inki'!K155+'6.Önk.műk.'!J816+'9.Projekt'!I108</f>
        <v>8808650</v>
      </c>
      <c r="P8" s="483">
        <f>'4.Inki'!K156+'6.Önk.műk.'!J817+'9.Projekt'!I109</f>
        <v>9510207</v>
      </c>
      <c r="Q8" s="496">
        <f>'4.Inki'!K157+'6.Önk.műk.'!J818+'9.Projekt'!I110</f>
        <v>4236970</v>
      </c>
    </row>
    <row r="9" spans="1:17" ht="16.5" customHeight="1" x14ac:dyDescent="0.35">
      <c r="A9" s="10">
        <v>4</v>
      </c>
      <c r="B9" s="6"/>
      <c r="C9" s="10">
        <v>2</v>
      </c>
      <c r="D9" s="4" t="s">
        <v>134</v>
      </c>
      <c r="E9" s="31">
        <v>13625150</v>
      </c>
      <c r="F9" s="31">
        <v>14500214</v>
      </c>
      <c r="G9" s="31">
        <f>'1.Onbe'!I22</f>
        <v>14930300</v>
      </c>
      <c r="H9" s="31">
        <f>'1.Onbe'!J22</f>
        <v>14936800</v>
      </c>
      <c r="I9" s="448">
        <f>'1.Onbe'!K22</f>
        <v>8036913</v>
      </c>
      <c r="J9" s="10"/>
      <c r="K9" s="10">
        <v>2</v>
      </c>
      <c r="L9" s="4" t="s">
        <v>173</v>
      </c>
      <c r="M9" s="34">
        <v>1147909</v>
      </c>
      <c r="N9" s="218">
        <v>1142881</v>
      </c>
      <c r="O9" s="34">
        <f>'4.Inki'!L155+'6.Önk.műk.'!K816+'9.Projekt'!J108</f>
        <v>1311825</v>
      </c>
      <c r="P9" s="483">
        <f>'4.Inki'!L156+'6.Önk.műk.'!K817+'9.Projekt'!J109</f>
        <v>1414029</v>
      </c>
      <c r="Q9" s="496">
        <f>'4.Inki'!L157+'6.Önk.műk.'!K818+'9.Projekt'!J110</f>
        <v>590401</v>
      </c>
    </row>
    <row r="10" spans="1:17" ht="17.25" x14ac:dyDescent="0.35">
      <c r="A10" s="10">
        <v>5</v>
      </c>
      <c r="B10" s="6"/>
      <c r="C10" s="10">
        <v>3</v>
      </c>
      <c r="D10" s="489" t="s">
        <v>106</v>
      </c>
      <c r="E10" s="31">
        <v>4590770</v>
      </c>
      <c r="F10" s="31">
        <v>4221600</v>
      </c>
      <c r="G10" s="31">
        <f>'1.Onbe'!I34+'1.Onbe'!I39</f>
        <v>2569067</v>
      </c>
      <c r="H10" s="31">
        <f>'1.Onbe'!J34+'1.Onbe'!J39</f>
        <v>2583795</v>
      </c>
      <c r="I10" s="448">
        <f>'1.Onbe'!K34+'1.Onbe'!K39</f>
        <v>1756398</v>
      </c>
      <c r="J10" s="10"/>
      <c r="K10" s="10">
        <v>3</v>
      </c>
      <c r="L10" s="4" t="s">
        <v>38</v>
      </c>
      <c r="M10" s="34">
        <v>9216212</v>
      </c>
      <c r="N10" s="218">
        <v>7871732</v>
      </c>
      <c r="O10" s="34">
        <f>'4.Inki'!M155+'6.Önk.műk.'!L816+'7.Beruh.'!I402+'8.Felúj.'!I81+'9.Projekt'!K108</f>
        <v>9014525</v>
      </c>
      <c r="P10" s="483">
        <f>'4.Inki'!M156+'6.Önk.műk.'!L817+'7.Beruh.'!I403+'9.Projekt'!K109</f>
        <v>9974785</v>
      </c>
      <c r="Q10" s="496">
        <f>'4.Inki'!M157+'6.Önk.műk.'!L818+'7.Beruh.'!I404+'8.Felúj.'!I83+'9.Projekt'!K110</f>
        <v>3850198</v>
      </c>
    </row>
    <row r="11" spans="1:17" ht="17.25" x14ac:dyDescent="0.35">
      <c r="A11" s="10">
        <v>6</v>
      </c>
      <c r="B11" s="6"/>
      <c r="C11" s="10">
        <v>4</v>
      </c>
      <c r="D11" s="4" t="s">
        <v>139</v>
      </c>
      <c r="E11" s="31">
        <v>170538</v>
      </c>
      <c r="F11" s="31">
        <v>636807</v>
      </c>
      <c r="G11" s="31">
        <f>'1.Onbe'!I40+'1.Onbe'!I43</f>
        <v>68847</v>
      </c>
      <c r="H11" s="31">
        <f>'1.Onbe'!J40+'1.Onbe'!J43</f>
        <v>70394</v>
      </c>
      <c r="I11" s="448">
        <f>'1.Onbe'!K40+'1.Onbe'!K43</f>
        <v>65919</v>
      </c>
      <c r="J11" s="10"/>
      <c r="K11" s="10">
        <v>4</v>
      </c>
      <c r="L11" s="4" t="s">
        <v>174</v>
      </c>
      <c r="M11" s="34">
        <v>56795</v>
      </c>
      <c r="N11" s="218">
        <v>19974</v>
      </c>
      <c r="O11" s="34">
        <f>'4.Inki'!N155+'6.Önk.műk.'!M816</f>
        <v>35385</v>
      </c>
      <c r="P11" s="483">
        <f>'6.Önk.műk.'!M817</f>
        <v>47385</v>
      </c>
      <c r="Q11" s="496">
        <f>'4.Inki'!N157+'6.Önk.műk.'!M818</f>
        <v>11336</v>
      </c>
    </row>
    <row r="12" spans="1:17" ht="17.25" x14ac:dyDescent="0.35">
      <c r="A12" s="10">
        <v>7</v>
      </c>
      <c r="B12" s="6"/>
      <c r="C12" s="10"/>
      <c r="D12" s="489"/>
      <c r="E12" s="31"/>
      <c r="F12" s="31"/>
      <c r="G12" s="31"/>
      <c r="H12" s="31"/>
      <c r="I12" s="448"/>
      <c r="J12" s="10"/>
      <c r="K12" s="10">
        <v>5</v>
      </c>
      <c r="L12" s="490" t="s">
        <v>175</v>
      </c>
      <c r="M12" s="34">
        <v>9224909</v>
      </c>
      <c r="N12" s="218">
        <v>9475727</v>
      </c>
      <c r="O12" s="34">
        <f>'4.Inki'!O155+'6.Önk.műk.'!N816+'9.Projekt'!L108</f>
        <v>10058985</v>
      </c>
      <c r="P12" s="483">
        <f>'4.Inki'!O156+'6.Önk.műk.'!N817+'9.Projekt'!L109</f>
        <v>10279780</v>
      </c>
      <c r="Q12" s="496">
        <f>'4.Inki'!O157+'6.Önk.műk.'!N818+'9.Projekt'!L110</f>
        <v>5394470</v>
      </c>
    </row>
    <row r="13" spans="1:17" ht="17.25" x14ac:dyDescent="0.35">
      <c r="A13" s="10">
        <v>8</v>
      </c>
      <c r="B13" s="6"/>
      <c r="C13" s="10"/>
      <c r="D13" s="489"/>
      <c r="E13" s="31"/>
      <c r="F13" s="31"/>
      <c r="G13" s="31"/>
      <c r="H13" s="31"/>
      <c r="I13" s="448"/>
      <c r="J13" s="10"/>
      <c r="K13" s="10">
        <v>6</v>
      </c>
      <c r="L13" s="490" t="s">
        <v>292</v>
      </c>
      <c r="M13" s="34">
        <v>1021488</v>
      </c>
      <c r="N13" s="218"/>
      <c r="O13" s="34">
        <f>'2.Onki'!I17+'2.Onki'!I32</f>
        <v>897344</v>
      </c>
      <c r="P13" s="483">
        <f>'2.Onki'!J17+'2.Onki'!J32</f>
        <v>1034987</v>
      </c>
      <c r="Q13" s="496">
        <f>'2.Onki'!K17+'2.Onki'!K32</f>
        <v>0</v>
      </c>
    </row>
    <row r="14" spans="1:17" s="1" customFormat="1" ht="25.15" customHeight="1" x14ac:dyDescent="0.3">
      <c r="A14" s="10">
        <v>9</v>
      </c>
      <c r="B14" s="125"/>
      <c r="C14" s="126"/>
      <c r="D14" s="32" t="s">
        <v>176</v>
      </c>
      <c r="E14" s="33">
        <f>SUM(E8:E13)</f>
        <v>26826816</v>
      </c>
      <c r="F14" s="33">
        <f>SUM(F8:F13)</f>
        <v>28369256</v>
      </c>
      <c r="G14" s="33">
        <f>SUM(G8:G13)</f>
        <v>25716683</v>
      </c>
      <c r="H14" s="33">
        <f>SUM(H8:H13)</f>
        <v>25953240</v>
      </c>
      <c r="I14" s="449">
        <f>SUM(I8:I13)</f>
        <v>14141056</v>
      </c>
      <c r="J14" s="136"/>
      <c r="K14" s="136"/>
      <c r="L14" s="32" t="s">
        <v>177</v>
      </c>
      <c r="M14" s="219">
        <f>SUM(M8:M13)</f>
        <v>28362713</v>
      </c>
      <c r="N14" s="220">
        <f>SUM(N8:N13)</f>
        <v>26468937</v>
      </c>
      <c r="O14" s="219">
        <f>SUM(O8:O13)</f>
        <v>30126714</v>
      </c>
      <c r="P14" s="220">
        <f>SUM(P8:P13)</f>
        <v>32261173</v>
      </c>
      <c r="Q14" s="497">
        <f>SUM(Q8:Q13)</f>
        <v>14083375</v>
      </c>
    </row>
    <row r="15" spans="1:17" ht="24.75" customHeight="1" x14ac:dyDescent="0.35">
      <c r="A15" s="10">
        <v>10</v>
      </c>
      <c r="B15" s="6">
        <v>2</v>
      </c>
      <c r="C15" s="10"/>
      <c r="D15" s="487" t="s">
        <v>178</v>
      </c>
      <c r="E15" s="43"/>
      <c r="F15" s="43"/>
      <c r="G15" s="43"/>
      <c r="H15" s="43"/>
      <c r="I15" s="447"/>
      <c r="J15" s="10">
        <v>2</v>
      </c>
      <c r="K15" s="10"/>
      <c r="L15" s="487" t="s">
        <v>179</v>
      </c>
      <c r="M15" s="216"/>
      <c r="N15" s="221"/>
      <c r="O15" s="216"/>
      <c r="P15" s="482"/>
      <c r="Q15" s="498"/>
    </row>
    <row r="16" spans="1:17" ht="17.25" x14ac:dyDescent="0.35">
      <c r="A16" s="10">
        <v>11</v>
      </c>
      <c r="B16" s="6"/>
      <c r="C16" s="10">
        <v>5</v>
      </c>
      <c r="D16" s="154" t="s">
        <v>180</v>
      </c>
      <c r="E16" s="34">
        <v>2594724</v>
      </c>
      <c r="F16" s="34">
        <v>2599060</v>
      </c>
      <c r="G16" s="34">
        <f>'1.Onbe'!I45+'1.Onbe'!I48</f>
        <v>198205</v>
      </c>
      <c r="H16" s="34">
        <f>'1.Onbe'!J45+'1.Onbe'!J48</f>
        <v>447307</v>
      </c>
      <c r="I16" s="450">
        <f>'1.Onbe'!K45+'1.Onbe'!K48</f>
        <v>0</v>
      </c>
      <c r="J16" s="491"/>
      <c r="K16" s="491">
        <v>7</v>
      </c>
      <c r="L16" s="154" t="s">
        <v>181</v>
      </c>
      <c r="M16" s="34">
        <v>11430415</v>
      </c>
      <c r="N16" s="218">
        <v>6132758</v>
      </c>
      <c r="O16" s="34">
        <f>'2.Onki'!I11+'2.Onki'!I34</f>
        <v>7358308</v>
      </c>
      <c r="P16" s="218">
        <f>'2.Onki'!J11+'2.Onki'!J34</f>
        <v>8075093</v>
      </c>
      <c r="Q16" s="499">
        <f>'2.Onki'!K11+'2.Onki'!K34</f>
        <v>1140934</v>
      </c>
    </row>
    <row r="17" spans="1:44" ht="17.25" x14ac:dyDescent="0.35">
      <c r="A17" s="10">
        <v>12</v>
      </c>
      <c r="B17" s="6"/>
      <c r="C17" s="10">
        <v>6</v>
      </c>
      <c r="D17" s="154" t="s">
        <v>143</v>
      </c>
      <c r="E17" s="34">
        <v>388700</v>
      </c>
      <c r="F17" s="34">
        <v>77922</v>
      </c>
      <c r="G17" s="34">
        <f>'1.Onbe'!I49+'1.Onbe'!I51</f>
        <v>477995</v>
      </c>
      <c r="H17" s="34">
        <f>'1.Onbe'!J49+'1.Onbe'!J51</f>
        <v>477050</v>
      </c>
      <c r="I17" s="450">
        <f>'1.Onbe'!K49+'1.Onbe'!K51</f>
        <v>53810</v>
      </c>
      <c r="J17" s="491"/>
      <c r="K17" s="491">
        <v>8</v>
      </c>
      <c r="L17" s="154" t="s">
        <v>121</v>
      </c>
      <c r="M17" s="34">
        <v>1837575</v>
      </c>
      <c r="N17" s="218">
        <v>634190</v>
      </c>
      <c r="O17" s="34">
        <f>'2.Onki'!I35</f>
        <v>358458</v>
      </c>
      <c r="P17" s="218">
        <f>'2.Onki'!J35</f>
        <v>406468</v>
      </c>
      <c r="Q17" s="499">
        <f>'2.Onki'!K35</f>
        <v>214932</v>
      </c>
    </row>
    <row r="18" spans="1:44" ht="17.25" x14ac:dyDescent="0.35">
      <c r="A18" s="10">
        <v>13</v>
      </c>
      <c r="B18" s="6"/>
      <c r="C18" s="10">
        <v>7</v>
      </c>
      <c r="D18" s="4" t="s">
        <v>146</v>
      </c>
      <c r="E18" s="34">
        <v>1048134</v>
      </c>
      <c r="F18" s="34">
        <v>1242558</v>
      </c>
      <c r="G18" s="34">
        <f>'1.Onbe'!I52+'1.Onbe'!I53</f>
        <v>0</v>
      </c>
      <c r="H18" s="34">
        <f>'1.Onbe'!J52+'1.Onbe'!J53</f>
        <v>5500</v>
      </c>
      <c r="I18" s="450">
        <f>'1.Onbe'!K52+'1.Onbe'!K53</f>
        <v>5500</v>
      </c>
      <c r="J18" s="491"/>
      <c r="K18" s="491">
        <v>9</v>
      </c>
      <c r="L18" s="154" t="s">
        <v>182</v>
      </c>
      <c r="M18" s="34">
        <v>884831</v>
      </c>
      <c r="N18" s="218">
        <v>510639</v>
      </c>
      <c r="O18" s="34">
        <f>'2.Onki'!I36</f>
        <v>588483</v>
      </c>
      <c r="P18" s="218">
        <f>'2.Onki'!J36+'2.Onki'!J13</f>
        <v>589865</v>
      </c>
      <c r="Q18" s="499">
        <f>'2.Onki'!K36+'2.Onki'!K13</f>
        <v>175967</v>
      </c>
    </row>
    <row r="19" spans="1:44" ht="17.25" x14ac:dyDescent="0.35">
      <c r="A19" s="10">
        <v>14</v>
      </c>
      <c r="B19" s="6"/>
      <c r="C19" s="10"/>
      <c r="E19" s="34"/>
      <c r="F19" s="34"/>
      <c r="G19" s="34"/>
      <c r="H19" s="34"/>
      <c r="I19" s="450"/>
      <c r="J19" s="491"/>
      <c r="K19" s="491">
        <v>10</v>
      </c>
      <c r="L19" s="154" t="s">
        <v>293</v>
      </c>
      <c r="M19" s="34">
        <v>574500</v>
      </c>
      <c r="N19" s="218"/>
      <c r="O19" s="34">
        <f>'2.Onki'!I26</f>
        <v>2482</v>
      </c>
      <c r="P19" s="218">
        <f>'2.Onki'!J26</f>
        <v>3088</v>
      </c>
      <c r="Q19" s="499">
        <f>'2.Onki'!K26</f>
        <v>0</v>
      </c>
    </row>
    <row r="20" spans="1:44" s="1" customFormat="1" ht="25.15" customHeight="1" thickBot="1" x14ac:dyDescent="0.35">
      <c r="A20" s="10">
        <v>15</v>
      </c>
      <c r="B20" s="127"/>
      <c r="C20" s="128"/>
      <c r="D20" s="35" t="s">
        <v>183</v>
      </c>
      <c r="E20" s="44">
        <f>SUM(E16:E19)</f>
        <v>4031558</v>
      </c>
      <c r="F20" s="44">
        <f>SUM(F16:F19)</f>
        <v>3919540</v>
      </c>
      <c r="G20" s="44">
        <f>SUM(G16:G19)</f>
        <v>676200</v>
      </c>
      <c r="H20" s="44">
        <f>SUM(H16:H19)</f>
        <v>929857</v>
      </c>
      <c r="I20" s="451">
        <f>SUM(I16:I19)</f>
        <v>59310</v>
      </c>
      <c r="J20" s="137"/>
      <c r="K20" s="137"/>
      <c r="L20" s="35" t="s">
        <v>184</v>
      </c>
      <c r="M20" s="44">
        <f>SUM(M16:M19)</f>
        <v>14727321</v>
      </c>
      <c r="N20" s="222">
        <f>SUM(N16:N19)</f>
        <v>7277587</v>
      </c>
      <c r="O20" s="44">
        <f>SUM(O16:O19)</f>
        <v>8307731</v>
      </c>
      <c r="P20" s="222">
        <f>SUM(P16:P19)</f>
        <v>9074514</v>
      </c>
      <c r="Q20" s="500">
        <f>SUM(Q16:Q19)</f>
        <v>1531833</v>
      </c>
    </row>
    <row r="21" spans="1:44" s="1" customFormat="1" ht="24.75" customHeight="1" thickTop="1" thickBot="1" x14ac:dyDescent="0.35">
      <c r="A21" s="10">
        <v>16</v>
      </c>
      <c r="B21" s="129"/>
      <c r="C21" s="130"/>
      <c r="D21" s="36" t="s">
        <v>149</v>
      </c>
      <c r="E21" s="270">
        <f>SUM(E14,E20)</f>
        <v>30858374</v>
      </c>
      <c r="F21" s="271">
        <f>SUM(F14,F20)</f>
        <v>32288796</v>
      </c>
      <c r="G21" s="356">
        <f>SUM(G14,G20)</f>
        <v>26392883</v>
      </c>
      <c r="H21" s="270">
        <f>SUM(H14,H20)</f>
        <v>26883097</v>
      </c>
      <c r="I21" s="452">
        <f>SUM(I14,I20)</f>
        <v>14200366</v>
      </c>
      <c r="J21" s="130"/>
      <c r="K21" s="130"/>
      <c r="L21" s="36" t="s">
        <v>162</v>
      </c>
      <c r="M21" s="223">
        <f>SUM(M14,M20)</f>
        <v>43090034</v>
      </c>
      <c r="N21" s="224">
        <f>SUM(N14,N20)</f>
        <v>33746524</v>
      </c>
      <c r="O21" s="223">
        <f>SUM(O14,O20)</f>
        <v>38434445</v>
      </c>
      <c r="P21" s="224">
        <f>SUM(P14,P20)</f>
        <v>41335687</v>
      </c>
      <c r="Q21" s="501">
        <f>SUM(Q14,Q20)</f>
        <v>15615208</v>
      </c>
    </row>
    <row r="22" spans="1:44" s="1" customFormat="1" ht="25.15" customHeight="1" thickTop="1" x14ac:dyDescent="0.35">
      <c r="A22" s="10">
        <v>17</v>
      </c>
      <c r="B22" s="6">
        <v>1</v>
      </c>
      <c r="C22" s="10"/>
      <c r="D22" s="487" t="s">
        <v>185</v>
      </c>
      <c r="E22" s="45"/>
      <c r="F22" s="45"/>
      <c r="G22" s="45"/>
      <c r="H22" s="45"/>
      <c r="I22" s="453"/>
      <c r="J22" s="10">
        <v>1</v>
      </c>
      <c r="K22" s="10"/>
      <c r="L22" s="487" t="s">
        <v>186</v>
      </c>
      <c r="M22" s="45"/>
      <c r="N22" s="225"/>
      <c r="O22" s="45"/>
      <c r="P22" s="482"/>
      <c r="Q22" s="502"/>
    </row>
    <row r="23" spans="1:44" s="1" customFormat="1" ht="17.25" x14ac:dyDescent="0.3">
      <c r="A23" s="10">
        <v>18</v>
      </c>
      <c r="B23" s="6"/>
      <c r="C23" s="10">
        <v>8</v>
      </c>
      <c r="D23" s="1" t="s">
        <v>238</v>
      </c>
      <c r="E23" s="45">
        <f>+'1.Onbe'!G60</f>
        <v>6572145</v>
      </c>
      <c r="F23" s="45">
        <v>10243449</v>
      </c>
      <c r="G23" s="45">
        <f>+'1.Onbe'!I60</f>
        <v>3844293</v>
      </c>
      <c r="H23" s="45">
        <f>+'1.Onbe'!J60</f>
        <v>5804629</v>
      </c>
      <c r="I23" s="453">
        <f>+'1.Onbe'!K60</f>
        <v>5804629</v>
      </c>
      <c r="J23" s="10"/>
      <c r="K23" s="10"/>
      <c r="M23" s="45"/>
      <c r="N23" s="225"/>
      <c r="O23" s="45"/>
      <c r="P23" s="482"/>
      <c r="Q23" s="502"/>
    </row>
    <row r="24" spans="1:44" s="1" customFormat="1" ht="17.25" x14ac:dyDescent="0.3">
      <c r="A24" s="10">
        <v>19</v>
      </c>
      <c r="B24" s="6"/>
      <c r="C24" s="10">
        <v>9</v>
      </c>
      <c r="D24" s="1" t="s">
        <v>567</v>
      </c>
      <c r="E24" s="45"/>
      <c r="F24" s="45"/>
      <c r="G24" s="45">
        <f>+'1.Onbe'!I68</f>
        <v>1500000</v>
      </c>
      <c r="H24" s="45">
        <f>+'1.Onbe'!J68</f>
        <v>1500000</v>
      </c>
      <c r="I24" s="453">
        <f>+'1.Onbe'!K68</f>
        <v>0</v>
      </c>
      <c r="J24" s="10"/>
      <c r="K24" s="10">
        <v>11</v>
      </c>
      <c r="L24" s="1" t="s">
        <v>570</v>
      </c>
      <c r="M24" s="45"/>
      <c r="N24" s="225">
        <v>1500000</v>
      </c>
      <c r="O24" s="45"/>
      <c r="P24" s="482"/>
      <c r="Q24" s="502"/>
    </row>
    <row r="25" spans="1:44" s="1" customFormat="1" ht="17.25" x14ac:dyDescent="0.3">
      <c r="A25" s="10">
        <v>20</v>
      </c>
      <c r="B25" s="6"/>
      <c r="C25" s="10">
        <v>10</v>
      </c>
      <c r="D25" s="1" t="s">
        <v>209</v>
      </c>
      <c r="E25" s="45"/>
      <c r="F25" s="45">
        <v>569346</v>
      </c>
      <c r="G25" s="45"/>
      <c r="H25" s="45">
        <f>'1.Onbe'!J70</f>
        <v>1018997</v>
      </c>
      <c r="I25" s="453">
        <f>'1.Onbe'!K70</f>
        <v>1057686</v>
      </c>
      <c r="J25" s="10"/>
      <c r="K25" s="10">
        <v>12</v>
      </c>
      <c r="L25" s="1" t="s">
        <v>210</v>
      </c>
      <c r="M25" s="45">
        <v>219898</v>
      </c>
      <c r="N25" s="225">
        <v>566850</v>
      </c>
      <c r="O25" s="45">
        <f>+'2.Onki'!I44</f>
        <v>222394</v>
      </c>
      <c r="P25" s="225">
        <f>+'2.Onki'!J44</f>
        <v>1241391</v>
      </c>
      <c r="Q25" s="503">
        <f>+'2.Onki'!K44</f>
        <v>1280079</v>
      </c>
    </row>
    <row r="26" spans="1:44" s="1" customFormat="1" ht="24" customHeight="1" x14ac:dyDescent="0.35">
      <c r="A26" s="10">
        <v>21</v>
      </c>
      <c r="B26" s="6">
        <v>2</v>
      </c>
      <c r="C26" s="10"/>
      <c r="D26" s="487" t="s">
        <v>187</v>
      </c>
      <c r="E26" s="45"/>
      <c r="F26" s="45"/>
      <c r="G26" s="45"/>
      <c r="H26" s="45"/>
      <c r="I26" s="453"/>
      <c r="J26" s="10">
        <v>2</v>
      </c>
      <c r="K26" s="10"/>
      <c r="L26" s="487" t="s">
        <v>188</v>
      </c>
      <c r="M26" s="45"/>
      <c r="N26" s="225"/>
      <c r="O26" s="45"/>
      <c r="P26" s="482"/>
      <c r="Q26" s="502"/>
    </row>
    <row r="27" spans="1:44" s="1" customFormat="1" ht="17.25" x14ac:dyDescent="0.3">
      <c r="A27" s="10">
        <v>22</v>
      </c>
      <c r="B27" s="6"/>
      <c r="C27" s="10">
        <v>11</v>
      </c>
      <c r="D27" s="1" t="s">
        <v>238</v>
      </c>
      <c r="E27" s="45">
        <f>+'1.Onbe'!G64</f>
        <v>6117252</v>
      </c>
      <c r="F27" s="45">
        <v>6362445</v>
      </c>
      <c r="G27" s="45">
        <f>+'1.Onbe'!I64</f>
        <v>7157502</v>
      </c>
      <c r="H27" s="45">
        <f>+'1.Onbe'!J64</f>
        <v>7608194</v>
      </c>
      <c r="I27" s="453">
        <f>+'1.Onbe'!K64</f>
        <v>7608194</v>
      </c>
      <c r="J27" s="10"/>
      <c r="K27" s="10"/>
      <c r="M27" s="45"/>
      <c r="N27" s="225"/>
      <c r="O27" s="45"/>
      <c r="P27" s="482"/>
      <c r="Q27" s="502"/>
    </row>
    <row r="28" spans="1:44" s="1" customFormat="1" ht="17.25" x14ac:dyDescent="0.3">
      <c r="A28" s="10">
        <v>23</v>
      </c>
      <c r="B28" s="6"/>
      <c r="C28" s="10">
        <v>12</v>
      </c>
      <c r="D28" s="1" t="s">
        <v>189</v>
      </c>
      <c r="E28" s="45"/>
      <c r="F28" s="45"/>
      <c r="G28" s="45"/>
      <c r="H28" s="45"/>
      <c r="I28" s="453"/>
      <c r="J28" s="10"/>
      <c r="K28" s="10">
        <v>13</v>
      </c>
      <c r="L28" s="1" t="s">
        <v>190</v>
      </c>
      <c r="M28" s="45">
        <v>237839</v>
      </c>
      <c r="N28" s="225">
        <v>237839</v>
      </c>
      <c r="O28" s="45">
        <f>+'2.Onki'!I46+'2.Onki'!I47</f>
        <v>237839</v>
      </c>
      <c r="P28" s="225">
        <f>+'2.Onki'!J46+'2.Onki'!J47</f>
        <v>237839</v>
      </c>
      <c r="Q28" s="503">
        <f>+'2.Onki'!K46+'2.Onki'!K47</f>
        <v>118919</v>
      </c>
    </row>
    <row r="29" spans="1:44" s="37" customFormat="1" ht="24.75" customHeight="1" thickBot="1" x14ac:dyDescent="0.35">
      <c r="A29" s="10">
        <v>24</v>
      </c>
      <c r="B29" s="127"/>
      <c r="C29" s="128"/>
      <c r="D29" s="14" t="s">
        <v>191</v>
      </c>
      <c r="E29" s="46">
        <f>SUM(E22:E28)</f>
        <v>12689397</v>
      </c>
      <c r="F29" s="46">
        <f>SUM(F22:F28)</f>
        <v>17175240</v>
      </c>
      <c r="G29" s="46">
        <f>SUM(G22:G28)</f>
        <v>12501795</v>
      </c>
      <c r="H29" s="46">
        <f>SUM(H22:H28)</f>
        <v>15931820</v>
      </c>
      <c r="I29" s="454">
        <f>SUM(I22:I28)</f>
        <v>14470509</v>
      </c>
      <c r="J29" s="128"/>
      <c r="K29" s="128"/>
      <c r="L29" s="14" t="s">
        <v>192</v>
      </c>
      <c r="M29" s="46">
        <f>SUM(M22:M28)</f>
        <v>457737</v>
      </c>
      <c r="N29" s="226">
        <f>SUM(N22:N28)</f>
        <v>2304689</v>
      </c>
      <c r="O29" s="46">
        <f>SUM(O22:O28)</f>
        <v>460233</v>
      </c>
      <c r="P29" s="226">
        <f>SUM(P22:P28)</f>
        <v>1479230</v>
      </c>
      <c r="Q29" s="504">
        <f>SUM(Q22:Q28)</f>
        <v>1398998</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s="1" customFormat="1" ht="30" customHeight="1" thickTop="1" thickBot="1" x14ac:dyDescent="0.35">
      <c r="A30" s="10">
        <v>25</v>
      </c>
      <c r="B30" s="127"/>
      <c r="C30" s="128"/>
      <c r="D30" s="14" t="s">
        <v>193</v>
      </c>
      <c r="E30" s="44">
        <f>SUM(E21,E29)</f>
        <v>43547771</v>
      </c>
      <c r="F30" s="44">
        <f>SUM(F21,F29)</f>
        <v>49464036</v>
      </c>
      <c r="G30" s="44">
        <f>SUM(G21,G29)</f>
        <v>38894678</v>
      </c>
      <c r="H30" s="44">
        <f>SUM(H21,H29)</f>
        <v>42814917</v>
      </c>
      <c r="I30" s="451">
        <f>SUM(I21,I29)</f>
        <v>28670875</v>
      </c>
      <c r="J30" s="128"/>
      <c r="K30" s="128"/>
      <c r="L30" s="14" t="s">
        <v>194</v>
      </c>
      <c r="M30" s="44">
        <f>SUM(M21,M29)</f>
        <v>43547771</v>
      </c>
      <c r="N30" s="222">
        <f>SUM(N21,N29)</f>
        <v>36051213</v>
      </c>
      <c r="O30" s="44">
        <f>SUM(O21,O29)</f>
        <v>38894678</v>
      </c>
      <c r="P30" s="222">
        <f>SUM(P21,P29)</f>
        <v>42814917</v>
      </c>
      <c r="Q30" s="500">
        <f>SUM(Q21,Q29)</f>
        <v>17014206</v>
      </c>
    </row>
    <row r="31" spans="1:44" s="1" customFormat="1" ht="18" thickTop="1" x14ac:dyDescent="0.3">
      <c r="A31" s="10">
        <v>26</v>
      </c>
      <c r="B31" s="131"/>
      <c r="C31" s="132"/>
      <c r="D31" s="38" t="s">
        <v>150</v>
      </c>
      <c r="E31" s="47">
        <f>+E21-M21</f>
        <v>-12231660</v>
      </c>
      <c r="F31" s="47">
        <f>+F21-N21</f>
        <v>-1457728</v>
      </c>
      <c r="G31" s="47">
        <f>+G21-O21</f>
        <v>-12041562</v>
      </c>
      <c r="H31" s="47">
        <f>+H21-P21</f>
        <v>-14452590</v>
      </c>
      <c r="I31" s="455">
        <f>+I21-Q21</f>
        <v>-1414842</v>
      </c>
      <c r="J31" s="492"/>
      <c r="K31" s="492"/>
      <c r="L31" s="493"/>
      <c r="M31" s="45"/>
      <c r="N31" s="225"/>
      <c r="O31" s="45"/>
      <c r="P31" s="484"/>
      <c r="Q31" s="502"/>
    </row>
    <row r="32" spans="1:44" s="1" customFormat="1" ht="17.25" x14ac:dyDescent="0.3">
      <c r="A32" s="10">
        <v>27</v>
      </c>
      <c r="B32" s="6"/>
      <c r="C32" s="10"/>
      <c r="D32" s="494" t="s">
        <v>195</v>
      </c>
      <c r="E32" s="48">
        <f>+E14-M14</f>
        <v>-1535897</v>
      </c>
      <c r="F32" s="48">
        <f>+F14-N14</f>
        <v>1900319</v>
      </c>
      <c r="G32" s="48">
        <f>+G14-O14</f>
        <v>-4410031</v>
      </c>
      <c r="H32" s="48">
        <f>+H14-P14</f>
        <v>-6307933</v>
      </c>
      <c r="I32" s="456">
        <f>+I14-Q14</f>
        <v>57681</v>
      </c>
      <c r="J32" s="492"/>
      <c r="K32" s="492"/>
      <c r="L32" s="493"/>
      <c r="M32" s="45"/>
      <c r="N32" s="225"/>
      <c r="O32" s="45"/>
      <c r="P32" s="484"/>
      <c r="Q32" s="502"/>
    </row>
    <row r="33" spans="1:17" s="1" customFormat="1" ht="17.25" x14ac:dyDescent="0.3">
      <c r="A33" s="10">
        <v>28</v>
      </c>
      <c r="B33" s="6"/>
      <c r="C33" s="10"/>
      <c r="D33" s="494" t="s">
        <v>196</v>
      </c>
      <c r="E33" s="48">
        <f>+E20-M20</f>
        <v>-10695763</v>
      </c>
      <c r="F33" s="48">
        <f>+F20-N20</f>
        <v>-3358047</v>
      </c>
      <c r="G33" s="48">
        <f>+G20-O20</f>
        <v>-7631531</v>
      </c>
      <c r="H33" s="48">
        <f>+H20-P20</f>
        <v>-8144657</v>
      </c>
      <c r="I33" s="456">
        <f>+I20-Q20</f>
        <v>-1472523</v>
      </c>
      <c r="J33" s="492"/>
      <c r="K33" s="492"/>
      <c r="L33" s="493"/>
      <c r="M33" s="45"/>
      <c r="N33" s="225"/>
      <c r="O33" s="45"/>
      <c r="P33" s="484"/>
      <c r="Q33" s="502"/>
    </row>
    <row r="34" spans="1:17" s="1" customFormat="1" ht="17.25" x14ac:dyDescent="0.3">
      <c r="A34" s="10">
        <v>29</v>
      </c>
      <c r="B34" s="6"/>
      <c r="C34" s="10"/>
      <c r="D34" s="39" t="s">
        <v>197</v>
      </c>
      <c r="E34" s="48">
        <f>+E31-M29</f>
        <v>-12689397</v>
      </c>
      <c r="F34" s="48">
        <f>+F31-N29</f>
        <v>-3762417</v>
      </c>
      <c r="G34" s="48">
        <f>+G31-O29</f>
        <v>-12501795</v>
      </c>
      <c r="H34" s="48">
        <f>+H31-P29</f>
        <v>-15931820</v>
      </c>
      <c r="I34" s="456">
        <f>+I31-Q29</f>
        <v>-2813840</v>
      </c>
      <c r="J34" s="492"/>
      <c r="K34" s="492"/>
      <c r="L34" s="493"/>
      <c r="M34" s="45"/>
      <c r="N34" s="225"/>
      <c r="O34" s="45"/>
      <c r="P34" s="484"/>
      <c r="Q34" s="502"/>
    </row>
    <row r="35" spans="1:17" s="1" customFormat="1" ht="32.25" customHeight="1" x14ac:dyDescent="0.3">
      <c r="A35" s="10">
        <v>30</v>
      </c>
      <c r="B35" s="6"/>
      <c r="C35" s="10"/>
      <c r="D35" s="495" t="s">
        <v>267</v>
      </c>
      <c r="E35" s="48">
        <f>+E23+E24+E25+E27</f>
        <v>12689397</v>
      </c>
      <c r="F35" s="48">
        <f>+F23+F24+F25+F27</f>
        <v>17175240</v>
      </c>
      <c r="G35" s="48">
        <f>+G23+G24+G27</f>
        <v>12501795</v>
      </c>
      <c r="H35" s="48">
        <f>+H23+H24+H27</f>
        <v>14912823</v>
      </c>
      <c r="I35" s="456">
        <f>+I23+I24+I27</f>
        <v>13412823</v>
      </c>
      <c r="J35" s="492"/>
      <c r="K35" s="492"/>
      <c r="L35" s="493"/>
      <c r="M35" s="45"/>
      <c r="N35" s="225"/>
      <c r="O35" s="45"/>
      <c r="P35" s="484"/>
      <c r="Q35" s="502"/>
    </row>
    <row r="36" spans="1:17" s="1" customFormat="1" ht="33.75" customHeight="1" x14ac:dyDescent="0.3">
      <c r="A36" s="10">
        <v>31</v>
      </c>
      <c r="B36" s="133"/>
      <c r="C36" s="13"/>
      <c r="D36" s="40" t="s">
        <v>268</v>
      </c>
      <c r="E36" s="49"/>
      <c r="F36" s="49"/>
      <c r="G36" s="49"/>
      <c r="H36" s="49">
        <f>H25</f>
        <v>1018997</v>
      </c>
      <c r="I36" s="457">
        <f>I25</f>
        <v>1057686</v>
      </c>
      <c r="J36" s="138"/>
      <c r="K36" s="138"/>
      <c r="L36" s="41"/>
      <c r="M36" s="227"/>
      <c r="N36" s="228"/>
      <c r="O36" s="227"/>
      <c r="P36" s="485"/>
      <c r="Q36" s="505"/>
    </row>
    <row r="37" spans="1:17" ht="20.100000000000001" customHeight="1" x14ac:dyDescent="0.35">
      <c r="A37" s="10">
        <v>32</v>
      </c>
      <c r="B37" s="6"/>
      <c r="C37" s="10"/>
      <c r="D37" s="4" t="s">
        <v>198</v>
      </c>
      <c r="E37" s="50">
        <f>(E14+E24+E25+E23)/E30</f>
        <v>0.76694995479791606</v>
      </c>
      <c r="F37" s="50">
        <f>(F14+F24+F25+F23)/F30</f>
        <v>0.79213210583948301</v>
      </c>
      <c r="G37" s="50">
        <f>(G14+G24+G25+G23)/G30</f>
        <v>0.79859193075206847</v>
      </c>
      <c r="H37" s="50">
        <f>(H14+H24+H25+H23)/H30</f>
        <v>0.8005823297520348</v>
      </c>
      <c r="I37" s="458">
        <f>(I14+I24+I25+I23)/I30</f>
        <v>0.73256818984422345</v>
      </c>
      <c r="J37" s="10"/>
      <c r="K37" s="10"/>
      <c r="L37" s="4" t="s">
        <v>199</v>
      </c>
      <c r="M37" s="50">
        <f>(M14+M24+M25)/M30</f>
        <v>0.65635072343886436</v>
      </c>
      <c r="N37" s="229">
        <f>(N14+N24+N25)/N30</f>
        <v>0.79153472589119267</v>
      </c>
      <c r="O37" s="50">
        <f>(O14+O24+O25)/O30</f>
        <v>0.78028947816459615</v>
      </c>
      <c r="P37" s="229">
        <f>(P14+P24+P25)/P30</f>
        <v>0.78249746461028991</v>
      </c>
      <c r="Q37" s="506">
        <f>(Q14+Q24+Q25)/Q30</f>
        <v>0.90297801731094596</v>
      </c>
    </row>
    <row r="38" spans="1:17" ht="20.100000000000001" customHeight="1" thickBot="1" x14ac:dyDescent="0.4">
      <c r="A38" s="10">
        <v>33</v>
      </c>
      <c r="B38" s="134"/>
      <c r="C38" s="135"/>
      <c r="D38" s="42" t="s">
        <v>200</v>
      </c>
      <c r="E38" s="51">
        <f>(E20+E27+E28)/E30</f>
        <v>0.23305004520208394</v>
      </c>
      <c r="F38" s="51">
        <f>(F20+F27+F28)/F30</f>
        <v>0.20786789416051696</v>
      </c>
      <c r="G38" s="51">
        <f>(G20+G27+G28)/G30</f>
        <v>0.20140806924793156</v>
      </c>
      <c r="H38" s="51">
        <f>(H20+H27+H28)/H30</f>
        <v>0.19941767024796522</v>
      </c>
      <c r="I38" s="459">
        <f>(I20+I27+I28)/I30</f>
        <v>0.26743181015577655</v>
      </c>
      <c r="J38" s="135"/>
      <c r="K38" s="135"/>
      <c r="L38" s="42" t="s">
        <v>201</v>
      </c>
      <c r="M38" s="51">
        <f>(M20+M27+M28)/M30</f>
        <v>0.34364927656113559</v>
      </c>
      <c r="N38" s="230">
        <f>(N20+N27+N28)/N30</f>
        <v>0.20846527410880739</v>
      </c>
      <c r="O38" s="51">
        <f>(O20+O27+O28)/O30</f>
        <v>0.21971052183540379</v>
      </c>
      <c r="P38" s="230">
        <f>(P20+P27+P28)/P30</f>
        <v>0.21750253538971009</v>
      </c>
      <c r="Q38" s="507">
        <f>(Q20+Q27+Q28)/Q30</f>
        <v>9.702198268905407E-2</v>
      </c>
    </row>
    <row r="39" spans="1:17" x14ac:dyDescent="0.3">
      <c r="L39" s="4" t="s">
        <v>202</v>
      </c>
    </row>
  </sheetData>
  <mergeCells count="3">
    <mergeCell ref="B1:D1"/>
    <mergeCell ref="B2:Q2"/>
    <mergeCell ref="B3:Q3"/>
  </mergeCells>
  <printOptions horizontalCentered="1" verticalCentered="1"/>
  <pageMargins left="0.19685039370078741" right="0.19685039370078741" top="0.19685039370078741" bottom="0.19685039370078741" header="0.11811023622047245" footer="0.11811023622047245"/>
  <pageSetup paperSize="9" scale="46" fitToHeight="0" orientation="landscape" r:id="rId1"/>
  <headerFooter alignWithMargins="0">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2466-600B-4A99-9566-8E44572B9BFE}">
  <sheetPr>
    <pageSetUpPr fitToPage="1"/>
  </sheetPr>
  <dimension ref="A1:AD22"/>
  <sheetViews>
    <sheetView tabSelected="1" view="pageBreakPreview" zoomScaleNormal="100" zoomScaleSheetLayoutView="100" workbookViewId="0">
      <selection activeCell="B5" sqref="B5:X5"/>
    </sheetView>
  </sheetViews>
  <sheetFormatPr defaultRowHeight="16.5" x14ac:dyDescent="0.3"/>
  <cols>
    <col min="1" max="1" width="3" style="1436" customWidth="1"/>
    <col min="2" max="2" width="3.7109375" style="1503" customWidth="1"/>
    <col min="3" max="3" width="16.5703125" style="1504" customWidth="1"/>
    <col min="4" max="4" width="16.85546875" style="1503" customWidth="1"/>
    <col min="5" max="6" width="9.85546875" style="1503" bestFit="1" customWidth="1"/>
    <col min="7" max="7" width="9.42578125" style="1503" customWidth="1"/>
    <col min="8" max="8" width="9.85546875" style="1503" customWidth="1"/>
    <col min="9" max="9" width="11" style="1503" customWidth="1"/>
    <col min="10" max="13" width="9.85546875" style="1503" customWidth="1"/>
    <col min="14" max="17" width="9.42578125" style="1503" hidden="1" customWidth="1"/>
    <col min="18" max="24" width="9.42578125" style="1438" hidden="1" customWidth="1"/>
    <col min="25" max="25" width="25.140625" style="1438" hidden="1" customWidth="1"/>
    <col min="26" max="26" width="18.42578125" style="1439" hidden="1" customWidth="1"/>
    <col min="27" max="27" width="17.28515625" style="1438" hidden="1" customWidth="1"/>
    <col min="28" max="28" width="27.42578125" style="1438" hidden="1" customWidth="1"/>
    <col min="29" max="30" width="8" style="1438" hidden="1" customWidth="1"/>
    <col min="31" max="247" width="8" style="1438" customWidth="1"/>
    <col min="248" max="248" width="2.42578125" style="1438" bestFit="1" customWidth="1"/>
    <col min="249" max="249" width="28.28515625" style="1438" bestFit="1" customWidth="1"/>
    <col min="250" max="250" width="14.28515625" style="1438" bestFit="1" customWidth="1"/>
    <col min="251" max="251" width="13.5703125" style="1438" bestFit="1" customWidth="1"/>
    <col min="252" max="252" width="10.7109375" style="1438" bestFit="1" customWidth="1"/>
    <col min="253" max="253" width="9.42578125" style="1438" bestFit="1" customWidth="1"/>
    <col min="254" max="254" width="9.85546875" style="1438" bestFit="1" customWidth="1"/>
    <col min="255" max="255" width="11.28515625" style="1438" bestFit="1" customWidth="1"/>
    <col min="256" max="256" width="9.140625" style="1438"/>
    <col min="257" max="258" width="3.7109375" style="1438" customWidth="1"/>
    <col min="259" max="259" width="18.85546875" style="1438" customWidth="1"/>
    <col min="260" max="260" width="19.7109375" style="1438" customWidth="1"/>
    <col min="261" max="261" width="13.5703125" style="1438" customWidth="1"/>
    <col min="262" max="264" width="11.7109375" style="1438" customWidth="1"/>
    <col min="265" max="265" width="12.7109375" style="1438" customWidth="1"/>
    <col min="266" max="275" width="11.7109375" style="1438" customWidth="1"/>
    <col min="276" max="503" width="8" style="1438" customWidth="1"/>
    <col min="504" max="504" width="2.42578125" style="1438" bestFit="1" customWidth="1"/>
    <col min="505" max="505" width="28.28515625" style="1438" bestFit="1" customWidth="1"/>
    <col min="506" max="506" width="14.28515625" style="1438" bestFit="1" customWidth="1"/>
    <col min="507" max="507" width="13.5703125" style="1438" bestFit="1" customWidth="1"/>
    <col min="508" max="508" width="10.7109375" style="1438" bestFit="1" customWidth="1"/>
    <col min="509" max="509" width="9.42578125" style="1438" bestFit="1" customWidth="1"/>
    <col min="510" max="510" width="9.85546875" style="1438" bestFit="1" customWidth="1"/>
    <col min="511" max="511" width="11.28515625" style="1438" bestFit="1" customWidth="1"/>
    <col min="512" max="512" width="9.140625" style="1438"/>
    <col min="513" max="514" width="3.7109375" style="1438" customWidth="1"/>
    <col min="515" max="515" width="18.85546875" style="1438" customWidth="1"/>
    <col min="516" max="516" width="19.7109375" style="1438" customWidth="1"/>
    <col min="517" max="517" width="13.5703125" style="1438" customWidth="1"/>
    <col min="518" max="520" width="11.7109375" style="1438" customWidth="1"/>
    <col min="521" max="521" width="12.7109375" style="1438" customWidth="1"/>
    <col min="522" max="531" width="11.7109375" style="1438" customWidth="1"/>
    <col min="532" max="759" width="8" style="1438" customWidth="1"/>
    <col min="760" max="760" width="2.42578125" style="1438" bestFit="1" customWidth="1"/>
    <col min="761" max="761" width="28.28515625" style="1438" bestFit="1" customWidth="1"/>
    <col min="762" max="762" width="14.28515625" style="1438" bestFit="1" customWidth="1"/>
    <col min="763" max="763" width="13.5703125" style="1438" bestFit="1" customWidth="1"/>
    <col min="764" max="764" width="10.7109375" style="1438" bestFit="1" customWidth="1"/>
    <col min="765" max="765" width="9.42578125" style="1438" bestFit="1" customWidth="1"/>
    <col min="766" max="766" width="9.85546875" style="1438" bestFit="1" customWidth="1"/>
    <col min="767" max="767" width="11.28515625" style="1438" bestFit="1" customWidth="1"/>
    <col min="768" max="768" width="9.140625" style="1438"/>
    <col min="769" max="770" width="3.7109375" style="1438" customWidth="1"/>
    <col min="771" max="771" width="18.85546875" style="1438" customWidth="1"/>
    <col min="772" max="772" width="19.7109375" style="1438" customWidth="1"/>
    <col min="773" max="773" width="13.5703125" style="1438" customWidth="1"/>
    <col min="774" max="776" width="11.7109375" style="1438" customWidth="1"/>
    <col min="777" max="777" width="12.7109375" style="1438" customWidth="1"/>
    <col min="778" max="787" width="11.7109375" style="1438" customWidth="1"/>
    <col min="788" max="1015" width="8" style="1438" customWidth="1"/>
    <col min="1016" max="1016" width="2.42578125" style="1438" bestFit="1" customWidth="1"/>
    <col min="1017" max="1017" width="28.28515625" style="1438" bestFit="1" customWidth="1"/>
    <col min="1018" max="1018" width="14.28515625" style="1438" bestFit="1" customWidth="1"/>
    <col min="1019" max="1019" width="13.5703125" style="1438" bestFit="1" customWidth="1"/>
    <col min="1020" max="1020" width="10.7109375" style="1438" bestFit="1" customWidth="1"/>
    <col min="1021" max="1021" width="9.42578125" style="1438" bestFit="1" customWidth="1"/>
    <col min="1022" max="1022" width="9.85546875" style="1438" bestFit="1" customWidth="1"/>
    <col min="1023" max="1023" width="11.28515625" style="1438" bestFit="1" customWidth="1"/>
    <col min="1024" max="1024" width="9.140625" style="1438"/>
    <col min="1025" max="1026" width="3.7109375" style="1438" customWidth="1"/>
    <col min="1027" max="1027" width="18.85546875" style="1438" customWidth="1"/>
    <col min="1028" max="1028" width="19.7109375" style="1438" customWidth="1"/>
    <col min="1029" max="1029" width="13.5703125" style="1438" customWidth="1"/>
    <col min="1030" max="1032" width="11.7109375" style="1438" customWidth="1"/>
    <col min="1033" max="1033" width="12.7109375" style="1438" customWidth="1"/>
    <col min="1034" max="1043" width="11.7109375" style="1438" customWidth="1"/>
    <col min="1044" max="1271" width="8" style="1438" customWidth="1"/>
    <col min="1272" max="1272" width="2.42578125" style="1438" bestFit="1" customWidth="1"/>
    <col min="1273" max="1273" width="28.28515625" style="1438" bestFit="1" customWidth="1"/>
    <col min="1274" max="1274" width="14.28515625" style="1438" bestFit="1" customWidth="1"/>
    <col min="1275" max="1275" width="13.5703125" style="1438" bestFit="1" customWidth="1"/>
    <col min="1276" max="1276" width="10.7109375" style="1438" bestFit="1" customWidth="1"/>
    <col min="1277" max="1277" width="9.42578125" style="1438" bestFit="1" customWidth="1"/>
    <col min="1278" max="1278" width="9.85546875" style="1438" bestFit="1" customWidth="1"/>
    <col min="1279" max="1279" width="11.28515625" style="1438" bestFit="1" customWidth="1"/>
    <col min="1280" max="1280" width="9.140625" style="1438"/>
    <col min="1281" max="1282" width="3.7109375" style="1438" customWidth="1"/>
    <col min="1283" max="1283" width="18.85546875" style="1438" customWidth="1"/>
    <col min="1284" max="1284" width="19.7109375" style="1438" customWidth="1"/>
    <col min="1285" max="1285" width="13.5703125" style="1438" customWidth="1"/>
    <col min="1286" max="1288" width="11.7109375" style="1438" customWidth="1"/>
    <col min="1289" max="1289" width="12.7109375" style="1438" customWidth="1"/>
    <col min="1290" max="1299" width="11.7109375" style="1438" customWidth="1"/>
    <col min="1300" max="1527" width="8" style="1438" customWidth="1"/>
    <col min="1528" max="1528" width="2.42578125" style="1438" bestFit="1" customWidth="1"/>
    <col min="1529" max="1529" width="28.28515625" style="1438" bestFit="1" customWidth="1"/>
    <col min="1530" max="1530" width="14.28515625" style="1438" bestFit="1" customWidth="1"/>
    <col min="1531" max="1531" width="13.5703125" style="1438" bestFit="1" customWidth="1"/>
    <col min="1532" max="1532" width="10.7109375" style="1438" bestFit="1" customWidth="1"/>
    <col min="1533" max="1533" width="9.42578125" style="1438" bestFit="1" customWidth="1"/>
    <col min="1534" max="1534" width="9.85546875" style="1438" bestFit="1" customWidth="1"/>
    <col min="1535" max="1535" width="11.28515625" style="1438" bestFit="1" customWidth="1"/>
    <col min="1536" max="1536" width="9.140625" style="1438"/>
    <col min="1537" max="1538" width="3.7109375" style="1438" customWidth="1"/>
    <col min="1539" max="1539" width="18.85546875" style="1438" customWidth="1"/>
    <col min="1540" max="1540" width="19.7109375" style="1438" customWidth="1"/>
    <col min="1541" max="1541" width="13.5703125" style="1438" customWidth="1"/>
    <col min="1542" max="1544" width="11.7109375" style="1438" customWidth="1"/>
    <col min="1545" max="1545" width="12.7109375" style="1438" customWidth="1"/>
    <col min="1546" max="1555" width="11.7109375" style="1438" customWidth="1"/>
    <col min="1556" max="1783" width="8" style="1438" customWidth="1"/>
    <col min="1784" max="1784" width="2.42578125" style="1438" bestFit="1" customWidth="1"/>
    <col min="1785" max="1785" width="28.28515625" style="1438" bestFit="1" customWidth="1"/>
    <col min="1786" max="1786" width="14.28515625" style="1438" bestFit="1" customWidth="1"/>
    <col min="1787" max="1787" width="13.5703125" style="1438" bestFit="1" customWidth="1"/>
    <col min="1788" max="1788" width="10.7109375" style="1438" bestFit="1" customWidth="1"/>
    <col min="1789" max="1789" width="9.42578125" style="1438" bestFit="1" customWidth="1"/>
    <col min="1790" max="1790" width="9.85546875" style="1438" bestFit="1" customWidth="1"/>
    <col min="1791" max="1791" width="11.28515625" style="1438" bestFit="1" customWidth="1"/>
    <col min="1792" max="1792" width="9.140625" style="1438"/>
    <col min="1793" max="1794" width="3.7109375" style="1438" customWidth="1"/>
    <col min="1795" max="1795" width="18.85546875" style="1438" customWidth="1"/>
    <col min="1796" max="1796" width="19.7109375" style="1438" customWidth="1"/>
    <col min="1797" max="1797" width="13.5703125" style="1438" customWidth="1"/>
    <col min="1798" max="1800" width="11.7109375" style="1438" customWidth="1"/>
    <col min="1801" max="1801" width="12.7109375" style="1438" customWidth="1"/>
    <col min="1802" max="1811" width="11.7109375" style="1438" customWidth="1"/>
    <col min="1812" max="2039" width="8" style="1438" customWidth="1"/>
    <col min="2040" max="2040" width="2.42578125" style="1438" bestFit="1" customWidth="1"/>
    <col min="2041" max="2041" width="28.28515625" style="1438" bestFit="1" customWidth="1"/>
    <col min="2042" max="2042" width="14.28515625" style="1438" bestFit="1" customWidth="1"/>
    <col min="2043" max="2043" width="13.5703125" style="1438" bestFit="1" customWidth="1"/>
    <col min="2044" max="2044" width="10.7109375" style="1438" bestFit="1" customWidth="1"/>
    <col min="2045" max="2045" width="9.42578125" style="1438" bestFit="1" customWidth="1"/>
    <col min="2046" max="2046" width="9.85546875" style="1438" bestFit="1" customWidth="1"/>
    <col min="2047" max="2047" width="11.28515625" style="1438" bestFit="1" customWidth="1"/>
    <col min="2048" max="2048" width="9.140625" style="1438"/>
    <col min="2049" max="2050" width="3.7109375" style="1438" customWidth="1"/>
    <col min="2051" max="2051" width="18.85546875" style="1438" customWidth="1"/>
    <col min="2052" max="2052" width="19.7109375" style="1438" customWidth="1"/>
    <col min="2053" max="2053" width="13.5703125" style="1438" customWidth="1"/>
    <col min="2054" max="2056" width="11.7109375" style="1438" customWidth="1"/>
    <col min="2057" max="2057" width="12.7109375" style="1438" customWidth="1"/>
    <col min="2058" max="2067" width="11.7109375" style="1438" customWidth="1"/>
    <col min="2068" max="2295" width="8" style="1438" customWidth="1"/>
    <col min="2296" max="2296" width="2.42578125" style="1438" bestFit="1" customWidth="1"/>
    <col min="2297" max="2297" width="28.28515625" style="1438" bestFit="1" customWidth="1"/>
    <col min="2298" max="2298" width="14.28515625" style="1438" bestFit="1" customWidth="1"/>
    <col min="2299" max="2299" width="13.5703125" style="1438" bestFit="1" customWidth="1"/>
    <col min="2300" max="2300" width="10.7109375" style="1438" bestFit="1" customWidth="1"/>
    <col min="2301" max="2301" width="9.42578125" style="1438" bestFit="1" customWidth="1"/>
    <col min="2302" max="2302" width="9.85546875" style="1438" bestFit="1" customWidth="1"/>
    <col min="2303" max="2303" width="11.28515625" style="1438" bestFit="1" customWidth="1"/>
    <col min="2304" max="2304" width="9.140625" style="1438"/>
    <col min="2305" max="2306" width="3.7109375" style="1438" customWidth="1"/>
    <col min="2307" max="2307" width="18.85546875" style="1438" customWidth="1"/>
    <col min="2308" max="2308" width="19.7109375" style="1438" customWidth="1"/>
    <col min="2309" max="2309" width="13.5703125" style="1438" customWidth="1"/>
    <col min="2310" max="2312" width="11.7109375" style="1438" customWidth="1"/>
    <col min="2313" max="2313" width="12.7109375" style="1438" customWidth="1"/>
    <col min="2314" max="2323" width="11.7109375" style="1438" customWidth="1"/>
    <col min="2324" max="2551" width="8" style="1438" customWidth="1"/>
    <col min="2552" max="2552" width="2.42578125" style="1438" bestFit="1" customWidth="1"/>
    <col min="2553" max="2553" width="28.28515625" style="1438" bestFit="1" customWidth="1"/>
    <col min="2554" max="2554" width="14.28515625" style="1438" bestFit="1" customWidth="1"/>
    <col min="2555" max="2555" width="13.5703125" style="1438" bestFit="1" customWidth="1"/>
    <col min="2556" max="2556" width="10.7109375" style="1438" bestFit="1" customWidth="1"/>
    <col min="2557" max="2557" width="9.42578125" style="1438" bestFit="1" customWidth="1"/>
    <col min="2558" max="2558" width="9.85546875" style="1438" bestFit="1" customWidth="1"/>
    <col min="2559" max="2559" width="11.28515625" style="1438" bestFit="1" customWidth="1"/>
    <col min="2560" max="2560" width="9.140625" style="1438"/>
    <col min="2561" max="2562" width="3.7109375" style="1438" customWidth="1"/>
    <col min="2563" max="2563" width="18.85546875" style="1438" customWidth="1"/>
    <col min="2564" max="2564" width="19.7109375" style="1438" customWidth="1"/>
    <col min="2565" max="2565" width="13.5703125" style="1438" customWidth="1"/>
    <col min="2566" max="2568" width="11.7109375" style="1438" customWidth="1"/>
    <col min="2569" max="2569" width="12.7109375" style="1438" customWidth="1"/>
    <col min="2570" max="2579" width="11.7109375" style="1438" customWidth="1"/>
    <col min="2580" max="2807" width="8" style="1438" customWidth="1"/>
    <col min="2808" max="2808" width="2.42578125" style="1438" bestFit="1" customWidth="1"/>
    <col min="2809" max="2809" width="28.28515625" style="1438" bestFit="1" customWidth="1"/>
    <col min="2810" max="2810" width="14.28515625" style="1438" bestFit="1" customWidth="1"/>
    <col min="2811" max="2811" width="13.5703125" style="1438" bestFit="1" customWidth="1"/>
    <col min="2812" max="2812" width="10.7109375" style="1438" bestFit="1" customWidth="1"/>
    <col min="2813" max="2813" width="9.42578125" style="1438" bestFit="1" customWidth="1"/>
    <col min="2814" max="2814" width="9.85546875" style="1438" bestFit="1" customWidth="1"/>
    <col min="2815" max="2815" width="11.28515625" style="1438" bestFit="1" customWidth="1"/>
    <col min="2816" max="2816" width="9.140625" style="1438"/>
    <col min="2817" max="2818" width="3.7109375" style="1438" customWidth="1"/>
    <col min="2819" max="2819" width="18.85546875" style="1438" customWidth="1"/>
    <col min="2820" max="2820" width="19.7109375" style="1438" customWidth="1"/>
    <col min="2821" max="2821" width="13.5703125" style="1438" customWidth="1"/>
    <col min="2822" max="2824" width="11.7109375" style="1438" customWidth="1"/>
    <col min="2825" max="2825" width="12.7109375" style="1438" customWidth="1"/>
    <col min="2826" max="2835" width="11.7109375" style="1438" customWidth="1"/>
    <col min="2836" max="3063" width="8" style="1438" customWidth="1"/>
    <col min="3064" max="3064" width="2.42578125" style="1438" bestFit="1" customWidth="1"/>
    <col min="3065" max="3065" width="28.28515625" style="1438" bestFit="1" customWidth="1"/>
    <col min="3066" max="3066" width="14.28515625" style="1438" bestFit="1" customWidth="1"/>
    <col min="3067" max="3067" width="13.5703125" style="1438" bestFit="1" customWidth="1"/>
    <col min="3068" max="3068" width="10.7109375" style="1438" bestFit="1" customWidth="1"/>
    <col min="3069" max="3069" width="9.42578125" style="1438" bestFit="1" customWidth="1"/>
    <col min="3070" max="3070" width="9.85546875" style="1438" bestFit="1" customWidth="1"/>
    <col min="3071" max="3071" width="11.28515625" style="1438" bestFit="1" customWidth="1"/>
    <col min="3072" max="3072" width="9.140625" style="1438"/>
    <col min="3073" max="3074" width="3.7109375" style="1438" customWidth="1"/>
    <col min="3075" max="3075" width="18.85546875" style="1438" customWidth="1"/>
    <col min="3076" max="3076" width="19.7109375" style="1438" customWidth="1"/>
    <col min="3077" max="3077" width="13.5703125" style="1438" customWidth="1"/>
    <col min="3078" max="3080" width="11.7109375" style="1438" customWidth="1"/>
    <col min="3081" max="3081" width="12.7109375" style="1438" customWidth="1"/>
    <col min="3082" max="3091" width="11.7109375" style="1438" customWidth="1"/>
    <col min="3092" max="3319" width="8" style="1438" customWidth="1"/>
    <col min="3320" max="3320" width="2.42578125" style="1438" bestFit="1" customWidth="1"/>
    <col min="3321" max="3321" width="28.28515625" style="1438" bestFit="1" customWidth="1"/>
    <col min="3322" max="3322" width="14.28515625" style="1438" bestFit="1" customWidth="1"/>
    <col min="3323" max="3323" width="13.5703125" style="1438" bestFit="1" customWidth="1"/>
    <col min="3324" max="3324" width="10.7109375" style="1438" bestFit="1" customWidth="1"/>
    <col min="3325" max="3325" width="9.42578125" style="1438" bestFit="1" customWidth="1"/>
    <col min="3326" max="3326" width="9.85546875" style="1438" bestFit="1" customWidth="1"/>
    <col min="3327" max="3327" width="11.28515625" style="1438" bestFit="1" customWidth="1"/>
    <col min="3328" max="3328" width="9.140625" style="1438"/>
    <col min="3329" max="3330" width="3.7109375" style="1438" customWidth="1"/>
    <col min="3331" max="3331" width="18.85546875" style="1438" customWidth="1"/>
    <col min="3332" max="3332" width="19.7109375" style="1438" customWidth="1"/>
    <col min="3333" max="3333" width="13.5703125" style="1438" customWidth="1"/>
    <col min="3334" max="3336" width="11.7109375" style="1438" customWidth="1"/>
    <col min="3337" max="3337" width="12.7109375" style="1438" customWidth="1"/>
    <col min="3338" max="3347" width="11.7109375" style="1438" customWidth="1"/>
    <col min="3348" max="3575" width="8" style="1438" customWidth="1"/>
    <col min="3576" max="3576" width="2.42578125" style="1438" bestFit="1" customWidth="1"/>
    <col min="3577" max="3577" width="28.28515625" style="1438" bestFit="1" customWidth="1"/>
    <col min="3578" max="3578" width="14.28515625" style="1438" bestFit="1" customWidth="1"/>
    <col min="3579" max="3579" width="13.5703125" style="1438" bestFit="1" customWidth="1"/>
    <col min="3580" max="3580" width="10.7109375" style="1438" bestFit="1" customWidth="1"/>
    <col min="3581" max="3581" width="9.42578125" style="1438" bestFit="1" customWidth="1"/>
    <col min="3582" max="3582" width="9.85546875" style="1438" bestFit="1" customWidth="1"/>
    <col min="3583" max="3583" width="11.28515625" style="1438" bestFit="1" customWidth="1"/>
    <col min="3584" max="3584" width="9.140625" style="1438"/>
    <col min="3585" max="3586" width="3.7109375" style="1438" customWidth="1"/>
    <col min="3587" max="3587" width="18.85546875" style="1438" customWidth="1"/>
    <col min="3588" max="3588" width="19.7109375" style="1438" customWidth="1"/>
    <col min="3589" max="3589" width="13.5703125" style="1438" customWidth="1"/>
    <col min="3590" max="3592" width="11.7109375" style="1438" customWidth="1"/>
    <col min="3593" max="3593" width="12.7109375" style="1438" customWidth="1"/>
    <col min="3594" max="3603" width="11.7109375" style="1438" customWidth="1"/>
    <col min="3604" max="3831" width="8" style="1438" customWidth="1"/>
    <col min="3832" max="3832" width="2.42578125" style="1438" bestFit="1" customWidth="1"/>
    <col min="3833" max="3833" width="28.28515625" style="1438" bestFit="1" customWidth="1"/>
    <col min="3834" max="3834" width="14.28515625" style="1438" bestFit="1" customWidth="1"/>
    <col min="3835" max="3835" width="13.5703125" style="1438" bestFit="1" customWidth="1"/>
    <col min="3836" max="3836" width="10.7109375" style="1438" bestFit="1" customWidth="1"/>
    <col min="3837" max="3837" width="9.42578125" style="1438" bestFit="1" customWidth="1"/>
    <col min="3838" max="3838" width="9.85546875" style="1438" bestFit="1" customWidth="1"/>
    <col min="3839" max="3839" width="11.28515625" style="1438" bestFit="1" customWidth="1"/>
    <col min="3840" max="3840" width="9.140625" style="1438"/>
    <col min="3841" max="3842" width="3.7109375" style="1438" customWidth="1"/>
    <col min="3843" max="3843" width="18.85546875" style="1438" customWidth="1"/>
    <col min="3844" max="3844" width="19.7109375" style="1438" customWidth="1"/>
    <col min="3845" max="3845" width="13.5703125" style="1438" customWidth="1"/>
    <col min="3846" max="3848" width="11.7109375" style="1438" customWidth="1"/>
    <col min="3849" max="3849" width="12.7109375" style="1438" customWidth="1"/>
    <col min="3850" max="3859" width="11.7109375" style="1438" customWidth="1"/>
    <col min="3860" max="4087" width="8" style="1438" customWidth="1"/>
    <col min="4088" max="4088" width="2.42578125" style="1438" bestFit="1" customWidth="1"/>
    <col min="4089" max="4089" width="28.28515625" style="1438" bestFit="1" customWidth="1"/>
    <col min="4090" max="4090" width="14.28515625" style="1438" bestFit="1" customWidth="1"/>
    <col min="4091" max="4091" width="13.5703125" style="1438" bestFit="1" customWidth="1"/>
    <col min="4092" max="4092" width="10.7109375" style="1438" bestFit="1" customWidth="1"/>
    <col min="4093" max="4093" width="9.42578125" style="1438" bestFit="1" customWidth="1"/>
    <col min="4094" max="4094" width="9.85546875" style="1438" bestFit="1" customWidth="1"/>
    <col min="4095" max="4095" width="11.28515625" style="1438" bestFit="1" customWidth="1"/>
    <col min="4096" max="4096" width="9.140625" style="1438"/>
    <col min="4097" max="4098" width="3.7109375" style="1438" customWidth="1"/>
    <col min="4099" max="4099" width="18.85546875" style="1438" customWidth="1"/>
    <col min="4100" max="4100" width="19.7109375" style="1438" customWidth="1"/>
    <col min="4101" max="4101" width="13.5703125" style="1438" customWidth="1"/>
    <col min="4102" max="4104" width="11.7109375" style="1438" customWidth="1"/>
    <col min="4105" max="4105" width="12.7109375" style="1438" customWidth="1"/>
    <col min="4106" max="4115" width="11.7109375" style="1438" customWidth="1"/>
    <col min="4116" max="4343" width="8" style="1438" customWidth="1"/>
    <col min="4344" max="4344" width="2.42578125" style="1438" bestFit="1" customWidth="1"/>
    <col min="4345" max="4345" width="28.28515625" style="1438" bestFit="1" customWidth="1"/>
    <col min="4346" max="4346" width="14.28515625" style="1438" bestFit="1" customWidth="1"/>
    <col min="4347" max="4347" width="13.5703125" style="1438" bestFit="1" customWidth="1"/>
    <col min="4348" max="4348" width="10.7109375" style="1438" bestFit="1" customWidth="1"/>
    <col min="4349" max="4349" width="9.42578125" style="1438" bestFit="1" customWidth="1"/>
    <col min="4350" max="4350" width="9.85546875" style="1438" bestFit="1" customWidth="1"/>
    <col min="4351" max="4351" width="11.28515625" style="1438" bestFit="1" customWidth="1"/>
    <col min="4352" max="4352" width="9.140625" style="1438"/>
    <col min="4353" max="4354" width="3.7109375" style="1438" customWidth="1"/>
    <col min="4355" max="4355" width="18.85546875" style="1438" customWidth="1"/>
    <col min="4356" max="4356" width="19.7109375" style="1438" customWidth="1"/>
    <col min="4357" max="4357" width="13.5703125" style="1438" customWidth="1"/>
    <col min="4358" max="4360" width="11.7109375" style="1438" customWidth="1"/>
    <col min="4361" max="4361" width="12.7109375" style="1438" customWidth="1"/>
    <col min="4362" max="4371" width="11.7109375" style="1438" customWidth="1"/>
    <col min="4372" max="4599" width="8" style="1438" customWidth="1"/>
    <col min="4600" max="4600" width="2.42578125" style="1438" bestFit="1" customWidth="1"/>
    <col min="4601" max="4601" width="28.28515625" style="1438" bestFit="1" customWidth="1"/>
    <col min="4602" max="4602" width="14.28515625" style="1438" bestFit="1" customWidth="1"/>
    <col min="4603" max="4603" width="13.5703125" style="1438" bestFit="1" customWidth="1"/>
    <col min="4604" max="4604" width="10.7109375" style="1438" bestFit="1" customWidth="1"/>
    <col min="4605" max="4605" width="9.42578125" style="1438" bestFit="1" customWidth="1"/>
    <col min="4606" max="4606" width="9.85546875" style="1438" bestFit="1" customWidth="1"/>
    <col min="4607" max="4607" width="11.28515625" style="1438" bestFit="1" customWidth="1"/>
    <col min="4608" max="4608" width="9.140625" style="1438"/>
    <col min="4609" max="4610" width="3.7109375" style="1438" customWidth="1"/>
    <col min="4611" max="4611" width="18.85546875" style="1438" customWidth="1"/>
    <col min="4612" max="4612" width="19.7109375" style="1438" customWidth="1"/>
    <col min="4613" max="4613" width="13.5703125" style="1438" customWidth="1"/>
    <col min="4614" max="4616" width="11.7109375" style="1438" customWidth="1"/>
    <col min="4617" max="4617" width="12.7109375" style="1438" customWidth="1"/>
    <col min="4618" max="4627" width="11.7109375" style="1438" customWidth="1"/>
    <col min="4628" max="4855" width="8" style="1438" customWidth="1"/>
    <col min="4856" max="4856" width="2.42578125" style="1438" bestFit="1" customWidth="1"/>
    <col min="4857" max="4857" width="28.28515625" style="1438" bestFit="1" customWidth="1"/>
    <col min="4858" max="4858" width="14.28515625" style="1438" bestFit="1" customWidth="1"/>
    <col min="4859" max="4859" width="13.5703125" style="1438" bestFit="1" customWidth="1"/>
    <col min="4860" max="4860" width="10.7109375" style="1438" bestFit="1" customWidth="1"/>
    <col min="4861" max="4861" width="9.42578125" style="1438" bestFit="1" customWidth="1"/>
    <col min="4862" max="4862" width="9.85546875" style="1438" bestFit="1" customWidth="1"/>
    <col min="4863" max="4863" width="11.28515625" style="1438" bestFit="1" customWidth="1"/>
    <col min="4864" max="4864" width="9.140625" style="1438"/>
    <col min="4865" max="4866" width="3.7109375" style="1438" customWidth="1"/>
    <col min="4867" max="4867" width="18.85546875" style="1438" customWidth="1"/>
    <col min="4868" max="4868" width="19.7109375" style="1438" customWidth="1"/>
    <col min="4869" max="4869" width="13.5703125" style="1438" customWidth="1"/>
    <col min="4870" max="4872" width="11.7109375" style="1438" customWidth="1"/>
    <col min="4873" max="4873" width="12.7109375" style="1438" customWidth="1"/>
    <col min="4874" max="4883" width="11.7109375" style="1438" customWidth="1"/>
    <col min="4884" max="5111" width="8" style="1438" customWidth="1"/>
    <col min="5112" max="5112" width="2.42578125" style="1438" bestFit="1" customWidth="1"/>
    <col min="5113" max="5113" width="28.28515625" style="1438" bestFit="1" customWidth="1"/>
    <col min="5114" max="5114" width="14.28515625" style="1438" bestFit="1" customWidth="1"/>
    <col min="5115" max="5115" width="13.5703125" style="1438" bestFit="1" customWidth="1"/>
    <col min="5116" max="5116" width="10.7109375" style="1438" bestFit="1" customWidth="1"/>
    <col min="5117" max="5117" width="9.42578125" style="1438" bestFit="1" customWidth="1"/>
    <col min="5118" max="5118" width="9.85546875" style="1438" bestFit="1" customWidth="1"/>
    <col min="5119" max="5119" width="11.28515625" style="1438" bestFit="1" customWidth="1"/>
    <col min="5120" max="5120" width="9.140625" style="1438"/>
    <col min="5121" max="5122" width="3.7109375" style="1438" customWidth="1"/>
    <col min="5123" max="5123" width="18.85546875" style="1438" customWidth="1"/>
    <col min="5124" max="5124" width="19.7109375" style="1438" customWidth="1"/>
    <col min="5125" max="5125" width="13.5703125" style="1438" customWidth="1"/>
    <col min="5126" max="5128" width="11.7109375" style="1438" customWidth="1"/>
    <col min="5129" max="5129" width="12.7109375" style="1438" customWidth="1"/>
    <col min="5130" max="5139" width="11.7109375" style="1438" customWidth="1"/>
    <col min="5140" max="5367" width="8" style="1438" customWidth="1"/>
    <col min="5368" max="5368" width="2.42578125" style="1438" bestFit="1" customWidth="1"/>
    <col min="5369" max="5369" width="28.28515625" style="1438" bestFit="1" customWidth="1"/>
    <col min="5370" max="5370" width="14.28515625" style="1438" bestFit="1" customWidth="1"/>
    <col min="5371" max="5371" width="13.5703125" style="1438" bestFit="1" customWidth="1"/>
    <col min="5372" max="5372" width="10.7109375" style="1438" bestFit="1" customWidth="1"/>
    <col min="5373" max="5373" width="9.42578125" style="1438" bestFit="1" customWidth="1"/>
    <col min="5374" max="5374" width="9.85546875" style="1438" bestFit="1" customWidth="1"/>
    <col min="5375" max="5375" width="11.28515625" style="1438" bestFit="1" customWidth="1"/>
    <col min="5376" max="5376" width="9.140625" style="1438"/>
    <col min="5377" max="5378" width="3.7109375" style="1438" customWidth="1"/>
    <col min="5379" max="5379" width="18.85546875" style="1438" customWidth="1"/>
    <col min="5380" max="5380" width="19.7109375" style="1438" customWidth="1"/>
    <col min="5381" max="5381" width="13.5703125" style="1438" customWidth="1"/>
    <col min="5382" max="5384" width="11.7109375" style="1438" customWidth="1"/>
    <col min="5385" max="5385" width="12.7109375" style="1438" customWidth="1"/>
    <col min="5386" max="5395" width="11.7109375" style="1438" customWidth="1"/>
    <col min="5396" max="5623" width="8" style="1438" customWidth="1"/>
    <col min="5624" max="5624" width="2.42578125" style="1438" bestFit="1" customWidth="1"/>
    <col min="5625" max="5625" width="28.28515625" style="1438" bestFit="1" customWidth="1"/>
    <col min="5626" max="5626" width="14.28515625" style="1438" bestFit="1" customWidth="1"/>
    <col min="5627" max="5627" width="13.5703125" style="1438" bestFit="1" customWidth="1"/>
    <col min="5628" max="5628" width="10.7109375" style="1438" bestFit="1" customWidth="1"/>
    <col min="5629" max="5629" width="9.42578125" style="1438" bestFit="1" customWidth="1"/>
    <col min="5630" max="5630" width="9.85546875" style="1438" bestFit="1" customWidth="1"/>
    <col min="5631" max="5631" width="11.28515625" style="1438" bestFit="1" customWidth="1"/>
    <col min="5632" max="5632" width="9.140625" style="1438"/>
    <col min="5633" max="5634" width="3.7109375" style="1438" customWidth="1"/>
    <col min="5635" max="5635" width="18.85546875" style="1438" customWidth="1"/>
    <col min="5636" max="5636" width="19.7109375" style="1438" customWidth="1"/>
    <col min="5637" max="5637" width="13.5703125" style="1438" customWidth="1"/>
    <col min="5638" max="5640" width="11.7109375" style="1438" customWidth="1"/>
    <col min="5641" max="5641" width="12.7109375" style="1438" customWidth="1"/>
    <col min="5642" max="5651" width="11.7109375" style="1438" customWidth="1"/>
    <col min="5652" max="5879" width="8" style="1438" customWidth="1"/>
    <col min="5880" max="5880" width="2.42578125" style="1438" bestFit="1" customWidth="1"/>
    <col min="5881" max="5881" width="28.28515625" style="1438" bestFit="1" customWidth="1"/>
    <col min="5882" max="5882" width="14.28515625" style="1438" bestFit="1" customWidth="1"/>
    <col min="5883" max="5883" width="13.5703125" style="1438" bestFit="1" customWidth="1"/>
    <col min="5884" max="5884" width="10.7109375" style="1438" bestFit="1" customWidth="1"/>
    <col min="5885" max="5885" width="9.42578125" style="1438" bestFit="1" customWidth="1"/>
    <col min="5886" max="5886" width="9.85546875" style="1438" bestFit="1" customWidth="1"/>
    <col min="5887" max="5887" width="11.28515625" style="1438" bestFit="1" customWidth="1"/>
    <col min="5888" max="5888" width="9.140625" style="1438"/>
    <col min="5889" max="5890" width="3.7109375" style="1438" customWidth="1"/>
    <col min="5891" max="5891" width="18.85546875" style="1438" customWidth="1"/>
    <col min="5892" max="5892" width="19.7109375" style="1438" customWidth="1"/>
    <col min="5893" max="5893" width="13.5703125" style="1438" customWidth="1"/>
    <col min="5894" max="5896" width="11.7109375" style="1438" customWidth="1"/>
    <col min="5897" max="5897" width="12.7109375" style="1438" customWidth="1"/>
    <col min="5898" max="5907" width="11.7109375" style="1438" customWidth="1"/>
    <col min="5908" max="6135" width="8" style="1438" customWidth="1"/>
    <col min="6136" max="6136" width="2.42578125" style="1438" bestFit="1" customWidth="1"/>
    <col min="6137" max="6137" width="28.28515625" style="1438" bestFit="1" customWidth="1"/>
    <col min="6138" max="6138" width="14.28515625" style="1438" bestFit="1" customWidth="1"/>
    <col min="6139" max="6139" width="13.5703125" style="1438" bestFit="1" customWidth="1"/>
    <col min="6140" max="6140" width="10.7109375" style="1438" bestFit="1" customWidth="1"/>
    <col min="6141" max="6141" width="9.42578125" style="1438" bestFit="1" customWidth="1"/>
    <col min="6142" max="6142" width="9.85546875" style="1438" bestFit="1" customWidth="1"/>
    <col min="6143" max="6143" width="11.28515625" style="1438" bestFit="1" customWidth="1"/>
    <col min="6144" max="6144" width="9.140625" style="1438"/>
    <col min="6145" max="6146" width="3.7109375" style="1438" customWidth="1"/>
    <col min="6147" max="6147" width="18.85546875" style="1438" customWidth="1"/>
    <col min="6148" max="6148" width="19.7109375" style="1438" customWidth="1"/>
    <col min="6149" max="6149" width="13.5703125" style="1438" customWidth="1"/>
    <col min="6150" max="6152" width="11.7109375" style="1438" customWidth="1"/>
    <col min="6153" max="6153" width="12.7109375" style="1438" customWidth="1"/>
    <col min="6154" max="6163" width="11.7109375" style="1438" customWidth="1"/>
    <col min="6164" max="6391" width="8" style="1438" customWidth="1"/>
    <col min="6392" max="6392" width="2.42578125" style="1438" bestFit="1" customWidth="1"/>
    <col min="6393" max="6393" width="28.28515625" style="1438" bestFit="1" customWidth="1"/>
    <col min="6394" max="6394" width="14.28515625" style="1438" bestFit="1" customWidth="1"/>
    <col min="6395" max="6395" width="13.5703125" style="1438" bestFit="1" customWidth="1"/>
    <col min="6396" max="6396" width="10.7109375" style="1438" bestFit="1" customWidth="1"/>
    <col min="6397" max="6397" width="9.42578125" style="1438" bestFit="1" customWidth="1"/>
    <col min="6398" max="6398" width="9.85546875" style="1438" bestFit="1" customWidth="1"/>
    <col min="6399" max="6399" width="11.28515625" style="1438" bestFit="1" customWidth="1"/>
    <col min="6400" max="6400" width="9.140625" style="1438"/>
    <col min="6401" max="6402" width="3.7109375" style="1438" customWidth="1"/>
    <col min="6403" max="6403" width="18.85546875" style="1438" customWidth="1"/>
    <col min="6404" max="6404" width="19.7109375" style="1438" customWidth="1"/>
    <col min="6405" max="6405" width="13.5703125" style="1438" customWidth="1"/>
    <col min="6406" max="6408" width="11.7109375" style="1438" customWidth="1"/>
    <col min="6409" max="6409" width="12.7109375" style="1438" customWidth="1"/>
    <col min="6410" max="6419" width="11.7109375" style="1438" customWidth="1"/>
    <col min="6420" max="6647" width="8" style="1438" customWidth="1"/>
    <col min="6648" max="6648" width="2.42578125" style="1438" bestFit="1" customWidth="1"/>
    <col min="6649" max="6649" width="28.28515625" style="1438" bestFit="1" customWidth="1"/>
    <col min="6650" max="6650" width="14.28515625" style="1438" bestFit="1" customWidth="1"/>
    <col min="6651" max="6651" width="13.5703125" style="1438" bestFit="1" customWidth="1"/>
    <col min="6652" max="6652" width="10.7109375" style="1438" bestFit="1" customWidth="1"/>
    <col min="6653" max="6653" width="9.42578125" style="1438" bestFit="1" customWidth="1"/>
    <col min="6654" max="6654" width="9.85546875" style="1438" bestFit="1" customWidth="1"/>
    <col min="6655" max="6655" width="11.28515625" style="1438" bestFit="1" customWidth="1"/>
    <col min="6656" max="6656" width="9.140625" style="1438"/>
    <col min="6657" max="6658" width="3.7109375" style="1438" customWidth="1"/>
    <col min="6659" max="6659" width="18.85546875" style="1438" customWidth="1"/>
    <col min="6660" max="6660" width="19.7109375" style="1438" customWidth="1"/>
    <col min="6661" max="6661" width="13.5703125" style="1438" customWidth="1"/>
    <col min="6662" max="6664" width="11.7109375" style="1438" customWidth="1"/>
    <col min="6665" max="6665" width="12.7109375" style="1438" customWidth="1"/>
    <col min="6666" max="6675" width="11.7109375" style="1438" customWidth="1"/>
    <col min="6676" max="6903" width="8" style="1438" customWidth="1"/>
    <col min="6904" max="6904" width="2.42578125" style="1438" bestFit="1" customWidth="1"/>
    <col min="6905" max="6905" width="28.28515625" style="1438" bestFit="1" customWidth="1"/>
    <col min="6906" max="6906" width="14.28515625" style="1438" bestFit="1" customWidth="1"/>
    <col min="6907" max="6907" width="13.5703125" style="1438" bestFit="1" customWidth="1"/>
    <col min="6908" max="6908" width="10.7109375" style="1438" bestFit="1" customWidth="1"/>
    <col min="6909" max="6909" width="9.42578125" style="1438" bestFit="1" customWidth="1"/>
    <col min="6910" max="6910" width="9.85546875" style="1438" bestFit="1" customWidth="1"/>
    <col min="6911" max="6911" width="11.28515625" style="1438" bestFit="1" customWidth="1"/>
    <col min="6912" max="6912" width="9.140625" style="1438"/>
    <col min="6913" max="6914" width="3.7109375" style="1438" customWidth="1"/>
    <col min="6915" max="6915" width="18.85546875" style="1438" customWidth="1"/>
    <col min="6916" max="6916" width="19.7109375" style="1438" customWidth="1"/>
    <col min="6917" max="6917" width="13.5703125" style="1438" customWidth="1"/>
    <col min="6918" max="6920" width="11.7109375" style="1438" customWidth="1"/>
    <col min="6921" max="6921" width="12.7109375" style="1438" customWidth="1"/>
    <col min="6922" max="6931" width="11.7109375" style="1438" customWidth="1"/>
    <col min="6932" max="7159" width="8" style="1438" customWidth="1"/>
    <col min="7160" max="7160" width="2.42578125" style="1438" bestFit="1" customWidth="1"/>
    <col min="7161" max="7161" width="28.28515625" style="1438" bestFit="1" customWidth="1"/>
    <col min="7162" max="7162" width="14.28515625" style="1438" bestFit="1" customWidth="1"/>
    <col min="7163" max="7163" width="13.5703125" style="1438" bestFit="1" customWidth="1"/>
    <col min="7164" max="7164" width="10.7109375" style="1438" bestFit="1" customWidth="1"/>
    <col min="7165" max="7165" width="9.42578125" style="1438" bestFit="1" customWidth="1"/>
    <col min="7166" max="7166" width="9.85546875" style="1438" bestFit="1" customWidth="1"/>
    <col min="7167" max="7167" width="11.28515625" style="1438" bestFit="1" customWidth="1"/>
    <col min="7168" max="7168" width="9.140625" style="1438"/>
    <col min="7169" max="7170" width="3.7109375" style="1438" customWidth="1"/>
    <col min="7171" max="7171" width="18.85546875" style="1438" customWidth="1"/>
    <col min="7172" max="7172" width="19.7109375" style="1438" customWidth="1"/>
    <col min="7173" max="7173" width="13.5703125" style="1438" customWidth="1"/>
    <col min="7174" max="7176" width="11.7109375" style="1438" customWidth="1"/>
    <col min="7177" max="7177" width="12.7109375" style="1438" customWidth="1"/>
    <col min="7178" max="7187" width="11.7109375" style="1438" customWidth="1"/>
    <col min="7188" max="7415" width="8" style="1438" customWidth="1"/>
    <col min="7416" max="7416" width="2.42578125" style="1438" bestFit="1" customWidth="1"/>
    <col min="7417" max="7417" width="28.28515625" style="1438" bestFit="1" customWidth="1"/>
    <col min="7418" max="7418" width="14.28515625" style="1438" bestFit="1" customWidth="1"/>
    <col min="7419" max="7419" width="13.5703125" style="1438" bestFit="1" customWidth="1"/>
    <col min="7420" max="7420" width="10.7109375" style="1438" bestFit="1" customWidth="1"/>
    <col min="7421" max="7421" width="9.42578125" style="1438" bestFit="1" customWidth="1"/>
    <col min="7422" max="7422" width="9.85546875" style="1438" bestFit="1" customWidth="1"/>
    <col min="7423" max="7423" width="11.28515625" style="1438" bestFit="1" customWidth="1"/>
    <col min="7424" max="7424" width="9.140625" style="1438"/>
    <col min="7425" max="7426" width="3.7109375" style="1438" customWidth="1"/>
    <col min="7427" max="7427" width="18.85546875" style="1438" customWidth="1"/>
    <col min="7428" max="7428" width="19.7109375" style="1438" customWidth="1"/>
    <col min="7429" max="7429" width="13.5703125" style="1438" customWidth="1"/>
    <col min="7430" max="7432" width="11.7109375" style="1438" customWidth="1"/>
    <col min="7433" max="7433" width="12.7109375" style="1438" customWidth="1"/>
    <col min="7434" max="7443" width="11.7109375" style="1438" customWidth="1"/>
    <col min="7444" max="7671" width="8" style="1438" customWidth="1"/>
    <col min="7672" max="7672" width="2.42578125" style="1438" bestFit="1" customWidth="1"/>
    <col min="7673" max="7673" width="28.28515625" style="1438" bestFit="1" customWidth="1"/>
    <col min="7674" max="7674" width="14.28515625" style="1438" bestFit="1" customWidth="1"/>
    <col min="7675" max="7675" width="13.5703125" style="1438" bestFit="1" customWidth="1"/>
    <col min="7676" max="7676" width="10.7109375" style="1438" bestFit="1" customWidth="1"/>
    <col min="7677" max="7677" width="9.42578125" style="1438" bestFit="1" customWidth="1"/>
    <col min="7678" max="7678" width="9.85546875" style="1438" bestFit="1" customWidth="1"/>
    <col min="7679" max="7679" width="11.28515625" style="1438" bestFit="1" customWidth="1"/>
    <col min="7680" max="7680" width="9.140625" style="1438"/>
    <col min="7681" max="7682" width="3.7109375" style="1438" customWidth="1"/>
    <col min="7683" max="7683" width="18.85546875" style="1438" customWidth="1"/>
    <col min="7684" max="7684" width="19.7109375" style="1438" customWidth="1"/>
    <col min="7685" max="7685" width="13.5703125" style="1438" customWidth="1"/>
    <col min="7686" max="7688" width="11.7109375" style="1438" customWidth="1"/>
    <col min="7689" max="7689" width="12.7109375" style="1438" customWidth="1"/>
    <col min="7690" max="7699" width="11.7109375" style="1438" customWidth="1"/>
    <col min="7700" max="7927" width="8" style="1438" customWidth="1"/>
    <col min="7928" max="7928" width="2.42578125" style="1438" bestFit="1" customWidth="1"/>
    <col min="7929" max="7929" width="28.28515625" style="1438" bestFit="1" customWidth="1"/>
    <col min="7930" max="7930" width="14.28515625" style="1438" bestFit="1" customWidth="1"/>
    <col min="7931" max="7931" width="13.5703125" style="1438" bestFit="1" customWidth="1"/>
    <col min="7932" max="7932" width="10.7109375" style="1438" bestFit="1" customWidth="1"/>
    <col min="7933" max="7933" width="9.42578125" style="1438" bestFit="1" customWidth="1"/>
    <col min="7934" max="7934" width="9.85546875" style="1438" bestFit="1" customWidth="1"/>
    <col min="7935" max="7935" width="11.28515625" style="1438" bestFit="1" customWidth="1"/>
    <col min="7936" max="7936" width="9.140625" style="1438"/>
    <col min="7937" max="7938" width="3.7109375" style="1438" customWidth="1"/>
    <col min="7939" max="7939" width="18.85546875" style="1438" customWidth="1"/>
    <col min="7940" max="7940" width="19.7109375" style="1438" customWidth="1"/>
    <col min="7941" max="7941" width="13.5703125" style="1438" customWidth="1"/>
    <col min="7942" max="7944" width="11.7109375" style="1438" customWidth="1"/>
    <col min="7945" max="7945" width="12.7109375" style="1438" customWidth="1"/>
    <col min="7946" max="7955" width="11.7109375" style="1438" customWidth="1"/>
    <col min="7956" max="8183" width="8" style="1438" customWidth="1"/>
    <col min="8184" max="8184" width="2.42578125" style="1438" bestFit="1" customWidth="1"/>
    <col min="8185" max="8185" width="28.28515625" style="1438" bestFit="1" customWidth="1"/>
    <col min="8186" max="8186" width="14.28515625" style="1438" bestFit="1" customWidth="1"/>
    <col min="8187" max="8187" width="13.5703125" style="1438" bestFit="1" customWidth="1"/>
    <col min="8188" max="8188" width="10.7109375" style="1438" bestFit="1" customWidth="1"/>
    <col min="8189" max="8189" width="9.42578125" style="1438" bestFit="1" customWidth="1"/>
    <col min="8190" max="8190" width="9.85546875" style="1438" bestFit="1" customWidth="1"/>
    <col min="8191" max="8191" width="11.28515625" style="1438" bestFit="1" customWidth="1"/>
    <col min="8192" max="8192" width="9.140625" style="1438"/>
    <col min="8193" max="8194" width="3.7109375" style="1438" customWidth="1"/>
    <col min="8195" max="8195" width="18.85546875" style="1438" customWidth="1"/>
    <col min="8196" max="8196" width="19.7109375" style="1438" customWidth="1"/>
    <col min="8197" max="8197" width="13.5703125" style="1438" customWidth="1"/>
    <col min="8198" max="8200" width="11.7109375" style="1438" customWidth="1"/>
    <col min="8201" max="8201" width="12.7109375" style="1438" customWidth="1"/>
    <col min="8202" max="8211" width="11.7109375" style="1438" customWidth="1"/>
    <col min="8212" max="8439" width="8" style="1438" customWidth="1"/>
    <col min="8440" max="8440" width="2.42578125" style="1438" bestFit="1" customWidth="1"/>
    <col min="8441" max="8441" width="28.28515625" style="1438" bestFit="1" customWidth="1"/>
    <col min="8442" max="8442" width="14.28515625" style="1438" bestFit="1" customWidth="1"/>
    <col min="8443" max="8443" width="13.5703125" style="1438" bestFit="1" customWidth="1"/>
    <col min="8444" max="8444" width="10.7109375" style="1438" bestFit="1" customWidth="1"/>
    <col min="8445" max="8445" width="9.42578125" style="1438" bestFit="1" customWidth="1"/>
    <col min="8446" max="8446" width="9.85546875" style="1438" bestFit="1" customWidth="1"/>
    <col min="8447" max="8447" width="11.28515625" style="1438" bestFit="1" customWidth="1"/>
    <col min="8448" max="8448" width="9.140625" style="1438"/>
    <col min="8449" max="8450" width="3.7109375" style="1438" customWidth="1"/>
    <col min="8451" max="8451" width="18.85546875" style="1438" customWidth="1"/>
    <col min="8452" max="8452" width="19.7109375" style="1438" customWidth="1"/>
    <col min="8453" max="8453" width="13.5703125" style="1438" customWidth="1"/>
    <col min="8454" max="8456" width="11.7109375" style="1438" customWidth="1"/>
    <col min="8457" max="8457" width="12.7109375" style="1438" customWidth="1"/>
    <col min="8458" max="8467" width="11.7109375" style="1438" customWidth="1"/>
    <col min="8468" max="8695" width="8" style="1438" customWidth="1"/>
    <col min="8696" max="8696" width="2.42578125" style="1438" bestFit="1" customWidth="1"/>
    <col min="8697" max="8697" width="28.28515625" style="1438" bestFit="1" customWidth="1"/>
    <col min="8698" max="8698" width="14.28515625" style="1438" bestFit="1" customWidth="1"/>
    <col min="8699" max="8699" width="13.5703125" style="1438" bestFit="1" customWidth="1"/>
    <col min="8700" max="8700" width="10.7109375" style="1438" bestFit="1" customWidth="1"/>
    <col min="8701" max="8701" width="9.42578125" style="1438" bestFit="1" customWidth="1"/>
    <col min="8702" max="8702" width="9.85546875" style="1438" bestFit="1" customWidth="1"/>
    <col min="8703" max="8703" width="11.28515625" style="1438" bestFit="1" customWidth="1"/>
    <col min="8704" max="8704" width="9.140625" style="1438"/>
    <col min="8705" max="8706" width="3.7109375" style="1438" customWidth="1"/>
    <col min="8707" max="8707" width="18.85546875" style="1438" customWidth="1"/>
    <col min="8708" max="8708" width="19.7109375" style="1438" customWidth="1"/>
    <col min="8709" max="8709" width="13.5703125" style="1438" customWidth="1"/>
    <col min="8710" max="8712" width="11.7109375" style="1438" customWidth="1"/>
    <col min="8713" max="8713" width="12.7109375" style="1438" customWidth="1"/>
    <col min="8714" max="8723" width="11.7109375" style="1438" customWidth="1"/>
    <col min="8724" max="8951" width="8" style="1438" customWidth="1"/>
    <col min="8952" max="8952" width="2.42578125" style="1438" bestFit="1" customWidth="1"/>
    <col min="8953" max="8953" width="28.28515625" style="1438" bestFit="1" customWidth="1"/>
    <col min="8954" max="8954" width="14.28515625" style="1438" bestFit="1" customWidth="1"/>
    <col min="8955" max="8955" width="13.5703125" style="1438" bestFit="1" customWidth="1"/>
    <col min="8956" max="8956" width="10.7109375" style="1438" bestFit="1" customWidth="1"/>
    <col min="8957" max="8957" width="9.42578125" style="1438" bestFit="1" customWidth="1"/>
    <col min="8958" max="8958" width="9.85546875" style="1438" bestFit="1" customWidth="1"/>
    <col min="8959" max="8959" width="11.28515625" style="1438" bestFit="1" customWidth="1"/>
    <col min="8960" max="8960" width="9.140625" style="1438"/>
    <col min="8961" max="8962" width="3.7109375" style="1438" customWidth="1"/>
    <col min="8963" max="8963" width="18.85546875" style="1438" customWidth="1"/>
    <col min="8964" max="8964" width="19.7109375" style="1438" customWidth="1"/>
    <col min="8965" max="8965" width="13.5703125" style="1438" customWidth="1"/>
    <col min="8966" max="8968" width="11.7109375" style="1438" customWidth="1"/>
    <col min="8969" max="8969" width="12.7109375" style="1438" customWidth="1"/>
    <col min="8970" max="8979" width="11.7109375" style="1438" customWidth="1"/>
    <col min="8980" max="9207" width="8" style="1438" customWidth="1"/>
    <col min="9208" max="9208" width="2.42578125" style="1438" bestFit="1" customWidth="1"/>
    <col min="9209" max="9209" width="28.28515625" style="1438" bestFit="1" customWidth="1"/>
    <col min="9210" max="9210" width="14.28515625" style="1438" bestFit="1" customWidth="1"/>
    <col min="9211" max="9211" width="13.5703125" style="1438" bestFit="1" customWidth="1"/>
    <col min="9212" max="9212" width="10.7109375" style="1438" bestFit="1" customWidth="1"/>
    <col min="9213" max="9213" width="9.42578125" style="1438" bestFit="1" customWidth="1"/>
    <col min="9214" max="9214" width="9.85546875" style="1438" bestFit="1" customWidth="1"/>
    <col min="9215" max="9215" width="11.28515625" style="1438" bestFit="1" customWidth="1"/>
    <col min="9216" max="9216" width="9.140625" style="1438"/>
    <col min="9217" max="9218" width="3.7109375" style="1438" customWidth="1"/>
    <col min="9219" max="9219" width="18.85546875" style="1438" customWidth="1"/>
    <col min="9220" max="9220" width="19.7109375" style="1438" customWidth="1"/>
    <col min="9221" max="9221" width="13.5703125" style="1438" customWidth="1"/>
    <col min="9222" max="9224" width="11.7109375" style="1438" customWidth="1"/>
    <col min="9225" max="9225" width="12.7109375" style="1438" customWidth="1"/>
    <col min="9226" max="9235" width="11.7109375" style="1438" customWidth="1"/>
    <col min="9236" max="9463" width="8" style="1438" customWidth="1"/>
    <col min="9464" max="9464" width="2.42578125" style="1438" bestFit="1" customWidth="1"/>
    <col min="9465" max="9465" width="28.28515625" style="1438" bestFit="1" customWidth="1"/>
    <col min="9466" max="9466" width="14.28515625" style="1438" bestFit="1" customWidth="1"/>
    <col min="9467" max="9467" width="13.5703125" style="1438" bestFit="1" customWidth="1"/>
    <col min="9468" max="9468" width="10.7109375" style="1438" bestFit="1" customWidth="1"/>
    <col min="9469" max="9469" width="9.42578125" style="1438" bestFit="1" customWidth="1"/>
    <col min="9470" max="9470" width="9.85546875" style="1438" bestFit="1" customWidth="1"/>
    <col min="9471" max="9471" width="11.28515625" style="1438" bestFit="1" customWidth="1"/>
    <col min="9472" max="9472" width="9.140625" style="1438"/>
    <col min="9473" max="9474" width="3.7109375" style="1438" customWidth="1"/>
    <col min="9475" max="9475" width="18.85546875" style="1438" customWidth="1"/>
    <col min="9476" max="9476" width="19.7109375" style="1438" customWidth="1"/>
    <col min="9477" max="9477" width="13.5703125" style="1438" customWidth="1"/>
    <col min="9478" max="9480" width="11.7109375" style="1438" customWidth="1"/>
    <col min="9481" max="9481" width="12.7109375" style="1438" customWidth="1"/>
    <col min="9482" max="9491" width="11.7109375" style="1438" customWidth="1"/>
    <col min="9492" max="9719" width="8" style="1438" customWidth="1"/>
    <col min="9720" max="9720" width="2.42578125" style="1438" bestFit="1" customWidth="1"/>
    <col min="9721" max="9721" width="28.28515625" style="1438" bestFit="1" customWidth="1"/>
    <col min="9722" max="9722" width="14.28515625" style="1438" bestFit="1" customWidth="1"/>
    <col min="9723" max="9723" width="13.5703125" style="1438" bestFit="1" customWidth="1"/>
    <col min="9724" max="9724" width="10.7109375" style="1438" bestFit="1" customWidth="1"/>
    <col min="9725" max="9725" width="9.42578125" style="1438" bestFit="1" customWidth="1"/>
    <col min="9726" max="9726" width="9.85546875" style="1438" bestFit="1" customWidth="1"/>
    <col min="9727" max="9727" width="11.28515625" style="1438" bestFit="1" customWidth="1"/>
    <col min="9728" max="9728" width="9.140625" style="1438"/>
    <col min="9729" max="9730" width="3.7109375" style="1438" customWidth="1"/>
    <col min="9731" max="9731" width="18.85546875" style="1438" customWidth="1"/>
    <col min="9732" max="9732" width="19.7109375" style="1438" customWidth="1"/>
    <col min="9733" max="9733" width="13.5703125" style="1438" customWidth="1"/>
    <col min="9734" max="9736" width="11.7109375" style="1438" customWidth="1"/>
    <col min="9737" max="9737" width="12.7109375" style="1438" customWidth="1"/>
    <col min="9738" max="9747" width="11.7109375" style="1438" customWidth="1"/>
    <col min="9748" max="9975" width="8" style="1438" customWidth="1"/>
    <col min="9976" max="9976" width="2.42578125" style="1438" bestFit="1" customWidth="1"/>
    <col min="9977" max="9977" width="28.28515625" style="1438" bestFit="1" customWidth="1"/>
    <col min="9978" max="9978" width="14.28515625" style="1438" bestFit="1" customWidth="1"/>
    <col min="9979" max="9979" width="13.5703125" style="1438" bestFit="1" customWidth="1"/>
    <col min="9980" max="9980" width="10.7109375" style="1438" bestFit="1" customWidth="1"/>
    <col min="9981" max="9981" width="9.42578125" style="1438" bestFit="1" customWidth="1"/>
    <col min="9982" max="9982" width="9.85546875" style="1438" bestFit="1" customWidth="1"/>
    <col min="9983" max="9983" width="11.28515625" style="1438" bestFit="1" customWidth="1"/>
    <col min="9984" max="9984" width="9.140625" style="1438"/>
    <col min="9985" max="9986" width="3.7109375" style="1438" customWidth="1"/>
    <col min="9987" max="9987" width="18.85546875" style="1438" customWidth="1"/>
    <col min="9988" max="9988" width="19.7109375" style="1438" customWidth="1"/>
    <col min="9989" max="9989" width="13.5703125" style="1438" customWidth="1"/>
    <col min="9990" max="9992" width="11.7109375" style="1438" customWidth="1"/>
    <col min="9993" max="9993" width="12.7109375" style="1438" customWidth="1"/>
    <col min="9994" max="10003" width="11.7109375" style="1438" customWidth="1"/>
    <col min="10004" max="10231" width="8" style="1438" customWidth="1"/>
    <col min="10232" max="10232" width="2.42578125" style="1438" bestFit="1" customWidth="1"/>
    <col min="10233" max="10233" width="28.28515625" style="1438" bestFit="1" customWidth="1"/>
    <col min="10234" max="10234" width="14.28515625" style="1438" bestFit="1" customWidth="1"/>
    <col min="10235" max="10235" width="13.5703125" style="1438" bestFit="1" customWidth="1"/>
    <col min="10236" max="10236" width="10.7109375" style="1438" bestFit="1" customWidth="1"/>
    <col min="10237" max="10237" width="9.42578125" style="1438" bestFit="1" customWidth="1"/>
    <col min="10238" max="10238" width="9.85546875" style="1438" bestFit="1" customWidth="1"/>
    <col min="10239" max="10239" width="11.28515625" style="1438" bestFit="1" customWidth="1"/>
    <col min="10240" max="10240" width="9.140625" style="1438"/>
    <col min="10241" max="10242" width="3.7109375" style="1438" customWidth="1"/>
    <col min="10243" max="10243" width="18.85546875" style="1438" customWidth="1"/>
    <col min="10244" max="10244" width="19.7109375" style="1438" customWidth="1"/>
    <col min="10245" max="10245" width="13.5703125" style="1438" customWidth="1"/>
    <col min="10246" max="10248" width="11.7109375" style="1438" customWidth="1"/>
    <col min="10249" max="10249" width="12.7109375" style="1438" customWidth="1"/>
    <col min="10250" max="10259" width="11.7109375" style="1438" customWidth="1"/>
    <col min="10260" max="10487" width="8" style="1438" customWidth="1"/>
    <col min="10488" max="10488" width="2.42578125" style="1438" bestFit="1" customWidth="1"/>
    <col min="10489" max="10489" width="28.28515625" style="1438" bestFit="1" customWidth="1"/>
    <col min="10490" max="10490" width="14.28515625" style="1438" bestFit="1" customWidth="1"/>
    <col min="10491" max="10491" width="13.5703125" style="1438" bestFit="1" customWidth="1"/>
    <col min="10492" max="10492" width="10.7109375" style="1438" bestFit="1" customWidth="1"/>
    <col min="10493" max="10493" width="9.42578125" style="1438" bestFit="1" customWidth="1"/>
    <col min="10494" max="10494" width="9.85546875" style="1438" bestFit="1" customWidth="1"/>
    <col min="10495" max="10495" width="11.28515625" style="1438" bestFit="1" customWidth="1"/>
    <col min="10496" max="10496" width="9.140625" style="1438"/>
    <col min="10497" max="10498" width="3.7109375" style="1438" customWidth="1"/>
    <col min="10499" max="10499" width="18.85546875" style="1438" customWidth="1"/>
    <col min="10500" max="10500" width="19.7109375" style="1438" customWidth="1"/>
    <col min="10501" max="10501" width="13.5703125" style="1438" customWidth="1"/>
    <col min="10502" max="10504" width="11.7109375" style="1438" customWidth="1"/>
    <col min="10505" max="10505" width="12.7109375" style="1438" customWidth="1"/>
    <col min="10506" max="10515" width="11.7109375" style="1438" customWidth="1"/>
    <col min="10516" max="10743" width="8" style="1438" customWidth="1"/>
    <col min="10744" max="10744" width="2.42578125" style="1438" bestFit="1" customWidth="1"/>
    <col min="10745" max="10745" width="28.28515625" style="1438" bestFit="1" customWidth="1"/>
    <col min="10746" max="10746" width="14.28515625" style="1438" bestFit="1" customWidth="1"/>
    <col min="10747" max="10747" width="13.5703125" style="1438" bestFit="1" customWidth="1"/>
    <col min="10748" max="10748" width="10.7109375" style="1438" bestFit="1" customWidth="1"/>
    <col min="10749" max="10749" width="9.42578125" style="1438" bestFit="1" customWidth="1"/>
    <col min="10750" max="10750" width="9.85546875" style="1438" bestFit="1" customWidth="1"/>
    <col min="10751" max="10751" width="11.28515625" style="1438" bestFit="1" customWidth="1"/>
    <col min="10752" max="10752" width="9.140625" style="1438"/>
    <col min="10753" max="10754" width="3.7109375" style="1438" customWidth="1"/>
    <col min="10755" max="10755" width="18.85546875" style="1438" customWidth="1"/>
    <col min="10756" max="10756" width="19.7109375" style="1438" customWidth="1"/>
    <col min="10757" max="10757" width="13.5703125" style="1438" customWidth="1"/>
    <col min="10758" max="10760" width="11.7109375" style="1438" customWidth="1"/>
    <col min="10761" max="10761" width="12.7109375" style="1438" customWidth="1"/>
    <col min="10762" max="10771" width="11.7109375" style="1438" customWidth="1"/>
    <col min="10772" max="10999" width="8" style="1438" customWidth="1"/>
    <col min="11000" max="11000" width="2.42578125" style="1438" bestFit="1" customWidth="1"/>
    <col min="11001" max="11001" width="28.28515625" style="1438" bestFit="1" customWidth="1"/>
    <col min="11002" max="11002" width="14.28515625" style="1438" bestFit="1" customWidth="1"/>
    <col min="11003" max="11003" width="13.5703125" style="1438" bestFit="1" customWidth="1"/>
    <col min="11004" max="11004" width="10.7109375" style="1438" bestFit="1" customWidth="1"/>
    <col min="11005" max="11005" width="9.42578125" style="1438" bestFit="1" customWidth="1"/>
    <col min="11006" max="11006" width="9.85546875" style="1438" bestFit="1" customWidth="1"/>
    <col min="11007" max="11007" width="11.28515625" style="1438" bestFit="1" customWidth="1"/>
    <col min="11008" max="11008" width="9.140625" style="1438"/>
    <col min="11009" max="11010" width="3.7109375" style="1438" customWidth="1"/>
    <col min="11011" max="11011" width="18.85546875" style="1438" customWidth="1"/>
    <col min="11012" max="11012" width="19.7109375" style="1438" customWidth="1"/>
    <col min="11013" max="11013" width="13.5703125" style="1438" customWidth="1"/>
    <col min="11014" max="11016" width="11.7109375" style="1438" customWidth="1"/>
    <col min="11017" max="11017" width="12.7109375" style="1438" customWidth="1"/>
    <col min="11018" max="11027" width="11.7109375" style="1438" customWidth="1"/>
    <col min="11028" max="11255" width="8" style="1438" customWidth="1"/>
    <col min="11256" max="11256" width="2.42578125" style="1438" bestFit="1" customWidth="1"/>
    <col min="11257" max="11257" width="28.28515625" style="1438" bestFit="1" customWidth="1"/>
    <col min="11258" max="11258" width="14.28515625" style="1438" bestFit="1" customWidth="1"/>
    <col min="11259" max="11259" width="13.5703125" style="1438" bestFit="1" customWidth="1"/>
    <col min="11260" max="11260" width="10.7109375" style="1438" bestFit="1" customWidth="1"/>
    <col min="11261" max="11261" width="9.42578125" style="1438" bestFit="1" customWidth="1"/>
    <col min="11262" max="11262" width="9.85546875" style="1438" bestFit="1" customWidth="1"/>
    <col min="11263" max="11263" width="11.28515625" style="1438" bestFit="1" customWidth="1"/>
    <col min="11264" max="11264" width="9.140625" style="1438"/>
    <col min="11265" max="11266" width="3.7109375" style="1438" customWidth="1"/>
    <col min="11267" max="11267" width="18.85546875" style="1438" customWidth="1"/>
    <col min="11268" max="11268" width="19.7109375" style="1438" customWidth="1"/>
    <col min="11269" max="11269" width="13.5703125" style="1438" customWidth="1"/>
    <col min="11270" max="11272" width="11.7109375" style="1438" customWidth="1"/>
    <col min="11273" max="11273" width="12.7109375" style="1438" customWidth="1"/>
    <col min="11274" max="11283" width="11.7109375" style="1438" customWidth="1"/>
    <col min="11284" max="11511" width="8" style="1438" customWidth="1"/>
    <col min="11512" max="11512" width="2.42578125" style="1438" bestFit="1" customWidth="1"/>
    <col min="11513" max="11513" width="28.28515625" style="1438" bestFit="1" customWidth="1"/>
    <col min="11514" max="11514" width="14.28515625" style="1438" bestFit="1" customWidth="1"/>
    <col min="11515" max="11515" width="13.5703125" style="1438" bestFit="1" customWidth="1"/>
    <col min="11516" max="11516" width="10.7109375" style="1438" bestFit="1" customWidth="1"/>
    <col min="11517" max="11517" width="9.42578125" style="1438" bestFit="1" customWidth="1"/>
    <col min="11518" max="11518" width="9.85546875" style="1438" bestFit="1" customWidth="1"/>
    <col min="11519" max="11519" width="11.28515625" style="1438" bestFit="1" customWidth="1"/>
    <col min="11520" max="11520" width="9.140625" style="1438"/>
    <col min="11521" max="11522" width="3.7109375" style="1438" customWidth="1"/>
    <col min="11523" max="11523" width="18.85546875" style="1438" customWidth="1"/>
    <col min="11524" max="11524" width="19.7109375" style="1438" customWidth="1"/>
    <col min="11525" max="11525" width="13.5703125" style="1438" customWidth="1"/>
    <col min="11526" max="11528" width="11.7109375" style="1438" customWidth="1"/>
    <col min="11529" max="11529" width="12.7109375" style="1438" customWidth="1"/>
    <col min="11530" max="11539" width="11.7109375" style="1438" customWidth="1"/>
    <col min="11540" max="11767" width="8" style="1438" customWidth="1"/>
    <col min="11768" max="11768" width="2.42578125" style="1438" bestFit="1" customWidth="1"/>
    <col min="11769" max="11769" width="28.28515625" style="1438" bestFit="1" customWidth="1"/>
    <col min="11770" max="11770" width="14.28515625" style="1438" bestFit="1" customWidth="1"/>
    <col min="11771" max="11771" width="13.5703125" style="1438" bestFit="1" customWidth="1"/>
    <col min="11772" max="11772" width="10.7109375" style="1438" bestFit="1" customWidth="1"/>
    <col min="11773" max="11773" width="9.42578125" style="1438" bestFit="1" customWidth="1"/>
    <col min="11774" max="11774" width="9.85546875" style="1438" bestFit="1" customWidth="1"/>
    <col min="11775" max="11775" width="11.28515625" style="1438" bestFit="1" customWidth="1"/>
    <col min="11776" max="11776" width="9.140625" style="1438"/>
    <col min="11777" max="11778" width="3.7109375" style="1438" customWidth="1"/>
    <col min="11779" max="11779" width="18.85546875" style="1438" customWidth="1"/>
    <col min="11780" max="11780" width="19.7109375" style="1438" customWidth="1"/>
    <col min="11781" max="11781" width="13.5703125" style="1438" customWidth="1"/>
    <col min="11782" max="11784" width="11.7109375" style="1438" customWidth="1"/>
    <col min="11785" max="11785" width="12.7109375" style="1438" customWidth="1"/>
    <col min="11786" max="11795" width="11.7109375" style="1438" customWidth="1"/>
    <col min="11796" max="12023" width="8" style="1438" customWidth="1"/>
    <col min="12024" max="12024" width="2.42578125" style="1438" bestFit="1" customWidth="1"/>
    <col min="12025" max="12025" width="28.28515625" style="1438" bestFit="1" customWidth="1"/>
    <col min="12026" max="12026" width="14.28515625" style="1438" bestFit="1" customWidth="1"/>
    <col min="12027" max="12027" width="13.5703125" style="1438" bestFit="1" customWidth="1"/>
    <col min="12028" max="12028" width="10.7109375" style="1438" bestFit="1" customWidth="1"/>
    <col min="12029" max="12029" width="9.42578125" style="1438" bestFit="1" customWidth="1"/>
    <col min="12030" max="12030" width="9.85546875" style="1438" bestFit="1" customWidth="1"/>
    <col min="12031" max="12031" width="11.28515625" style="1438" bestFit="1" customWidth="1"/>
    <col min="12032" max="12032" width="9.140625" style="1438"/>
    <col min="12033" max="12034" width="3.7109375" style="1438" customWidth="1"/>
    <col min="12035" max="12035" width="18.85546875" style="1438" customWidth="1"/>
    <col min="12036" max="12036" width="19.7109375" style="1438" customWidth="1"/>
    <col min="12037" max="12037" width="13.5703125" style="1438" customWidth="1"/>
    <col min="12038" max="12040" width="11.7109375" style="1438" customWidth="1"/>
    <col min="12041" max="12041" width="12.7109375" style="1438" customWidth="1"/>
    <col min="12042" max="12051" width="11.7109375" style="1438" customWidth="1"/>
    <col min="12052" max="12279" width="8" style="1438" customWidth="1"/>
    <col min="12280" max="12280" width="2.42578125" style="1438" bestFit="1" customWidth="1"/>
    <col min="12281" max="12281" width="28.28515625" style="1438" bestFit="1" customWidth="1"/>
    <col min="12282" max="12282" width="14.28515625" style="1438" bestFit="1" customWidth="1"/>
    <col min="12283" max="12283" width="13.5703125" style="1438" bestFit="1" customWidth="1"/>
    <col min="12284" max="12284" width="10.7109375" style="1438" bestFit="1" customWidth="1"/>
    <col min="12285" max="12285" width="9.42578125" style="1438" bestFit="1" customWidth="1"/>
    <col min="12286" max="12286" width="9.85546875" style="1438" bestFit="1" customWidth="1"/>
    <col min="12287" max="12287" width="11.28515625" style="1438" bestFit="1" customWidth="1"/>
    <col min="12288" max="12288" width="9.140625" style="1438"/>
    <col min="12289" max="12290" width="3.7109375" style="1438" customWidth="1"/>
    <col min="12291" max="12291" width="18.85546875" style="1438" customWidth="1"/>
    <col min="12292" max="12292" width="19.7109375" style="1438" customWidth="1"/>
    <col min="12293" max="12293" width="13.5703125" style="1438" customWidth="1"/>
    <col min="12294" max="12296" width="11.7109375" style="1438" customWidth="1"/>
    <col min="12297" max="12297" width="12.7109375" style="1438" customWidth="1"/>
    <col min="12298" max="12307" width="11.7109375" style="1438" customWidth="1"/>
    <col min="12308" max="12535" width="8" style="1438" customWidth="1"/>
    <col min="12536" max="12536" width="2.42578125" style="1438" bestFit="1" customWidth="1"/>
    <col min="12537" max="12537" width="28.28515625" style="1438" bestFit="1" customWidth="1"/>
    <col min="12538" max="12538" width="14.28515625" style="1438" bestFit="1" customWidth="1"/>
    <col min="12539" max="12539" width="13.5703125" style="1438" bestFit="1" customWidth="1"/>
    <col min="12540" max="12540" width="10.7109375" style="1438" bestFit="1" customWidth="1"/>
    <col min="12541" max="12541" width="9.42578125" style="1438" bestFit="1" customWidth="1"/>
    <col min="12542" max="12542" width="9.85546875" style="1438" bestFit="1" customWidth="1"/>
    <col min="12543" max="12543" width="11.28515625" style="1438" bestFit="1" customWidth="1"/>
    <col min="12544" max="12544" width="9.140625" style="1438"/>
    <col min="12545" max="12546" width="3.7109375" style="1438" customWidth="1"/>
    <col min="12547" max="12547" width="18.85546875" style="1438" customWidth="1"/>
    <col min="12548" max="12548" width="19.7109375" style="1438" customWidth="1"/>
    <col min="12549" max="12549" width="13.5703125" style="1438" customWidth="1"/>
    <col min="12550" max="12552" width="11.7109375" style="1438" customWidth="1"/>
    <col min="12553" max="12553" width="12.7109375" style="1438" customWidth="1"/>
    <col min="12554" max="12563" width="11.7109375" style="1438" customWidth="1"/>
    <col min="12564" max="12791" width="8" style="1438" customWidth="1"/>
    <col min="12792" max="12792" width="2.42578125" style="1438" bestFit="1" customWidth="1"/>
    <col min="12793" max="12793" width="28.28515625" style="1438" bestFit="1" customWidth="1"/>
    <col min="12794" max="12794" width="14.28515625" style="1438" bestFit="1" customWidth="1"/>
    <col min="12795" max="12795" width="13.5703125" style="1438" bestFit="1" customWidth="1"/>
    <col min="12796" max="12796" width="10.7109375" style="1438" bestFit="1" customWidth="1"/>
    <col min="12797" max="12797" width="9.42578125" style="1438" bestFit="1" customWidth="1"/>
    <col min="12798" max="12798" width="9.85546875" style="1438" bestFit="1" customWidth="1"/>
    <col min="12799" max="12799" width="11.28515625" style="1438" bestFit="1" customWidth="1"/>
    <col min="12800" max="12800" width="9.140625" style="1438"/>
    <col min="12801" max="12802" width="3.7109375" style="1438" customWidth="1"/>
    <col min="12803" max="12803" width="18.85546875" style="1438" customWidth="1"/>
    <col min="12804" max="12804" width="19.7109375" style="1438" customWidth="1"/>
    <col min="12805" max="12805" width="13.5703125" style="1438" customWidth="1"/>
    <col min="12806" max="12808" width="11.7109375" style="1438" customWidth="1"/>
    <col min="12809" max="12809" width="12.7109375" style="1438" customWidth="1"/>
    <col min="12810" max="12819" width="11.7109375" style="1438" customWidth="1"/>
    <col min="12820" max="13047" width="8" style="1438" customWidth="1"/>
    <col min="13048" max="13048" width="2.42578125" style="1438" bestFit="1" customWidth="1"/>
    <col min="13049" max="13049" width="28.28515625" style="1438" bestFit="1" customWidth="1"/>
    <col min="13050" max="13050" width="14.28515625" style="1438" bestFit="1" customWidth="1"/>
    <col min="13051" max="13051" width="13.5703125" style="1438" bestFit="1" customWidth="1"/>
    <col min="13052" max="13052" width="10.7109375" style="1438" bestFit="1" customWidth="1"/>
    <col min="13053" max="13053" width="9.42578125" style="1438" bestFit="1" customWidth="1"/>
    <col min="13054" max="13054" width="9.85546875" style="1438" bestFit="1" customWidth="1"/>
    <col min="13055" max="13055" width="11.28515625" style="1438" bestFit="1" customWidth="1"/>
    <col min="13056" max="13056" width="9.140625" style="1438"/>
    <col min="13057" max="13058" width="3.7109375" style="1438" customWidth="1"/>
    <col min="13059" max="13059" width="18.85546875" style="1438" customWidth="1"/>
    <col min="13060" max="13060" width="19.7109375" style="1438" customWidth="1"/>
    <col min="13061" max="13061" width="13.5703125" style="1438" customWidth="1"/>
    <col min="13062" max="13064" width="11.7109375" style="1438" customWidth="1"/>
    <col min="13065" max="13065" width="12.7109375" style="1438" customWidth="1"/>
    <col min="13066" max="13075" width="11.7109375" style="1438" customWidth="1"/>
    <col min="13076" max="13303" width="8" style="1438" customWidth="1"/>
    <col min="13304" max="13304" width="2.42578125" style="1438" bestFit="1" customWidth="1"/>
    <col min="13305" max="13305" width="28.28515625" style="1438" bestFit="1" customWidth="1"/>
    <col min="13306" max="13306" width="14.28515625" style="1438" bestFit="1" customWidth="1"/>
    <col min="13307" max="13307" width="13.5703125" style="1438" bestFit="1" customWidth="1"/>
    <col min="13308" max="13308" width="10.7109375" style="1438" bestFit="1" customWidth="1"/>
    <col min="13309" max="13309" width="9.42578125" style="1438" bestFit="1" customWidth="1"/>
    <col min="13310" max="13310" width="9.85546875" style="1438" bestFit="1" customWidth="1"/>
    <col min="13311" max="13311" width="11.28515625" style="1438" bestFit="1" customWidth="1"/>
    <col min="13312" max="13312" width="9.140625" style="1438"/>
    <col min="13313" max="13314" width="3.7109375" style="1438" customWidth="1"/>
    <col min="13315" max="13315" width="18.85546875" style="1438" customWidth="1"/>
    <col min="13316" max="13316" width="19.7109375" style="1438" customWidth="1"/>
    <col min="13317" max="13317" width="13.5703125" style="1438" customWidth="1"/>
    <col min="13318" max="13320" width="11.7109375" style="1438" customWidth="1"/>
    <col min="13321" max="13321" width="12.7109375" style="1438" customWidth="1"/>
    <col min="13322" max="13331" width="11.7109375" style="1438" customWidth="1"/>
    <col min="13332" max="13559" width="8" style="1438" customWidth="1"/>
    <col min="13560" max="13560" width="2.42578125" style="1438" bestFit="1" customWidth="1"/>
    <col min="13561" max="13561" width="28.28515625" style="1438" bestFit="1" customWidth="1"/>
    <col min="13562" max="13562" width="14.28515625" style="1438" bestFit="1" customWidth="1"/>
    <col min="13563" max="13563" width="13.5703125" style="1438" bestFit="1" customWidth="1"/>
    <col min="13564" max="13564" width="10.7109375" style="1438" bestFit="1" customWidth="1"/>
    <col min="13565" max="13565" width="9.42578125" style="1438" bestFit="1" customWidth="1"/>
    <col min="13566" max="13566" width="9.85546875" style="1438" bestFit="1" customWidth="1"/>
    <col min="13567" max="13567" width="11.28515625" style="1438" bestFit="1" customWidth="1"/>
    <col min="13568" max="13568" width="9.140625" style="1438"/>
    <col min="13569" max="13570" width="3.7109375" style="1438" customWidth="1"/>
    <col min="13571" max="13571" width="18.85546875" style="1438" customWidth="1"/>
    <col min="13572" max="13572" width="19.7109375" style="1438" customWidth="1"/>
    <col min="13573" max="13573" width="13.5703125" style="1438" customWidth="1"/>
    <col min="13574" max="13576" width="11.7109375" style="1438" customWidth="1"/>
    <col min="13577" max="13577" width="12.7109375" style="1438" customWidth="1"/>
    <col min="13578" max="13587" width="11.7109375" style="1438" customWidth="1"/>
    <col min="13588" max="13815" width="8" style="1438" customWidth="1"/>
    <col min="13816" max="13816" width="2.42578125" style="1438" bestFit="1" customWidth="1"/>
    <col min="13817" max="13817" width="28.28515625" style="1438" bestFit="1" customWidth="1"/>
    <col min="13818" max="13818" width="14.28515625" style="1438" bestFit="1" customWidth="1"/>
    <col min="13819" max="13819" width="13.5703125" style="1438" bestFit="1" customWidth="1"/>
    <col min="13820" max="13820" width="10.7109375" style="1438" bestFit="1" customWidth="1"/>
    <col min="13821" max="13821" width="9.42578125" style="1438" bestFit="1" customWidth="1"/>
    <col min="13822" max="13822" width="9.85546875" style="1438" bestFit="1" customWidth="1"/>
    <col min="13823" max="13823" width="11.28515625" style="1438" bestFit="1" customWidth="1"/>
    <col min="13824" max="13824" width="9.140625" style="1438"/>
    <col min="13825" max="13826" width="3.7109375" style="1438" customWidth="1"/>
    <col min="13827" max="13827" width="18.85546875" style="1438" customWidth="1"/>
    <col min="13828" max="13828" width="19.7109375" style="1438" customWidth="1"/>
    <col min="13829" max="13829" width="13.5703125" style="1438" customWidth="1"/>
    <col min="13830" max="13832" width="11.7109375" style="1438" customWidth="1"/>
    <col min="13833" max="13833" width="12.7109375" style="1438" customWidth="1"/>
    <col min="13834" max="13843" width="11.7109375" style="1438" customWidth="1"/>
    <col min="13844" max="14071" width="8" style="1438" customWidth="1"/>
    <col min="14072" max="14072" width="2.42578125" style="1438" bestFit="1" customWidth="1"/>
    <col min="14073" max="14073" width="28.28515625" style="1438" bestFit="1" customWidth="1"/>
    <col min="14074" max="14074" width="14.28515625" style="1438" bestFit="1" customWidth="1"/>
    <col min="14075" max="14075" width="13.5703125" style="1438" bestFit="1" customWidth="1"/>
    <col min="14076" max="14076" width="10.7109375" style="1438" bestFit="1" customWidth="1"/>
    <col min="14077" max="14077" width="9.42578125" style="1438" bestFit="1" customWidth="1"/>
    <col min="14078" max="14078" width="9.85546875" style="1438" bestFit="1" customWidth="1"/>
    <col min="14079" max="14079" width="11.28515625" style="1438" bestFit="1" customWidth="1"/>
    <col min="14080" max="14080" width="9.140625" style="1438"/>
    <col min="14081" max="14082" width="3.7109375" style="1438" customWidth="1"/>
    <col min="14083" max="14083" width="18.85546875" style="1438" customWidth="1"/>
    <col min="14084" max="14084" width="19.7109375" style="1438" customWidth="1"/>
    <col min="14085" max="14085" width="13.5703125" style="1438" customWidth="1"/>
    <col min="14086" max="14088" width="11.7109375" style="1438" customWidth="1"/>
    <col min="14089" max="14089" width="12.7109375" style="1438" customWidth="1"/>
    <col min="14090" max="14099" width="11.7109375" style="1438" customWidth="1"/>
    <col min="14100" max="14327" width="8" style="1438" customWidth="1"/>
    <col min="14328" max="14328" width="2.42578125" style="1438" bestFit="1" customWidth="1"/>
    <col min="14329" max="14329" width="28.28515625" style="1438" bestFit="1" customWidth="1"/>
    <col min="14330" max="14330" width="14.28515625" style="1438" bestFit="1" customWidth="1"/>
    <col min="14331" max="14331" width="13.5703125" style="1438" bestFit="1" customWidth="1"/>
    <col min="14332" max="14332" width="10.7109375" style="1438" bestFit="1" customWidth="1"/>
    <col min="14333" max="14333" width="9.42578125" style="1438" bestFit="1" customWidth="1"/>
    <col min="14334" max="14334" width="9.85546875" style="1438" bestFit="1" customWidth="1"/>
    <col min="14335" max="14335" width="11.28515625" style="1438" bestFit="1" customWidth="1"/>
    <col min="14336" max="14336" width="9.140625" style="1438"/>
    <col min="14337" max="14338" width="3.7109375" style="1438" customWidth="1"/>
    <col min="14339" max="14339" width="18.85546875" style="1438" customWidth="1"/>
    <col min="14340" max="14340" width="19.7109375" style="1438" customWidth="1"/>
    <col min="14341" max="14341" width="13.5703125" style="1438" customWidth="1"/>
    <col min="14342" max="14344" width="11.7109375" style="1438" customWidth="1"/>
    <col min="14345" max="14345" width="12.7109375" style="1438" customWidth="1"/>
    <col min="14346" max="14355" width="11.7109375" style="1438" customWidth="1"/>
    <col min="14356" max="14583" width="8" style="1438" customWidth="1"/>
    <col min="14584" max="14584" width="2.42578125" style="1438" bestFit="1" customWidth="1"/>
    <col min="14585" max="14585" width="28.28515625" style="1438" bestFit="1" customWidth="1"/>
    <col min="14586" max="14586" width="14.28515625" style="1438" bestFit="1" customWidth="1"/>
    <col min="14587" max="14587" width="13.5703125" style="1438" bestFit="1" customWidth="1"/>
    <col min="14588" max="14588" width="10.7109375" style="1438" bestFit="1" customWidth="1"/>
    <col min="14589" max="14589" width="9.42578125" style="1438" bestFit="1" customWidth="1"/>
    <col min="14590" max="14590" width="9.85546875" style="1438" bestFit="1" customWidth="1"/>
    <col min="14591" max="14591" width="11.28515625" style="1438" bestFit="1" customWidth="1"/>
    <col min="14592" max="14592" width="9.140625" style="1438"/>
    <col min="14593" max="14594" width="3.7109375" style="1438" customWidth="1"/>
    <col min="14595" max="14595" width="18.85546875" style="1438" customWidth="1"/>
    <col min="14596" max="14596" width="19.7109375" style="1438" customWidth="1"/>
    <col min="14597" max="14597" width="13.5703125" style="1438" customWidth="1"/>
    <col min="14598" max="14600" width="11.7109375" style="1438" customWidth="1"/>
    <col min="14601" max="14601" width="12.7109375" style="1438" customWidth="1"/>
    <col min="14602" max="14611" width="11.7109375" style="1438" customWidth="1"/>
    <col min="14612" max="14839" width="8" style="1438" customWidth="1"/>
    <col min="14840" max="14840" width="2.42578125" style="1438" bestFit="1" customWidth="1"/>
    <col min="14841" max="14841" width="28.28515625" style="1438" bestFit="1" customWidth="1"/>
    <col min="14842" max="14842" width="14.28515625" style="1438" bestFit="1" customWidth="1"/>
    <col min="14843" max="14843" width="13.5703125" style="1438" bestFit="1" customWidth="1"/>
    <col min="14844" max="14844" width="10.7109375" style="1438" bestFit="1" customWidth="1"/>
    <col min="14845" max="14845" width="9.42578125" style="1438" bestFit="1" customWidth="1"/>
    <col min="14846" max="14846" width="9.85546875" style="1438" bestFit="1" customWidth="1"/>
    <col min="14847" max="14847" width="11.28515625" style="1438" bestFit="1" customWidth="1"/>
    <col min="14848" max="14848" width="9.140625" style="1438"/>
    <col min="14849" max="14850" width="3.7109375" style="1438" customWidth="1"/>
    <col min="14851" max="14851" width="18.85546875" style="1438" customWidth="1"/>
    <col min="14852" max="14852" width="19.7109375" style="1438" customWidth="1"/>
    <col min="14853" max="14853" width="13.5703125" style="1438" customWidth="1"/>
    <col min="14854" max="14856" width="11.7109375" style="1438" customWidth="1"/>
    <col min="14857" max="14857" width="12.7109375" style="1438" customWidth="1"/>
    <col min="14858" max="14867" width="11.7109375" style="1438" customWidth="1"/>
    <col min="14868" max="15095" width="8" style="1438" customWidth="1"/>
    <col min="15096" max="15096" width="2.42578125" style="1438" bestFit="1" customWidth="1"/>
    <col min="15097" max="15097" width="28.28515625" style="1438" bestFit="1" customWidth="1"/>
    <col min="15098" max="15098" width="14.28515625" style="1438" bestFit="1" customWidth="1"/>
    <col min="15099" max="15099" width="13.5703125" style="1438" bestFit="1" customWidth="1"/>
    <col min="15100" max="15100" width="10.7109375" style="1438" bestFit="1" customWidth="1"/>
    <col min="15101" max="15101" width="9.42578125" style="1438" bestFit="1" customWidth="1"/>
    <col min="15102" max="15102" width="9.85546875" style="1438" bestFit="1" customWidth="1"/>
    <col min="15103" max="15103" width="11.28515625" style="1438" bestFit="1" customWidth="1"/>
    <col min="15104" max="15104" width="9.140625" style="1438"/>
    <col min="15105" max="15106" width="3.7109375" style="1438" customWidth="1"/>
    <col min="15107" max="15107" width="18.85546875" style="1438" customWidth="1"/>
    <col min="15108" max="15108" width="19.7109375" style="1438" customWidth="1"/>
    <col min="15109" max="15109" width="13.5703125" style="1438" customWidth="1"/>
    <col min="15110" max="15112" width="11.7109375" style="1438" customWidth="1"/>
    <col min="15113" max="15113" width="12.7109375" style="1438" customWidth="1"/>
    <col min="15114" max="15123" width="11.7109375" style="1438" customWidth="1"/>
    <col min="15124" max="15351" width="8" style="1438" customWidth="1"/>
    <col min="15352" max="15352" width="2.42578125" style="1438" bestFit="1" customWidth="1"/>
    <col min="15353" max="15353" width="28.28515625" style="1438" bestFit="1" customWidth="1"/>
    <col min="15354" max="15354" width="14.28515625" style="1438" bestFit="1" customWidth="1"/>
    <col min="15355" max="15355" width="13.5703125" style="1438" bestFit="1" customWidth="1"/>
    <col min="15356" max="15356" width="10.7109375" style="1438" bestFit="1" customWidth="1"/>
    <col min="15357" max="15357" width="9.42578125" style="1438" bestFit="1" customWidth="1"/>
    <col min="15358" max="15358" width="9.85546875" style="1438" bestFit="1" customWidth="1"/>
    <col min="15359" max="15359" width="11.28515625" style="1438" bestFit="1" customWidth="1"/>
    <col min="15360" max="15360" width="9.140625" style="1438"/>
    <col min="15361" max="15362" width="3.7109375" style="1438" customWidth="1"/>
    <col min="15363" max="15363" width="18.85546875" style="1438" customWidth="1"/>
    <col min="15364" max="15364" width="19.7109375" style="1438" customWidth="1"/>
    <col min="15365" max="15365" width="13.5703125" style="1438" customWidth="1"/>
    <col min="15366" max="15368" width="11.7109375" style="1438" customWidth="1"/>
    <col min="15369" max="15369" width="12.7109375" style="1438" customWidth="1"/>
    <col min="15370" max="15379" width="11.7109375" style="1438" customWidth="1"/>
    <col min="15380" max="15607" width="8" style="1438" customWidth="1"/>
    <col min="15608" max="15608" width="2.42578125" style="1438" bestFit="1" customWidth="1"/>
    <col min="15609" max="15609" width="28.28515625" style="1438" bestFit="1" customWidth="1"/>
    <col min="15610" max="15610" width="14.28515625" style="1438" bestFit="1" customWidth="1"/>
    <col min="15611" max="15611" width="13.5703125" style="1438" bestFit="1" customWidth="1"/>
    <col min="15612" max="15612" width="10.7109375" style="1438" bestFit="1" customWidth="1"/>
    <col min="15613" max="15613" width="9.42578125" style="1438" bestFit="1" customWidth="1"/>
    <col min="15614" max="15614" width="9.85546875" style="1438" bestFit="1" customWidth="1"/>
    <col min="15615" max="15615" width="11.28515625" style="1438" bestFit="1" customWidth="1"/>
    <col min="15616" max="15616" width="9.140625" style="1438"/>
    <col min="15617" max="15618" width="3.7109375" style="1438" customWidth="1"/>
    <col min="15619" max="15619" width="18.85546875" style="1438" customWidth="1"/>
    <col min="15620" max="15620" width="19.7109375" style="1438" customWidth="1"/>
    <col min="15621" max="15621" width="13.5703125" style="1438" customWidth="1"/>
    <col min="15622" max="15624" width="11.7109375" style="1438" customWidth="1"/>
    <col min="15625" max="15625" width="12.7109375" style="1438" customWidth="1"/>
    <col min="15626" max="15635" width="11.7109375" style="1438" customWidth="1"/>
    <col min="15636" max="15863" width="8" style="1438" customWidth="1"/>
    <col min="15864" max="15864" width="2.42578125" style="1438" bestFit="1" customWidth="1"/>
    <col min="15865" max="15865" width="28.28515625" style="1438" bestFit="1" customWidth="1"/>
    <col min="15866" max="15866" width="14.28515625" style="1438" bestFit="1" customWidth="1"/>
    <col min="15867" max="15867" width="13.5703125" style="1438" bestFit="1" customWidth="1"/>
    <col min="15868" max="15868" width="10.7109375" style="1438" bestFit="1" customWidth="1"/>
    <col min="15869" max="15869" width="9.42578125" style="1438" bestFit="1" customWidth="1"/>
    <col min="15870" max="15870" width="9.85546875" style="1438" bestFit="1" customWidth="1"/>
    <col min="15871" max="15871" width="11.28515625" style="1438" bestFit="1" customWidth="1"/>
    <col min="15872" max="15872" width="9.140625" style="1438"/>
    <col min="15873" max="15874" width="3.7109375" style="1438" customWidth="1"/>
    <col min="15875" max="15875" width="18.85546875" style="1438" customWidth="1"/>
    <col min="15876" max="15876" width="19.7109375" style="1438" customWidth="1"/>
    <col min="15877" max="15877" width="13.5703125" style="1438" customWidth="1"/>
    <col min="15878" max="15880" width="11.7109375" style="1438" customWidth="1"/>
    <col min="15881" max="15881" width="12.7109375" style="1438" customWidth="1"/>
    <col min="15882" max="15891" width="11.7109375" style="1438" customWidth="1"/>
    <col min="15892" max="16119" width="8" style="1438" customWidth="1"/>
    <col min="16120" max="16120" width="2.42578125" style="1438" bestFit="1" customWidth="1"/>
    <col min="16121" max="16121" width="28.28515625" style="1438" bestFit="1" customWidth="1"/>
    <col min="16122" max="16122" width="14.28515625" style="1438" bestFit="1" customWidth="1"/>
    <col min="16123" max="16123" width="13.5703125" style="1438" bestFit="1" customWidth="1"/>
    <col min="16124" max="16124" width="10.7109375" style="1438" bestFit="1" customWidth="1"/>
    <col min="16125" max="16125" width="9.42578125" style="1438" bestFit="1" customWidth="1"/>
    <col min="16126" max="16126" width="9.85546875" style="1438" bestFit="1" customWidth="1"/>
    <col min="16127" max="16127" width="11.28515625" style="1438" bestFit="1" customWidth="1"/>
    <col min="16128" max="16128" width="9.140625" style="1438"/>
    <col min="16129" max="16130" width="3.7109375" style="1438" customWidth="1"/>
    <col min="16131" max="16131" width="18.85546875" style="1438" customWidth="1"/>
    <col min="16132" max="16132" width="19.7109375" style="1438" customWidth="1"/>
    <col min="16133" max="16133" width="13.5703125" style="1438" customWidth="1"/>
    <col min="16134" max="16136" width="11.7109375" style="1438" customWidth="1"/>
    <col min="16137" max="16137" width="12.7109375" style="1438" customWidth="1"/>
    <col min="16138" max="16147" width="11.7109375" style="1438" customWidth="1"/>
    <col min="16148" max="16375" width="8" style="1438" customWidth="1"/>
    <col min="16376" max="16376" width="2.42578125" style="1438" bestFit="1" customWidth="1"/>
    <col min="16377" max="16377" width="28.28515625" style="1438" bestFit="1" customWidth="1"/>
    <col min="16378" max="16378" width="14.28515625" style="1438" bestFit="1" customWidth="1"/>
    <col min="16379" max="16379" width="13.5703125" style="1438" bestFit="1" customWidth="1"/>
    <col min="16380" max="16380" width="10.7109375" style="1438" bestFit="1" customWidth="1"/>
    <col min="16381" max="16381" width="9.42578125" style="1438" bestFit="1" customWidth="1"/>
    <col min="16382" max="16384" width="9.42578125" style="1438" customWidth="1"/>
  </cols>
  <sheetData>
    <row r="1" spans="1:29" ht="22.5" x14ac:dyDescent="0.4">
      <c r="B1" s="1408" t="s">
        <v>789</v>
      </c>
      <c r="C1" s="1408"/>
      <c r="D1" s="1408"/>
      <c r="E1" s="1506"/>
      <c r="F1" s="1506"/>
      <c r="G1" s="1437"/>
      <c r="H1" s="1437"/>
      <c r="I1" s="1437"/>
      <c r="J1" s="1437"/>
      <c r="K1" s="1437"/>
      <c r="L1" s="1437"/>
      <c r="M1" s="1437"/>
      <c r="N1" s="1437"/>
      <c r="O1" s="1437"/>
      <c r="P1" s="1437"/>
      <c r="Q1" s="1437"/>
      <c r="R1" s="1437"/>
      <c r="S1" s="1437"/>
    </row>
    <row r="2" spans="1:29" ht="22.5" x14ac:dyDescent="0.4">
      <c r="B2" s="695"/>
      <c r="C2" s="695"/>
      <c r="D2" s="695"/>
      <c r="E2" s="695"/>
      <c r="F2" s="695"/>
      <c r="G2" s="1440"/>
      <c r="H2" s="1440"/>
      <c r="I2" s="1440"/>
      <c r="J2" s="1440"/>
      <c r="K2" s="1440"/>
      <c r="L2" s="1440"/>
      <c r="M2" s="1440"/>
      <c r="N2" s="1440"/>
      <c r="O2" s="1440"/>
      <c r="P2" s="1440"/>
      <c r="Q2" s="1440"/>
      <c r="R2" s="1440"/>
      <c r="S2" s="1440"/>
    </row>
    <row r="3" spans="1:29" s="1442" customFormat="1" ht="17.25" x14ac:dyDescent="0.2">
      <c r="A3" s="1436"/>
      <c r="B3" s="1441" t="s">
        <v>770</v>
      </c>
      <c r="C3" s="1441">
        <v>0</v>
      </c>
      <c r="D3" s="1441">
        <v>0</v>
      </c>
      <c r="E3" s="1441">
        <v>0</v>
      </c>
      <c r="F3" s="1441">
        <v>0</v>
      </c>
      <c r="G3" s="1441">
        <v>0</v>
      </c>
      <c r="H3" s="1441">
        <v>0</v>
      </c>
      <c r="I3" s="1441"/>
      <c r="J3" s="1441"/>
      <c r="K3" s="1441"/>
      <c r="L3" s="1441"/>
      <c r="M3" s="1441"/>
      <c r="N3" s="1441">
        <v>0</v>
      </c>
      <c r="O3" s="1441">
        <v>0</v>
      </c>
      <c r="P3" s="1441">
        <v>0</v>
      </c>
      <c r="Q3" s="1441">
        <v>0</v>
      </c>
      <c r="R3" s="1441">
        <v>0</v>
      </c>
      <c r="S3" s="1441">
        <v>0</v>
      </c>
      <c r="T3" s="1441">
        <v>0</v>
      </c>
      <c r="U3" s="1441">
        <v>0</v>
      </c>
      <c r="V3" s="1441">
        <v>0</v>
      </c>
      <c r="W3" s="1441">
        <v>0</v>
      </c>
      <c r="X3" s="1441">
        <v>0</v>
      </c>
      <c r="Z3" s="1443"/>
    </row>
    <row r="4" spans="1:29" s="1442" customFormat="1" ht="17.25" x14ac:dyDescent="0.2">
      <c r="A4" s="1436"/>
      <c r="B4" s="1441" t="s">
        <v>14</v>
      </c>
      <c r="C4" s="1441">
        <v>0</v>
      </c>
      <c r="D4" s="1441">
        <v>0</v>
      </c>
      <c r="E4" s="1441">
        <v>0</v>
      </c>
      <c r="F4" s="1441">
        <v>0</v>
      </c>
      <c r="G4" s="1441">
        <v>0</v>
      </c>
      <c r="H4" s="1441">
        <v>0</v>
      </c>
      <c r="I4" s="1441"/>
      <c r="J4" s="1441"/>
      <c r="K4" s="1441"/>
      <c r="L4" s="1441"/>
      <c r="M4" s="1441"/>
      <c r="N4" s="1441">
        <v>0</v>
      </c>
      <c r="O4" s="1441">
        <v>0</v>
      </c>
      <c r="P4" s="1441">
        <v>0</v>
      </c>
      <c r="Q4" s="1441">
        <v>0</v>
      </c>
      <c r="R4" s="1441">
        <v>0</v>
      </c>
      <c r="S4" s="1441">
        <v>0</v>
      </c>
      <c r="T4" s="1441">
        <v>0</v>
      </c>
      <c r="U4" s="1441">
        <v>0</v>
      </c>
      <c r="V4" s="1441">
        <v>0</v>
      </c>
      <c r="W4" s="1441">
        <v>0</v>
      </c>
      <c r="X4" s="1441">
        <v>0</v>
      </c>
      <c r="Z4" s="1443"/>
    </row>
    <row r="5" spans="1:29" s="1442" customFormat="1" ht="17.25" x14ac:dyDescent="0.2">
      <c r="A5" s="1436"/>
      <c r="B5" s="1441" t="s">
        <v>817</v>
      </c>
      <c r="C5" s="1441">
        <v>0</v>
      </c>
      <c r="D5" s="1441">
        <v>0</v>
      </c>
      <c r="E5" s="1441">
        <v>0</v>
      </c>
      <c r="F5" s="1441">
        <v>0</v>
      </c>
      <c r="G5" s="1441">
        <v>0</v>
      </c>
      <c r="H5" s="1441">
        <v>0</v>
      </c>
      <c r="I5" s="1441"/>
      <c r="J5" s="1441"/>
      <c r="K5" s="1441"/>
      <c r="L5" s="1441"/>
      <c r="M5" s="1441"/>
      <c r="N5" s="1441">
        <v>0</v>
      </c>
      <c r="O5" s="1441">
        <v>0</v>
      </c>
      <c r="P5" s="1441">
        <v>0</v>
      </c>
      <c r="Q5" s="1441">
        <v>0</v>
      </c>
      <c r="R5" s="1441">
        <v>0</v>
      </c>
      <c r="S5" s="1441">
        <v>0</v>
      </c>
      <c r="T5" s="1441">
        <v>0</v>
      </c>
      <c r="U5" s="1441">
        <v>0</v>
      </c>
      <c r="V5" s="1441">
        <v>0</v>
      </c>
      <c r="W5" s="1441">
        <v>0</v>
      </c>
      <c r="X5" s="1441">
        <v>0</v>
      </c>
      <c r="Z5" s="1443"/>
    </row>
    <row r="6" spans="1:29" ht="17.25" x14ac:dyDescent="0.35">
      <c r="B6" s="1444"/>
      <c r="C6" s="1444"/>
      <c r="D6" s="1444"/>
      <c r="E6" s="1444"/>
      <c r="F6" s="1444"/>
      <c r="G6" s="1444"/>
      <c r="H6" s="1444"/>
      <c r="I6" s="1444"/>
      <c r="J6" s="1444"/>
      <c r="K6" s="1444"/>
      <c r="L6" s="1444"/>
      <c r="M6" s="1444"/>
      <c r="N6" s="1444"/>
      <c r="O6" s="1444"/>
      <c r="P6" s="1444"/>
      <c r="Q6" s="1444"/>
      <c r="R6" s="1444"/>
      <c r="S6" s="1445"/>
      <c r="T6" s="1445"/>
      <c r="X6" s="1446" t="s">
        <v>0</v>
      </c>
      <c r="AA6" s="1447">
        <v>45835</v>
      </c>
    </row>
    <row r="7" spans="1:29" s="1451" customFormat="1" ht="43.5" customHeight="1" thickBot="1" x14ac:dyDescent="0.35">
      <c r="A7" s="1448"/>
      <c r="B7" s="1449"/>
      <c r="C7" s="1449"/>
      <c r="D7" s="1450"/>
      <c r="E7" s="1450"/>
      <c r="F7" s="1450"/>
      <c r="G7" s="1450"/>
      <c r="H7" s="1450"/>
      <c r="I7" s="1450"/>
      <c r="J7" s="1450"/>
      <c r="K7" s="1450"/>
      <c r="L7" s="1450"/>
      <c r="M7" s="1450"/>
      <c r="N7" s="1450"/>
      <c r="O7" s="1450"/>
      <c r="P7" s="1450"/>
      <c r="Q7" s="1450"/>
      <c r="R7" s="1450"/>
      <c r="S7" s="1450"/>
      <c r="T7" s="1450"/>
      <c r="U7" s="1450"/>
      <c r="V7" s="1450"/>
      <c r="W7" s="1450"/>
      <c r="X7" s="1450"/>
      <c r="Z7" s="1452" t="s">
        <v>818</v>
      </c>
      <c r="AA7" s="1453" t="s">
        <v>819</v>
      </c>
    </row>
    <row r="8" spans="1:29" s="1459" customFormat="1" ht="75.75" thickBot="1" x14ac:dyDescent="0.25">
      <c r="A8" s="1448"/>
      <c r="B8" s="1454" t="s">
        <v>820</v>
      </c>
      <c r="C8" s="1455">
        <v>0</v>
      </c>
      <c r="D8" s="1456" t="s">
        <v>821</v>
      </c>
      <c r="E8" s="1456" t="s">
        <v>822</v>
      </c>
      <c r="F8" s="1456" t="s">
        <v>823</v>
      </c>
      <c r="G8" s="1456" t="s">
        <v>824</v>
      </c>
      <c r="H8" s="1456" t="s">
        <v>825</v>
      </c>
      <c r="I8" s="1456" t="s">
        <v>826</v>
      </c>
      <c r="J8" s="1456" t="s">
        <v>827</v>
      </c>
      <c r="K8" s="1456" t="s">
        <v>828</v>
      </c>
      <c r="L8" s="1456" t="s">
        <v>829</v>
      </c>
      <c r="M8" s="1457" t="s">
        <v>830</v>
      </c>
      <c r="N8" s="1458" t="s">
        <v>831</v>
      </c>
      <c r="O8" s="1456" t="s">
        <v>832</v>
      </c>
      <c r="P8" s="1456" t="s">
        <v>833</v>
      </c>
      <c r="Q8" s="1456" t="s">
        <v>834</v>
      </c>
      <c r="R8" s="1456" t="s">
        <v>835</v>
      </c>
      <c r="S8" s="1456" t="s">
        <v>836</v>
      </c>
      <c r="T8" s="1456" t="s">
        <v>837</v>
      </c>
      <c r="U8" s="1456" t="s">
        <v>838</v>
      </c>
      <c r="V8" s="1456" t="s">
        <v>839</v>
      </c>
      <c r="W8" s="1456" t="s">
        <v>840</v>
      </c>
      <c r="X8" s="1457" t="s">
        <v>841</v>
      </c>
      <c r="Y8" s="1459" t="s">
        <v>842</v>
      </c>
      <c r="Z8" s="1460" t="s">
        <v>843</v>
      </c>
      <c r="AA8" s="1460" t="s">
        <v>844</v>
      </c>
    </row>
    <row r="9" spans="1:29" s="1451" customFormat="1" ht="15.75" thickTop="1" x14ac:dyDescent="0.3">
      <c r="A9" s="1461">
        <v>1</v>
      </c>
      <c r="B9" s="1462" t="s">
        <v>845</v>
      </c>
      <c r="C9" s="1463" t="s">
        <v>846</v>
      </c>
      <c r="D9" s="1463" t="s">
        <v>847</v>
      </c>
      <c r="E9" s="1464">
        <v>41555</v>
      </c>
      <c r="F9" s="1464">
        <v>48859</v>
      </c>
      <c r="G9" s="1465">
        <v>200000</v>
      </c>
      <c r="H9" s="1465">
        <v>69795.154999999999</v>
      </c>
      <c r="I9" s="1465"/>
      <c r="J9" s="1466">
        <v>4059</v>
      </c>
      <c r="K9" s="1466">
        <f>H9-J9</f>
        <v>65736.154999999999</v>
      </c>
      <c r="L9" s="1466">
        <v>4059</v>
      </c>
      <c r="M9" s="1467">
        <f>K9-L9</f>
        <v>61677.154999999999</v>
      </c>
      <c r="N9" s="1468">
        <v>6100</v>
      </c>
      <c r="O9" s="1469">
        <v>8081</v>
      </c>
      <c r="P9" s="1469">
        <v>7711</v>
      </c>
      <c r="Q9" s="1469">
        <v>7711</v>
      </c>
      <c r="R9" s="1469">
        <v>7712</v>
      </c>
      <c r="S9" s="1469">
        <v>7711</v>
      </c>
      <c r="T9" s="1469">
        <v>7711</v>
      </c>
      <c r="U9" s="1469">
        <v>7712</v>
      </c>
      <c r="V9" s="1469">
        <v>7329</v>
      </c>
      <c r="W9" s="1469"/>
      <c r="X9" s="1470"/>
      <c r="Y9" s="1471" t="s">
        <v>848</v>
      </c>
      <c r="Z9" s="1472">
        <f>1.995+2.83+2</f>
        <v>6.8250000000000002</v>
      </c>
      <c r="AA9" s="1451">
        <f>1.939+2.83+2</f>
        <v>6.7690000000000001</v>
      </c>
      <c r="AB9" s="1471" t="s">
        <v>849</v>
      </c>
      <c r="AC9" s="1451" t="s">
        <v>850</v>
      </c>
    </row>
    <row r="10" spans="1:29" s="1451" customFormat="1" ht="15.75" customHeight="1" x14ac:dyDescent="0.3">
      <c r="A10" s="1461">
        <v>0</v>
      </c>
      <c r="B10" s="1473">
        <v>0</v>
      </c>
      <c r="C10" s="1474">
        <v>0</v>
      </c>
      <c r="D10" s="1474">
        <v>0</v>
      </c>
      <c r="E10" s="1475">
        <v>0</v>
      </c>
      <c r="F10" s="1475">
        <v>0</v>
      </c>
      <c r="G10" s="1476">
        <v>0</v>
      </c>
      <c r="H10" s="1476"/>
      <c r="I10" s="1476"/>
      <c r="J10" s="1477"/>
      <c r="K10" s="1477"/>
      <c r="L10" s="1477"/>
      <c r="M10" s="1478"/>
      <c r="N10" s="1479"/>
      <c r="O10" s="1469">
        <v>5359</v>
      </c>
      <c r="P10" s="1469">
        <v>4634</v>
      </c>
      <c r="Q10" s="1469">
        <v>3939</v>
      </c>
      <c r="R10" s="1469">
        <v>3224</v>
      </c>
      <c r="S10" s="1469">
        <v>2520</v>
      </c>
      <c r="T10" s="1469">
        <v>1815</v>
      </c>
      <c r="U10" s="1469">
        <v>1110</v>
      </c>
      <c r="V10" s="1469">
        <v>370</v>
      </c>
      <c r="W10" s="1469"/>
      <c r="X10" s="1480"/>
      <c r="Z10" s="1472"/>
      <c r="AB10" s="1471"/>
    </row>
    <row r="11" spans="1:29" s="1451" customFormat="1" ht="15.75" customHeight="1" x14ac:dyDescent="0.3">
      <c r="A11" s="1461">
        <v>2</v>
      </c>
      <c r="B11" s="1462" t="s">
        <v>851</v>
      </c>
      <c r="C11" s="1463" t="s">
        <v>852</v>
      </c>
      <c r="D11" s="1463" t="s">
        <v>853</v>
      </c>
      <c r="E11" s="1464">
        <v>41759</v>
      </c>
      <c r="F11" s="1464">
        <v>49064</v>
      </c>
      <c r="G11" s="1465">
        <v>200000</v>
      </c>
      <c r="H11" s="1465">
        <v>84410</v>
      </c>
      <c r="I11" s="1465"/>
      <c r="J11" s="1477">
        <v>4443</v>
      </c>
      <c r="K11" s="1477">
        <f>H11-J11</f>
        <v>79967</v>
      </c>
      <c r="L11" s="1465">
        <v>4443</v>
      </c>
      <c r="M11" s="1467">
        <f t="shared" ref="M11" si="0">K11-L11</f>
        <v>75524</v>
      </c>
      <c r="N11" s="1468">
        <v>6680</v>
      </c>
      <c r="O11" s="1469">
        <v>8886</v>
      </c>
      <c r="P11" s="1469">
        <v>8886</v>
      </c>
      <c r="Q11" s="1469">
        <v>8887</v>
      </c>
      <c r="R11" s="1469">
        <v>8886</v>
      </c>
      <c r="S11" s="1469">
        <v>8886</v>
      </c>
      <c r="T11" s="1469">
        <v>8886</v>
      </c>
      <c r="U11" s="1469">
        <v>8886</v>
      </c>
      <c r="V11" s="1469">
        <v>8886</v>
      </c>
      <c r="W11" s="1469">
        <v>4435</v>
      </c>
      <c r="X11" s="1480"/>
      <c r="Y11" s="1471" t="s">
        <v>854</v>
      </c>
      <c r="Z11" s="1472">
        <f>1.995+2.83+1.13</f>
        <v>5.9550000000000001</v>
      </c>
      <c r="AA11" s="1451">
        <f>1.939+2.83+1.13</f>
        <v>5.899</v>
      </c>
      <c r="AB11" s="1471"/>
    </row>
    <row r="12" spans="1:29" s="1451" customFormat="1" ht="15" x14ac:dyDescent="0.3">
      <c r="A12" s="1461">
        <v>0</v>
      </c>
      <c r="B12" s="1473">
        <v>0</v>
      </c>
      <c r="C12" s="1474">
        <v>0</v>
      </c>
      <c r="D12" s="1474">
        <v>0</v>
      </c>
      <c r="E12" s="1475">
        <v>0</v>
      </c>
      <c r="F12" s="1475">
        <v>0</v>
      </c>
      <c r="G12" s="1476">
        <v>0</v>
      </c>
      <c r="H12" s="1476"/>
      <c r="I12" s="1476"/>
      <c r="J12" s="1477"/>
      <c r="K12" s="1477"/>
      <c r="L12" s="1476"/>
      <c r="M12" s="1478"/>
      <c r="N12" s="1479"/>
      <c r="O12" s="1469">
        <v>5948</v>
      </c>
      <c r="P12" s="1469">
        <v>5216</v>
      </c>
      <c r="Q12" s="1469">
        <v>4484</v>
      </c>
      <c r="R12" s="1469">
        <v>3751</v>
      </c>
      <c r="S12" s="1469">
        <v>3019</v>
      </c>
      <c r="T12" s="1469">
        <v>2287</v>
      </c>
      <c r="U12" s="1469">
        <v>1555</v>
      </c>
      <c r="V12" s="1469">
        <v>823</v>
      </c>
      <c r="W12" s="1469">
        <v>91</v>
      </c>
      <c r="X12" s="1480"/>
      <c r="Z12" s="1472"/>
      <c r="AB12" s="1471"/>
    </row>
    <row r="13" spans="1:29" s="1451" customFormat="1" ht="15" x14ac:dyDescent="0.3">
      <c r="A13" s="1461">
        <v>3</v>
      </c>
      <c r="B13" s="1462" t="s">
        <v>855</v>
      </c>
      <c r="C13" s="1463" t="s">
        <v>856</v>
      </c>
      <c r="D13" s="1463" t="s">
        <v>857</v>
      </c>
      <c r="E13" s="1481">
        <v>43641</v>
      </c>
      <c r="F13" s="1481">
        <v>47299</v>
      </c>
      <c r="G13" s="1465">
        <v>1260000</v>
      </c>
      <c r="H13" s="1465">
        <v>502318</v>
      </c>
      <c r="I13" s="1465"/>
      <c r="J13" s="1477">
        <v>76363</v>
      </c>
      <c r="K13" s="1477">
        <f>H13-J13</f>
        <v>425955</v>
      </c>
      <c r="L13" s="1465">
        <v>76364</v>
      </c>
      <c r="M13" s="1467">
        <f t="shared" ref="M13" si="1">K13-L13</f>
        <v>349591</v>
      </c>
      <c r="N13" s="1468">
        <v>32889</v>
      </c>
      <c r="O13" s="1469">
        <v>152727</v>
      </c>
      <c r="P13" s="1469">
        <v>152727</v>
      </c>
      <c r="Q13" s="1469">
        <v>44136</v>
      </c>
      <c r="R13" s="1469"/>
      <c r="S13" s="1469"/>
      <c r="T13" s="1469"/>
      <c r="U13" s="1469"/>
      <c r="V13" s="1469"/>
      <c r="W13" s="1469"/>
      <c r="X13" s="1480"/>
      <c r="Y13" s="1451" t="s">
        <v>858</v>
      </c>
      <c r="Z13" s="1472">
        <f>6.5+1.05</f>
        <v>7.55</v>
      </c>
      <c r="AA13" s="1472">
        <f>6.5+1.05</f>
        <v>7.55</v>
      </c>
      <c r="AB13" s="1471"/>
    </row>
    <row r="14" spans="1:29" s="1451" customFormat="1" ht="15" x14ac:dyDescent="0.3">
      <c r="A14" s="1461">
        <v>0</v>
      </c>
      <c r="B14" s="1473">
        <v>0</v>
      </c>
      <c r="C14" s="1474">
        <v>0</v>
      </c>
      <c r="D14" s="1474">
        <v>0</v>
      </c>
      <c r="E14" s="1482">
        <v>0</v>
      </c>
      <c r="F14" s="1482">
        <v>0</v>
      </c>
      <c r="G14" s="1476">
        <v>0</v>
      </c>
      <c r="H14" s="1476"/>
      <c r="I14" s="1476"/>
      <c r="J14" s="1477"/>
      <c r="K14" s="1477"/>
      <c r="L14" s="1476"/>
      <c r="M14" s="1478"/>
      <c r="N14" s="1479"/>
      <c r="O14" s="1469">
        <v>21602</v>
      </c>
      <c r="P14" s="1469">
        <v>10316</v>
      </c>
      <c r="Q14" s="1469">
        <v>925</v>
      </c>
      <c r="R14" s="1469"/>
      <c r="S14" s="1469"/>
      <c r="T14" s="1469"/>
      <c r="U14" s="1469"/>
      <c r="V14" s="1469"/>
      <c r="W14" s="1469"/>
      <c r="X14" s="1480"/>
      <c r="Z14" s="1472"/>
      <c r="AA14" s="1472"/>
      <c r="AB14" s="1471"/>
    </row>
    <row r="15" spans="1:29" s="1451" customFormat="1" ht="15" x14ac:dyDescent="0.3">
      <c r="A15" s="1461">
        <v>4</v>
      </c>
      <c r="B15" s="1462" t="s">
        <v>859</v>
      </c>
      <c r="C15" s="1463" t="s">
        <v>860</v>
      </c>
      <c r="D15" s="1463" t="s">
        <v>861</v>
      </c>
      <c r="E15" s="1481">
        <v>44424</v>
      </c>
      <c r="F15" s="1481">
        <v>48029</v>
      </c>
      <c r="G15" s="1465">
        <v>561891</v>
      </c>
      <c r="H15" s="1465">
        <v>454414</v>
      </c>
      <c r="I15" s="1465"/>
      <c r="J15" s="1477">
        <v>34054</v>
      </c>
      <c r="K15" s="1477">
        <f>H15-J15</f>
        <v>420360</v>
      </c>
      <c r="L15" s="1465">
        <v>34054</v>
      </c>
      <c r="M15" s="1467">
        <f t="shared" ref="M15" si="2">K15-L15</f>
        <v>386306</v>
      </c>
      <c r="N15" s="1468">
        <v>28263</v>
      </c>
      <c r="O15" s="1469">
        <v>68108</v>
      </c>
      <c r="P15" s="1469">
        <v>68108</v>
      </c>
      <c r="Q15" s="1469">
        <v>68108</v>
      </c>
      <c r="R15" s="1469">
        <v>68108</v>
      </c>
      <c r="S15" s="1469">
        <v>68108</v>
      </c>
      <c r="T15" s="1469">
        <v>45766</v>
      </c>
      <c r="U15" s="1469"/>
      <c r="V15" s="1469"/>
      <c r="W15" s="1469"/>
      <c r="X15" s="1480"/>
      <c r="Y15" s="1451" t="s">
        <v>862</v>
      </c>
      <c r="Z15" s="1472">
        <f>6.5+0.25</f>
        <v>6.75</v>
      </c>
      <c r="AA15" s="1472">
        <f>6.5+0.25</f>
        <v>6.75</v>
      </c>
      <c r="AB15" s="1471"/>
    </row>
    <row r="16" spans="1:29" s="1451" customFormat="1" ht="15.75" thickBot="1" x14ac:dyDescent="0.35">
      <c r="A16" s="1461">
        <v>0</v>
      </c>
      <c r="B16" s="1473">
        <v>0</v>
      </c>
      <c r="C16" s="1474">
        <v>0</v>
      </c>
      <c r="D16" s="1474">
        <v>0</v>
      </c>
      <c r="E16" s="1482">
        <v>0</v>
      </c>
      <c r="F16" s="1482">
        <v>0</v>
      </c>
      <c r="G16" s="1476">
        <v>0</v>
      </c>
      <c r="H16" s="1476"/>
      <c r="I16" s="1476"/>
      <c r="J16" s="1483"/>
      <c r="K16" s="1483"/>
      <c r="L16" s="1484"/>
      <c r="M16" s="1485"/>
      <c r="N16" s="1479"/>
      <c r="O16" s="1469">
        <v>23774</v>
      </c>
      <c r="P16" s="1469">
        <v>19286</v>
      </c>
      <c r="Q16" s="1469">
        <v>14798</v>
      </c>
      <c r="R16" s="1469">
        <v>10309</v>
      </c>
      <c r="S16" s="1469">
        <v>5821</v>
      </c>
      <c r="T16" s="1469">
        <v>1420</v>
      </c>
      <c r="U16" s="1469"/>
      <c r="V16" s="1469"/>
      <c r="W16" s="1469"/>
      <c r="X16" s="1480"/>
      <c r="Z16" s="1472"/>
      <c r="AB16" s="1471"/>
    </row>
    <row r="17" spans="1:28" s="1492" customFormat="1" thickTop="1" thickBot="1" x14ac:dyDescent="0.35">
      <c r="A17" s="1448">
        <v>5</v>
      </c>
      <c r="B17" s="1486" t="s">
        <v>863</v>
      </c>
      <c r="C17" s="1487" t="s">
        <v>864</v>
      </c>
      <c r="D17" s="1487"/>
      <c r="E17" s="1487"/>
      <c r="F17" s="1487"/>
      <c r="G17" s="1487"/>
      <c r="H17" s="1488">
        <f t="shared" ref="H17:X17" si="3">SUM(H9:H16)</f>
        <v>1110937.155</v>
      </c>
      <c r="I17" s="1488">
        <f t="shared" si="3"/>
        <v>0</v>
      </c>
      <c r="J17" s="1488">
        <f>SUM(J9:J16)</f>
        <v>118919</v>
      </c>
      <c r="K17" s="1488">
        <f t="shared" ref="K17:L17" si="4">SUM(K9:K16)</f>
        <v>992018.15500000003</v>
      </c>
      <c r="L17" s="1488">
        <f t="shared" si="4"/>
        <v>118920</v>
      </c>
      <c r="M17" s="1489">
        <f t="shared" si="3"/>
        <v>873098.15500000003</v>
      </c>
      <c r="N17" s="1490">
        <f t="shared" si="3"/>
        <v>73932</v>
      </c>
      <c r="O17" s="1488">
        <f t="shared" si="3"/>
        <v>294485</v>
      </c>
      <c r="P17" s="1488">
        <f t="shared" si="3"/>
        <v>276884</v>
      </c>
      <c r="Q17" s="1488">
        <f t="shared" si="3"/>
        <v>152988</v>
      </c>
      <c r="R17" s="1488">
        <f t="shared" si="3"/>
        <v>101990</v>
      </c>
      <c r="S17" s="1488">
        <f t="shared" si="3"/>
        <v>96065</v>
      </c>
      <c r="T17" s="1488">
        <f t="shared" si="3"/>
        <v>67885</v>
      </c>
      <c r="U17" s="1488">
        <f t="shared" si="3"/>
        <v>19263</v>
      </c>
      <c r="V17" s="1488">
        <f t="shared" si="3"/>
        <v>17408</v>
      </c>
      <c r="W17" s="1488">
        <f t="shared" si="3"/>
        <v>4526</v>
      </c>
      <c r="X17" s="1489">
        <f t="shared" si="3"/>
        <v>0</v>
      </c>
      <c r="Y17" s="1451"/>
      <c r="Z17" s="1491"/>
      <c r="AB17" s="1471"/>
    </row>
    <row r="18" spans="1:28" s="1451" customFormat="1" ht="15.75" hidden="1" thickTop="1" x14ac:dyDescent="0.3">
      <c r="A18" s="1448">
        <v>6</v>
      </c>
      <c r="B18" s="1493"/>
      <c r="C18" s="1494" t="s">
        <v>865</v>
      </c>
      <c r="D18" s="1495"/>
      <c r="E18" s="1495"/>
      <c r="F18" s="1495"/>
      <c r="G18" s="1495"/>
      <c r="H18" s="1495"/>
      <c r="I18" s="1495"/>
      <c r="J18" s="1495"/>
      <c r="K18" s="1495"/>
      <c r="L18" s="1495"/>
      <c r="M18" s="1495"/>
      <c r="N18" s="1495"/>
      <c r="O18" s="1496">
        <f>O9+O11+O13+O15</f>
        <v>237802</v>
      </c>
      <c r="P18" s="1496">
        <f t="shared" ref="P18:X19" si="5">P9+P11+P13+P15</f>
        <v>237432</v>
      </c>
      <c r="Q18" s="1496">
        <f t="shared" si="5"/>
        <v>128842</v>
      </c>
      <c r="R18" s="1496">
        <f t="shared" si="5"/>
        <v>84706</v>
      </c>
      <c r="S18" s="1496">
        <f t="shared" si="5"/>
        <v>84705</v>
      </c>
      <c r="T18" s="1496">
        <f t="shared" si="5"/>
        <v>62363</v>
      </c>
      <c r="U18" s="1496">
        <f t="shared" si="5"/>
        <v>16598</v>
      </c>
      <c r="V18" s="1496">
        <f t="shared" si="5"/>
        <v>16215</v>
      </c>
      <c r="W18" s="1496">
        <f t="shared" si="5"/>
        <v>4435</v>
      </c>
      <c r="X18" s="1497">
        <f t="shared" si="5"/>
        <v>0</v>
      </c>
      <c r="Y18" s="1492"/>
      <c r="Z18" s="1472"/>
    </row>
    <row r="19" spans="1:28" s="1451" customFormat="1" hidden="1" thickTop="1" thickBot="1" x14ac:dyDescent="0.35">
      <c r="A19" s="1448">
        <v>7</v>
      </c>
      <c r="B19" s="1498"/>
      <c r="C19" s="1499" t="s">
        <v>866</v>
      </c>
      <c r="D19" s="1500"/>
      <c r="E19" s="1500"/>
      <c r="F19" s="1500"/>
      <c r="G19" s="1500"/>
      <c r="H19" s="1500"/>
      <c r="I19" s="1500"/>
      <c r="J19" s="1500"/>
      <c r="K19" s="1500"/>
      <c r="L19" s="1500"/>
      <c r="M19" s="1500"/>
      <c r="N19" s="1500"/>
      <c r="O19" s="1501">
        <f>O10+O12+O14+O16</f>
        <v>56683</v>
      </c>
      <c r="P19" s="1501">
        <f t="shared" si="5"/>
        <v>39452</v>
      </c>
      <c r="Q19" s="1501">
        <f t="shared" si="5"/>
        <v>24146</v>
      </c>
      <c r="R19" s="1501">
        <f t="shared" si="5"/>
        <v>17284</v>
      </c>
      <c r="S19" s="1501">
        <f t="shared" si="5"/>
        <v>11360</v>
      </c>
      <c r="T19" s="1501">
        <f t="shared" si="5"/>
        <v>5522</v>
      </c>
      <c r="U19" s="1501">
        <f t="shared" si="5"/>
        <v>2665</v>
      </c>
      <c r="V19" s="1501">
        <f t="shared" si="5"/>
        <v>1193</v>
      </c>
      <c r="W19" s="1501">
        <f t="shared" si="5"/>
        <v>91</v>
      </c>
      <c r="X19" s="1502">
        <f t="shared" si="5"/>
        <v>0</v>
      </c>
      <c r="Z19" s="1472"/>
    </row>
    <row r="20" spans="1:28" ht="17.25" thickTop="1" x14ac:dyDescent="0.3">
      <c r="O20" s="1505"/>
      <c r="P20" s="1505"/>
      <c r="Q20" s="1505"/>
      <c r="R20" s="1505"/>
      <c r="S20" s="1505"/>
      <c r="T20" s="1505"/>
      <c r="U20" s="1505"/>
      <c r="V20" s="1505"/>
      <c r="W20" s="1505"/>
      <c r="X20" s="1505"/>
      <c r="Z20" s="1472"/>
    </row>
    <row r="22" spans="1:28" x14ac:dyDescent="0.3">
      <c r="K22" s="1505"/>
    </row>
  </sheetData>
  <mergeCells count="64">
    <mergeCell ref="M15:M16"/>
    <mergeCell ref="N15:N16"/>
    <mergeCell ref="B1:D1"/>
    <mergeCell ref="G15:G16"/>
    <mergeCell ref="H15:H16"/>
    <mergeCell ref="I15:I16"/>
    <mergeCell ref="J15:J16"/>
    <mergeCell ref="K15:K16"/>
    <mergeCell ref="L15:L16"/>
    <mergeCell ref="A15:A16"/>
    <mergeCell ref="B15:B16"/>
    <mergeCell ref="C15:C16"/>
    <mergeCell ref="D15:D16"/>
    <mergeCell ref="E15:E16"/>
    <mergeCell ref="F15:F16"/>
    <mergeCell ref="I13:I14"/>
    <mergeCell ref="J13:J14"/>
    <mergeCell ref="K13:K14"/>
    <mergeCell ref="L13:L14"/>
    <mergeCell ref="M13:M14"/>
    <mergeCell ref="N13:N14"/>
    <mergeCell ref="M11:M12"/>
    <mergeCell ref="N11:N12"/>
    <mergeCell ref="A13:A14"/>
    <mergeCell ref="B13:B14"/>
    <mergeCell ref="C13:C14"/>
    <mergeCell ref="D13:D14"/>
    <mergeCell ref="E13:E14"/>
    <mergeCell ref="F13:F14"/>
    <mergeCell ref="G13:G14"/>
    <mergeCell ref="H13:H14"/>
    <mergeCell ref="G11:G12"/>
    <mergeCell ref="H11:H12"/>
    <mergeCell ref="I11:I12"/>
    <mergeCell ref="J11:J12"/>
    <mergeCell ref="K11:K12"/>
    <mergeCell ref="L11:L12"/>
    <mergeCell ref="K9:K10"/>
    <mergeCell ref="L9:L10"/>
    <mergeCell ref="M9:M10"/>
    <mergeCell ref="N9:N10"/>
    <mergeCell ref="A11:A12"/>
    <mergeCell ref="B11:B12"/>
    <mergeCell ref="C11:C12"/>
    <mergeCell ref="D11:D12"/>
    <mergeCell ref="E11:E12"/>
    <mergeCell ref="F11:F12"/>
    <mergeCell ref="E9:E10"/>
    <mergeCell ref="F9:F10"/>
    <mergeCell ref="G9:G10"/>
    <mergeCell ref="H9:H10"/>
    <mergeCell ref="I9:I10"/>
    <mergeCell ref="J9:J10"/>
    <mergeCell ref="B7:C7"/>
    <mergeCell ref="B8:C8"/>
    <mergeCell ref="A9:A10"/>
    <mergeCell ref="B9:B10"/>
    <mergeCell ref="C9:C10"/>
    <mergeCell ref="D9:D10"/>
    <mergeCell ref="G1:S1"/>
    <mergeCell ref="B3:X3"/>
    <mergeCell ref="B4:X4"/>
    <mergeCell ref="B5:X5"/>
    <mergeCell ref="S6:T6"/>
  </mergeCells>
  <pageMargins left="0.70866141732283472" right="0.70866141732283472" top="0.74803149606299213" bottom="0.74803149606299213" header="0.31496062992125984" footer="0.31496062992125984"/>
  <pageSetup paperSize="9" orientation="landscape" verticalDpi="0"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16B1-A870-4D5C-B267-A6FC97D7E65B}">
  <sheetPr>
    <pageSetUpPr fitToPage="1"/>
  </sheetPr>
  <dimension ref="A1:T23"/>
  <sheetViews>
    <sheetView view="pageBreakPreview" zoomScaleNormal="100" workbookViewId="0">
      <selection activeCell="B17" sqref="B17:S17"/>
    </sheetView>
  </sheetViews>
  <sheetFormatPr defaultColWidth="10.42578125" defaultRowHeight="16.5" x14ac:dyDescent="0.3"/>
  <cols>
    <col min="1" max="1" width="3.7109375" style="512" customWidth="1"/>
    <col min="2" max="3" width="5.7109375" style="560" customWidth="1"/>
    <col min="4" max="4" width="51.7109375" style="559" customWidth="1"/>
    <col min="5" max="5" width="19.7109375" style="561" customWidth="1"/>
    <col min="6" max="6" width="3" style="511" customWidth="1"/>
    <col min="7" max="12" width="13.7109375" style="511" customWidth="1"/>
    <col min="13" max="14" width="15.7109375" style="511" customWidth="1"/>
    <col min="15" max="18" width="13.7109375" style="511" customWidth="1"/>
    <col min="19" max="20" width="15.7109375" style="511" customWidth="1"/>
    <col min="21" max="16384" width="10.42578125" style="511"/>
  </cols>
  <sheetData>
    <row r="1" spans="1:20" x14ac:dyDescent="0.3">
      <c r="A1" s="509"/>
      <c r="B1" s="1420" t="s">
        <v>867</v>
      </c>
      <c r="C1" s="1420"/>
      <c r="D1" s="1420"/>
      <c r="E1" s="1420"/>
      <c r="F1" s="1420"/>
      <c r="G1" s="1420"/>
      <c r="H1" s="1420"/>
      <c r="I1" s="1420"/>
      <c r="J1" s="1420"/>
      <c r="K1" s="1420"/>
      <c r="L1" s="1420"/>
      <c r="M1" s="1420"/>
      <c r="N1" s="510"/>
      <c r="O1" s="4"/>
      <c r="P1" s="4"/>
      <c r="Q1" s="4"/>
      <c r="R1" s="4"/>
      <c r="S1" s="4"/>
    </row>
    <row r="2" spans="1:20" ht="24.75" customHeight="1" x14ac:dyDescent="0.35">
      <c r="B2" s="1427" t="s">
        <v>770</v>
      </c>
      <c r="C2" s="1427"/>
      <c r="D2" s="1427"/>
      <c r="E2" s="1427"/>
      <c r="F2" s="1427"/>
      <c r="G2" s="1427"/>
      <c r="H2" s="1427"/>
      <c r="I2" s="1427"/>
      <c r="J2" s="1427"/>
      <c r="K2" s="1427"/>
      <c r="L2" s="1427"/>
      <c r="M2" s="1427"/>
      <c r="N2" s="1427"/>
      <c r="O2" s="1427"/>
      <c r="P2" s="1427"/>
      <c r="Q2" s="1427"/>
      <c r="R2" s="1427"/>
      <c r="S2" s="1427"/>
      <c r="T2" s="1427"/>
    </row>
    <row r="3" spans="1:20" ht="24.75" customHeight="1" x14ac:dyDescent="0.35">
      <c r="B3" s="1427" t="s">
        <v>771</v>
      </c>
      <c r="C3" s="1427"/>
      <c r="D3" s="1427"/>
      <c r="E3" s="1427"/>
      <c r="F3" s="1427"/>
      <c r="G3" s="1427"/>
      <c r="H3" s="1427"/>
      <c r="I3" s="1427"/>
      <c r="J3" s="1427"/>
      <c r="K3" s="1427"/>
      <c r="L3" s="1427"/>
      <c r="M3" s="1427"/>
      <c r="N3" s="1427"/>
      <c r="O3" s="1427"/>
      <c r="P3" s="1427"/>
      <c r="Q3" s="1427"/>
      <c r="R3" s="1427"/>
      <c r="S3" s="1427"/>
      <c r="T3" s="1427"/>
    </row>
    <row r="4" spans="1:20" ht="24.75" customHeight="1" x14ac:dyDescent="0.35">
      <c r="B4" s="1427" t="s">
        <v>772</v>
      </c>
      <c r="C4" s="1427"/>
      <c r="D4" s="1427"/>
      <c r="E4" s="1427"/>
      <c r="F4" s="1427"/>
      <c r="G4" s="1427"/>
      <c r="H4" s="1427"/>
      <c r="I4" s="1427"/>
      <c r="J4" s="1427"/>
      <c r="K4" s="1427"/>
      <c r="L4" s="1427"/>
      <c r="M4" s="1427"/>
      <c r="N4" s="1427"/>
      <c r="O4" s="1427"/>
      <c r="P4" s="1427"/>
      <c r="Q4" s="1427"/>
      <c r="R4" s="1427"/>
      <c r="S4" s="1427"/>
      <c r="T4" s="1427"/>
    </row>
    <row r="5" spans="1:20" s="515" customFormat="1" ht="15" x14ac:dyDescent="0.3">
      <c r="A5" s="512"/>
      <c r="B5" s="512"/>
      <c r="C5" s="512"/>
      <c r="D5" s="513"/>
      <c r="E5" s="514"/>
      <c r="O5" s="1421"/>
      <c r="P5" s="1421"/>
      <c r="Q5" s="1421"/>
      <c r="R5" s="1421"/>
      <c r="S5" s="1421"/>
    </row>
    <row r="6" spans="1:20" s="512" customFormat="1" ht="15.75" thickBot="1" x14ac:dyDescent="0.35">
      <c r="B6" s="512" t="s">
        <v>773</v>
      </c>
      <c r="C6" s="512" t="s">
        <v>3</v>
      </c>
      <c r="D6" s="516" t="s">
        <v>2</v>
      </c>
      <c r="E6" s="514" t="s">
        <v>4</v>
      </c>
      <c r="G6" s="512" t="s">
        <v>5</v>
      </c>
      <c r="H6" s="512" t="s">
        <v>15</v>
      </c>
      <c r="I6" s="512" t="s">
        <v>16</v>
      </c>
      <c r="J6" s="512" t="s">
        <v>17</v>
      </c>
      <c r="K6" s="512" t="s">
        <v>32</v>
      </c>
      <c r="L6" s="512" t="s">
        <v>28</v>
      </c>
      <c r="M6" s="512" t="s">
        <v>23</v>
      </c>
      <c r="N6" s="512" t="s">
        <v>33</v>
      </c>
      <c r="O6" s="512" t="s">
        <v>34</v>
      </c>
      <c r="P6" s="512" t="s">
        <v>117</v>
      </c>
      <c r="Q6" s="512" t="s">
        <v>118</v>
      </c>
      <c r="R6" s="512" t="s">
        <v>119</v>
      </c>
      <c r="S6" s="512" t="s">
        <v>790</v>
      </c>
      <c r="T6" s="512" t="s">
        <v>791</v>
      </c>
    </row>
    <row r="7" spans="1:20" s="520" customFormat="1" ht="24.75" customHeight="1" thickBot="1" x14ac:dyDescent="0.25">
      <c r="A7" s="517"/>
      <c r="B7" s="1422" t="s">
        <v>18</v>
      </c>
      <c r="C7" s="1423" t="s">
        <v>19</v>
      </c>
      <c r="D7" s="1424" t="s">
        <v>774</v>
      </c>
      <c r="E7" s="1425" t="s">
        <v>775</v>
      </c>
      <c r="F7" s="518"/>
      <c r="G7" s="1426" t="s">
        <v>776</v>
      </c>
      <c r="H7" s="1426"/>
      <c r="I7" s="1426"/>
      <c r="J7" s="1426"/>
      <c r="K7" s="1426"/>
      <c r="L7" s="1426"/>
      <c r="M7" s="1426"/>
      <c r="N7" s="1411" t="s">
        <v>751</v>
      </c>
      <c r="O7" s="1428" t="s">
        <v>777</v>
      </c>
      <c r="P7" s="1428"/>
      <c r="Q7" s="1428"/>
      <c r="R7" s="1429"/>
      <c r="S7" s="1432" t="s">
        <v>778</v>
      </c>
      <c r="T7" s="1417" t="s">
        <v>751</v>
      </c>
    </row>
    <row r="8" spans="1:20" s="520" customFormat="1" ht="24.75" customHeight="1" thickBot="1" x14ac:dyDescent="0.25">
      <c r="A8" s="517"/>
      <c r="B8" s="1422"/>
      <c r="C8" s="1423"/>
      <c r="D8" s="1424"/>
      <c r="E8" s="1425"/>
      <c r="F8" s="521"/>
      <c r="G8" s="1433" t="s">
        <v>779</v>
      </c>
      <c r="H8" s="1434" t="s">
        <v>780</v>
      </c>
      <c r="I8" s="1414"/>
      <c r="J8" s="1415"/>
      <c r="K8" s="1415"/>
      <c r="L8" s="1416"/>
      <c r="M8" s="1435" t="s">
        <v>781</v>
      </c>
      <c r="N8" s="1412"/>
      <c r="O8" s="1430"/>
      <c r="P8" s="1430"/>
      <c r="Q8" s="1430"/>
      <c r="R8" s="1431"/>
      <c r="S8" s="1432"/>
      <c r="T8" s="1418"/>
    </row>
    <row r="9" spans="1:20" s="520" customFormat="1" ht="60.75" customHeight="1" thickBot="1" x14ac:dyDescent="0.25">
      <c r="A9" s="517"/>
      <c r="B9" s="1422"/>
      <c r="C9" s="1423"/>
      <c r="D9" s="1424"/>
      <c r="E9" s="1425"/>
      <c r="F9" s="521"/>
      <c r="G9" s="1433"/>
      <c r="H9" s="1434"/>
      <c r="I9" s="522" t="s">
        <v>398</v>
      </c>
      <c r="J9" s="522" t="s">
        <v>676</v>
      </c>
      <c r="K9" s="522" t="s">
        <v>508</v>
      </c>
      <c r="L9" s="522" t="s">
        <v>782</v>
      </c>
      <c r="M9" s="1435"/>
      <c r="N9" s="1413"/>
      <c r="O9" s="562" t="s">
        <v>398</v>
      </c>
      <c r="P9" s="523" t="s">
        <v>676</v>
      </c>
      <c r="Q9" s="524" t="s">
        <v>783</v>
      </c>
      <c r="R9" s="523" t="s">
        <v>782</v>
      </c>
      <c r="S9" s="1432"/>
      <c r="T9" s="1419"/>
    </row>
    <row r="10" spans="1:20" s="520" customFormat="1" ht="33" customHeight="1" x14ac:dyDescent="0.35">
      <c r="A10" s="525">
        <v>1</v>
      </c>
      <c r="B10" s="526">
        <v>18</v>
      </c>
      <c r="C10" s="527" t="s">
        <v>14</v>
      </c>
      <c r="D10" s="528"/>
      <c r="E10" s="529"/>
      <c r="G10" s="530"/>
      <c r="H10" s="531"/>
      <c r="I10" s="532"/>
      <c r="J10" s="532"/>
      <c r="K10" s="532"/>
      <c r="L10" s="532"/>
      <c r="M10" s="533"/>
      <c r="N10" s="565"/>
      <c r="O10" s="519"/>
      <c r="P10" s="534"/>
      <c r="Q10" s="534"/>
      <c r="R10" s="534"/>
      <c r="S10" s="534"/>
      <c r="T10" s="572"/>
    </row>
    <row r="11" spans="1:20" s="520" customFormat="1" ht="33" customHeight="1" x14ac:dyDescent="0.3">
      <c r="A11" s="525">
        <v>2</v>
      </c>
      <c r="B11" s="535"/>
      <c r="C11" s="536">
        <v>1</v>
      </c>
      <c r="D11" s="85" t="s">
        <v>383</v>
      </c>
      <c r="E11" s="537" t="s">
        <v>784</v>
      </c>
      <c r="F11" s="538"/>
      <c r="G11" s="539">
        <f t="shared" ref="G11:G15" si="0">+S11-M11-H11</f>
        <v>1252</v>
      </c>
      <c r="H11" s="540"/>
      <c r="I11" s="541">
        <v>74087</v>
      </c>
      <c r="J11" s="541">
        <v>5911</v>
      </c>
      <c r="K11" s="541"/>
      <c r="L11" s="541"/>
      <c r="M11" s="542">
        <f>SUM(I11:L11)</f>
        <v>79998</v>
      </c>
      <c r="N11" s="566"/>
      <c r="O11" s="563">
        <v>21668</v>
      </c>
      <c r="P11" s="541">
        <v>35392</v>
      </c>
      <c r="Q11" s="541">
        <v>24190</v>
      </c>
      <c r="R11" s="541"/>
      <c r="S11" s="541">
        <f>SUM(O11:R11)</f>
        <v>81250</v>
      </c>
      <c r="T11" s="574">
        <v>6687</v>
      </c>
    </row>
    <row r="12" spans="1:20" ht="54" customHeight="1" x14ac:dyDescent="0.3">
      <c r="A12" s="525">
        <v>3</v>
      </c>
      <c r="B12" s="543"/>
      <c r="C12" s="536">
        <v>16</v>
      </c>
      <c r="D12" s="111" t="s">
        <v>399</v>
      </c>
      <c r="E12" s="544" t="s">
        <v>785</v>
      </c>
      <c r="F12" s="571"/>
      <c r="G12" s="545">
        <f t="shared" si="0"/>
        <v>6042</v>
      </c>
      <c r="H12" s="546"/>
      <c r="I12" s="547"/>
      <c r="J12" s="547">
        <v>2879</v>
      </c>
      <c r="K12" s="547">
        <v>8453</v>
      </c>
      <c r="L12" s="547">
        <v>9636</v>
      </c>
      <c r="M12" s="542">
        <f t="shared" ref="M12:M15" si="1">SUM(I12:L12)</f>
        <v>20968</v>
      </c>
      <c r="N12" s="567"/>
      <c r="O12" s="564">
        <v>3451</v>
      </c>
      <c r="P12" s="547">
        <v>9071</v>
      </c>
      <c r="Q12" s="547">
        <v>14488</v>
      </c>
      <c r="R12" s="547"/>
      <c r="S12" s="541">
        <f t="shared" ref="S12:S15" si="2">SUM(O12:R12)</f>
        <v>27010</v>
      </c>
      <c r="T12" s="576">
        <f>1887+1866</f>
        <v>3753</v>
      </c>
    </row>
    <row r="13" spans="1:20" s="520" customFormat="1" ht="82.5" x14ac:dyDescent="0.2">
      <c r="A13" s="525">
        <v>4</v>
      </c>
      <c r="B13" s="543"/>
      <c r="C13" s="536">
        <v>17</v>
      </c>
      <c r="D13" s="111" t="s">
        <v>400</v>
      </c>
      <c r="E13" s="544" t="s">
        <v>785</v>
      </c>
      <c r="F13" s="571"/>
      <c r="G13" s="545">
        <f t="shared" si="0"/>
        <v>5383</v>
      </c>
      <c r="H13" s="546"/>
      <c r="I13" s="547"/>
      <c r="J13" s="547">
        <v>2948</v>
      </c>
      <c r="K13" s="547">
        <v>6452</v>
      </c>
      <c r="L13" s="547">
        <v>10532</v>
      </c>
      <c r="M13" s="542">
        <f t="shared" si="1"/>
        <v>19932</v>
      </c>
      <c r="N13" s="567"/>
      <c r="O13" s="564">
        <v>3651</v>
      </c>
      <c r="P13" s="547">
        <v>8037</v>
      </c>
      <c r="Q13" s="547">
        <v>13627</v>
      </c>
      <c r="R13" s="547"/>
      <c r="S13" s="541">
        <f t="shared" si="2"/>
        <v>25315</v>
      </c>
      <c r="T13" s="574">
        <f>746+1634</f>
        <v>2380</v>
      </c>
    </row>
    <row r="14" spans="1:20" s="520" customFormat="1" ht="24.95" customHeight="1" x14ac:dyDescent="0.3">
      <c r="A14" s="525">
        <v>5</v>
      </c>
      <c r="B14" s="543"/>
      <c r="C14" s="548">
        <v>18</v>
      </c>
      <c r="D14" s="18" t="s">
        <v>401</v>
      </c>
      <c r="E14" s="537" t="s">
        <v>786</v>
      </c>
      <c r="F14" s="549"/>
      <c r="G14" s="545">
        <f t="shared" si="0"/>
        <v>3570</v>
      </c>
      <c r="H14" s="550"/>
      <c r="I14" s="541"/>
      <c r="J14" s="550">
        <f>10100+6183</f>
        <v>16283</v>
      </c>
      <c r="K14" s="550">
        <f>19900-6183</f>
        <v>13717</v>
      </c>
      <c r="L14" s="541">
        <f>27120+10710</f>
        <v>37830</v>
      </c>
      <c r="M14" s="542">
        <f t="shared" si="1"/>
        <v>67830</v>
      </c>
      <c r="N14" s="566">
        <v>6713</v>
      </c>
      <c r="O14" s="563"/>
      <c r="P14" s="541">
        <f>1958+12196</f>
        <v>14154</v>
      </c>
      <c r="Q14" s="541">
        <f>32130+10836</f>
        <v>42966</v>
      </c>
      <c r="R14" s="550">
        <f>14280</f>
        <v>14280</v>
      </c>
      <c r="S14" s="541">
        <f t="shared" si="2"/>
        <v>71400</v>
      </c>
      <c r="T14" s="574">
        <f>398+8338</f>
        <v>8736</v>
      </c>
    </row>
    <row r="15" spans="1:20" ht="24.95" customHeight="1" thickBot="1" x14ac:dyDescent="0.35">
      <c r="A15" s="525">
        <v>6</v>
      </c>
      <c r="B15" s="543"/>
      <c r="C15" s="548">
        <v>19</v>
      </c>
      <c r="D15" s="18" t="s">
        <v>402</v>
      </c>
      <c r="E15" s="537" t="s">
        <v>787</v>
      </c>
      <c r="F15" s="551"/>
      <c r="G15" s="545">
        <f t="shared" si="0"/>
        <v>4088</v>
      </c>
      <c r="H15" s="552"/>
      <c r="I15" s="541"/>
      <c r="J15" s="553">
        <v>11500</v>
      </c>
      <c r="K15" s="553">
        <v>16142</v>
      </c>
      <c r="L15" s="553">
        <v>50035</v>
      </c>
      <c r="M15" s="542">
        <f t="shared" si="1"/>
        <v>77677</v>
      </c>
      <c r="N15" s="568">
        <v>5318</v>
      </c>
      <c r="O15" s="563"/>
      <c r="P15" s="553">
        <f>476+8206</f>
        <v>8682</v>
      </c>
      <c r="Q15" s="553">
        <f>11759+24530</f>
        <v>36289</v>
      </c>
      <c r="R15" s="553">
        <v>36794</v>
      </c>
      <c r="S15" s="541">
        <f t="shared" si="2"/>
        <v>81765</v>
      </c>
      <c r="T15" s="573">
        <f>1527+6667</f>
        <v>8194</v>
      </c>
    </row>
    <row r="16" spans="1:20" ht="33" customHeight="1" thickBot="1" x14ac:dyDescent="0.35">
      <c r="A16" s="525">
        <v>7</v>
      </c>
      <c r="B16" s="1409" t="s">
        <v>96</v>
      </c>
      <c r="C16" s="1409"/>
      <c r="D16" s="1409"/>
      <c r="E16" s="1409"/>
      <c r="F16" s="554"/>
      <c r="G16" s="555">
        <f t="shared" ref="G16:T16" si="3">SUM(G11:G15)</f>
        <v>20335</v>
      </c>
      <c r="H16" s="556">
        <f t="shared" si="3"/>
        <v>0</v>
      </c>
      <c r="I16" s="556">
        <f t="shared" si="3"/>
        <v>74087</v>
      </c>
      <c r="J16" s="556">
        <f t="shared" si="3"/>
        <v>39521</v>
      </c>
      <c r="K16" s="556">
        <f t="shared" si="3"/>
        <v>44764</v>
      </c>
      <c r="L16" s="556">
        <f t="shared" si="3"/>
        <v>108033</v>
      </c>
      <c r="M16" s="557">
        <f t="shared" si="3"/>
        <v>266405</v>
      </c>
      <c r="N16" s="569">
        <f t="shared" si="3"/>
        <v>12031</v>
      </c>
      <c r="O16" s="558">
        <f t="shared" si="3"/>
        <v>28770</v>
      </c>
      <c r="P16" s="556">
        <f t="shared" si="3"/>
        <v>75336</v>
      </c>
      <c r="Q16" s="556">
        <f t="shared" si="3"/>
        <v>131560</v>
      </c>
      <c r="R16" s="556">
        <f t="shared" si="3"/>
        <v>51074</v>
      </c>
      <c r="S16" s="570">
        <f t="shared" si="3"/>
        <v>286740</v>
      </c>
      <c r="T16" s="575">
        <f t="shared" si="3"/>
        <v>29750</v>
      </c>
    </row>
    <row r="17" spans="2:19" ht="24.75" customHeight="1" x14ac:dyDescent="0.3">
      <c r="B17" s="1410" t="s">
        <v>788</v>
      </c>
      <c r="C17" s="1410"/>
      <c r="D17" s="1410"/>
      <c r="E17" s="1410"/>
      <c r="F17" s="1410"/>
      <c r="G17" s="1410"/>
      <c r="H17" s="1410"/>
      <c r="I17" s="1410"/>
      <c r="J17" s="1410"/>
      <c r="K17" s="1410"/>
      <c r="L17" s="1410"/>
      <c r="M17" s="1410"/>
      <c r="N17" s="1410"/>
      <c r="O17" s="1410"/>
      <c r="P17" s="1410"/>
      <c r="Q17" s="1410"/>
      <c r="R17" s="1410"/>
      <c r="S17" s="1410"/>
    </row>
    <row r="18" spans="2:19" s="512" customFormat="1" ht="24.75" customHeight="1" x14ac:dyDescent="0.3">
      <c r="B18" s="560"/>
      <c r="C18" s="560"/>
      <c r="D18" s="559"/>
      <c r="E18" s="561"/>
      <c r="F18" s="511"/>
      <c r="G18" s="511"/>
      <c r="H18" s="511"/>
      <c r="I18" s="511"/>
      <c r="J18" s="511"/>
      <c r="K18" s="511"/>
      <c r="L18" s="511"/>
      <c r="M18" s="511"/>
      <c r="N18" s="511"/>
      <c r="O18" s="511"/>
      <c r="P18" s="511"/>
      <c r="Q18" s="511"/>
      <c r="R18" s="511"/>
      <c r="S18" s="511"/>
    </row>
    <row r="19" spans="2:19" s="512" customFormat="1" ht="24.75" customHeight="1" x14ac:dyDescent="0.3">
      <c r="B19" s="560"/>
      <c r="C19" s="560"/>
      <c r="D19" s="559"/>
      <c r="E19" s="561"/>
      <c r="F19" s="511"/>
      <c r="G19" s="511"/>
      <c r="H19" s="511"/>
      <c r="I19" s="511"/>
      <c r="J19" s="511"/>
      <c r="K19" s="511"/>
      <c r="L19" s="511"/>
      <c r="M19" s="511"/>
      <c r="N19" s="511"/>
      <c r="O19" s="511"/>
      <c r="P19" s="511"/>
      <c r="Q19" s="511"/>
      <c r="R19" s="511"/>
      <c r="S19" s="511"/>
    </row>
    <row r="20" spans="2:19" s="512" customFormat="1" ht="24.75" customHeight="1" x14ac:dyDescent="0.3">
      <c r="B20" s="560"/>
      <c r="C20" s="560"/>
      <c r="D20" s="559"/>
      <c r="E20" s="561"/>
      <c r="F20" s="511"/>
      <c r="G20" s="511"/>
      <c r="H20" s="511"/>
      <c r="I20" s="511"/>
      <c r="J20" s="511"/>
      <c r="K20" s="511"/>
      <c r="L20" s="511"/>
      <c r="M20" s="511"/>
      <c r="N20" s="511"/>
      <c r="O20" s="511"/>
      <c r="P20" s="511"/>
      <c r="Q20" s="511"/>
      <c r="R20" s="511"/>
      <c r="S20" s="511"/>
    </row>
    <row r="21" spans="2:19" s="512" customFormat="1" ht="24.75" customHeight="1" x14ac:dyDescent="0.3">
      <c r="B21" s="560"/>
      <c r="C21" s="560"/>
      <c r="D21" s="559"/>
      <c r="E21" s="561"/>
      <c r="F21" s="511"/>
      <c r="G21" s="511"/>
      <c r="H21" s="511"/>
      <c r="I21" s="511"/>
      <c r="J21" s="511"/>
      <c r="K21" s="511"/>
      <c r="L21" s="511"/>
      <c r="M21" s="511"/>
      <c r="N21" s="511"/>
      <c r="O21" s="511"/>
      <c r="P21" s="511"/>
      <c r="Q21" s="511"/>
      <c r="R21" s="511"/>
      <c r="S21" s="511"/>
    </row>
    <row r="22" spans="2:19" s="512" customFormat="1" ht="24.75" customHeight="1" x14ac:dyDescent="0.3">
      <c r="B22" s="560"/>
      <c r="C22" s="560"/>
      <c r="D22" s="559"/>
      <c r="E22" s="561"/>
      <c r="F22" s="511"/>
      <c r="G22" s="511"/>
      <c r="H22" s="511"/>
      <c r="I22" s="511"/>
      <c r="J22" s="511"/>
      <c r="K22" s="511"/>
      <c r="L22" s="511"/>
      <c r="M22" s="511"/>
      <c r="N22" s="511"/>
      <c r="O22" s="511"/>
      <c r="P22" s="511"/>
      <c r="Q22" s="511"/>
      <c r="R22" s="511"/>
      <c r="S22" s="511"/>
    </row>
    <row r="23" spans="2:19" s="512" customFormat="1" ht="24.75" customHeight="1" x14ac:dyDescent="0.3">
      <c r="B23" s="560"/>
      <c r="C23" s="560"/>
      <c r="D23" s="559"/>
      <c r="E23" s="561"/>
      <c r="F23" s="511"/>
      <c r="G23" s="511"/>
      <c r="H23" s="511"/>
      <c r="I23" s="511"/>
      <c r="J23" s="511"/>
      <c r="K23" s="511"/>
      <c r="L23" s="511"/>
      <c r="M23" s="511"/>
      <c r="N23" s="511"/>
      <c r="O23" s="511"/>
      <c r="P23" s="511"/>
      <c r="Q23" s="511"/>
      <c r="R23" s="511"/>
      <c r="S23" s="511"/>
    </row>
  </sheetData>
  <mergeCells count="20">
    <mergeCell ref="B1:M1"/>
    <mergeCell ref="O5:S5"/>
    <mergeCell ref="B7:B9"/>
    <mergeCell ref="C7:C9"/>
    <mergeCell ref="D7:D9"/>
    <mergeCell ref="E7:E9"/>
    <mergeCell ref="G7:M7"/>
    <mergeCell ref="B2:T2"/>
    <mergeCell ref="B3:T3"/>
    <mergeCell ref="B4:T4"/>
    <mergeCell ref="O7:R8"/>
    <mergeCell ref="S7:S9"/>
    <mergeCell ref="G8:G9"/>
    <mergeCell ref="H8:H9"/>
    <mergeCell ref="M8:M9"/>
    <mergeCell ref="B16:E16"/>
    <mergeCell ref="B17:S17"/>
    <mergeCell ref="N7:N9"/>
    <mergeCell ref="I8:L8"/>
    <mergeCell ref="T7:T9"/>
  </mergeCells>
  <printOptions horizontalCentered="1"/>
  <pageMargins left="0.196527777777778" right="0.196527777777778" top="0.59027777777777801" bottom="0.59027777777777801" header="0.511811023622047" footer="0.51180555555555596"/>
  <pageSetup paperSize="9" scale="50" fitToHeight="0" orientation="landscape"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1"/>
  <sheetViews>
    <sheetView view="pageBreakPreview" topLeftCell="A9" zoomScaleNormal="100" zoomScaleSheetLayoutView="100" workbookViewId="0">
      <selection activeCell="O28" sqref="O28"/>
    </sheetView>
  </sheetViews>
  <sheetFormatPr defaultColWidth="9.28515625" defaultRowHeight="16.5" x14ac:dyDescent="0.3"/>
  <cols>
    <col min="1" max="1" width="3.7109375" style="694" customWidth="1"/>
    <col min="2" max="2" width="5.7109375" style="699" customWidth="1"/>
    <col min="3" max="4" width="5.7109375" style="700" customWidth="1"/>
    <col min="5" max="5" width="59.7109375" style="598" customWidth="1"/>
    <col min="6" max="8" width="13.7109375" style="598" customWidth="1"/>
    <col min="9" max="11" width="15.7109375" style="598" customWidth="1"/>
    <col min="12" max="16384" width="9.28515625" style="598"/>
  </cols>
  <sheetData>
    <row r="1" spans="1:11" x14ac:dyDescent="0.3">
      <c r="B1" s="1232" t="s">
        <v>753</v>
      </c>
      <c r="C1" s="1232"/>
      <c r="D1" s="1232"/>
      <c r="E1" s="1232"/>
      <c r="G1" s="696"/>
    </row>
    <row r="2" spans="1:11" x14ac:dyDescent="0.3">
      <c r="B2" s="695"/>
      <c r="C2" s="695"/>
      <c r="D2" s="695"/>
      <c r="E2" s="695"/>
      <c r="G2" s="696"/>
    </row>
    <row r="3" spans="1:11" s="698" customFormat="1" ht="25.15" customHeight="1" x14ac:dyDescent="0.2">
      <c r="A3" s="694"/>
      <c r="B3" s="1233" t="s">
        <v>128</v>
      </c>
      <c r="C3" s="1233"/>
      <c r="D3" s="1233"/>
      <c r="E3" s="1233"/>
      <c r="F3" s="1233"/>
      <c r="G3" s="1233"/>
      <c r="H3" s="1233"/>
      <c r="I3" s="1233"/>
      <c r="J3" s="1233"/>
      <c r="K3" s="1233"/>
    </row>
    <row r="4" spans="1:11" s="698" customFormat="1" ht="25.15" customHeight="1" x14ac:dyDescent="0.2">
      <c r="A4" s="694"/>
      <c r="B4" s="1233" t="s">
        <v>763</v>
      </c>
      <c r="C4" s="1233"/>
      <c r="D4" s="1233"/>
      <c r="E4" s="1233"/>
      <c r="F4" s="1233"/>
      <c r="G4" s="1233"/>
      <c r="H4" s="1233"/>
      <c r="I4" s="1233"/>
      <c r="J4" s="1233"/>
      <c r="K4" s="1233"/>
    </row>
    <row r="5" spans="1:11" ht="17.25" x14ac:dyDescent="0.35">
      <c r="D5" s="701"/>
      <c r="E5" s="701"/>
      <c r="F5" s="701"/>
      <c r="G5" s="696"/>
      <c r="I5" s="702"/>
      <c r="J5" s="702"/>
    </row>
    <row r="6" spans="1:11" s="589" customFormat="1" ht="15" thickBot="1" x14ac:dyDescent="0.35">
      <c r="A6" s="694"/>
      <c r="B6" s="703" t="s">
        <v>1</v>
      </c>
      <c r="C6" s="589" t="s">
        <v>3</v>
      </c>
      <c r="D6" s="589" t="s">
        <v>2</v>
      </c>
      <c r="E6" s="589" t="s">
        <v>4</v>
      </c>
      <c r="F6" s="589" t="s">
        <v>5</v>
      </c>
      <c r="G6" s="589" t="s">
        <v>15</v>
      </c>
      <c r="H6" s="704" t="s">
        <v>16</v>
      </c>
      <c r="I6" s="704" t="s">
        <v>17</v>
      </c>
      <c r="J6" s="589" t="s">
        <v>32</v>
      </c>
      <c r="K6" s="589" t="s">
        <v>28</v>
      </c>
    </row>
    <row r="7" spans="1:11" s="708" customFormat="1" ht="80.099999999999994" customHeight="1" thickBot="1" x14ac:dyDescent="0.25">
      <c r="A7" s="694"/>
      <c r="B7" s="705" t="s">
        <v>157</v>
      </c>
      <c r="C7" s="591" t="s">
        <v>305</v>
      </c>
      <c r="D7" s="591" t="s">
        <v>307</v>
      </c>
      <c r="E7" s="706" t="s">
        <v>6</v>
      </c>
      <c r="F7" s="594" t="s">
        <v>571</v>
      </c>
      <c r="G7" s="594" t="s">
        <v>494</v>
      </c>
      <c r="H7" s="707" t="s">
        <v>676</v>
      </c>
      <c r="I7" s="596" t="s">
        <v>568</v>
      </c>
      <c r="J7" s="592" t="s">
        <v>699</v>
      </c>
      <c r="K7" s="597" t="s">
        <v>750</v>
      </c>
    </row>
    <row r="8" spans="1:11" s="716" customFormat="1" ht="30" customHeight="1" x14ac:dyDescent="0.35">
      <c r="A8" s="694">
        <v>1</v>
      </c>
      <c r="B8" s="709" t="s">
        <v>286</v>
      </c>
      <c r="C8" s="710"/>
      <c r="D8" s="711"/>
      <c r="E8" s="712" t="s">
        <v>158</v>
      </c>
      <c r="F8" s="713">
        <f t="shared" ref="F8:K8" si="0">SUM(F9:F10)</f>
        <v>12380731</v>
      </c>
      <c r="G8" s="713">
        <f t="shared" si="0"/>
        <v>13111714</v>
      </c>
      <c r="H8" s="713">
        <f t="shared" si="0"/>
        <v>13552260</v>
      </c>
      <c r="I8" s="714">
        <f t="shared" si="0"/>
        <v>14196982</v>
      </c>
      <c r="J8" s="713">
        <f t="shared" si="0"/>
        <v>16031047</v>
      </c>
      <c r="K8" s="715">
        <f t="shared" si="0"/>
        <v>7025589</v>
      </c>
    </row>
    <row r="9" spans="1:11" ht="26.1" customHeight="1" x14ac:dyDescent="0.35">
      <c r="A9" s="694">
        <v>2</v>
      </c>
      <c r="B9" s="717"/>
      <c r="C9" s="700">
        <v>1</v>
      </c>
      <c r="E9" s="598" t="s">
        <v>35</v>
      </c>
      <c r="F9" s="598">
        <v>11919140</v>
      </c>
      <c r="G9" s="598">
        <v>12737090</v>
      </c>
      <c r="H9" s="598">
        <v>13083406</v>
      </c>
      <c r="I9" s="718">
        <v>13949288</v>
      </c>
      <c r="J9" s="598">
        <v>15578057</v>
      </c>
      <c r="K9" s="719">
        <f>'4.Inki'!K157+'4.Inki'!L157+'4.Inki'!M157+'4.Inki'!N157+'4.Inki'!O157</f>
        <v>6891223</v>
      </c>
    </row>
    <row r="10" spans="1:11" ht="25.5" customHeight="1" x14ac:dyDescent="0.35">
      <c r="A10" s="694">
        <v>3</v>
      </c>
      <c r="B10" s="717"/>
      <c r="C10" s="700">
        <v>2</v>
      </c>
      <c r="E10" s="598" t="s">
        <v>120</v>
      </c>
      <c r="F10" s="598">
        <f t="shared" ref="F10:J10" si="1">SUM(F11:F13)</f>
        <v>461591</v>
      </c>
      <c r="G10" s="598">
        <f t="shared" si="1"/>
        <v>374624</v>
      </c>
      <c r="H10" s="598">
        <f t="shared" si="1"/>
        <v>468854</v>
      </c>
      <c r="I10" s="718">
        <f t="shared" si="1"/>
        <v>247694</v>
      </c>
      <c r="J10" s="598">
        <f t="shared" si="1"/>
        <v>452990</v>
      </c>
      <c r="K10" s="719">
        <f>SUM(K11:K13)</f>
        <v>134366</v>
      </c>
    </row>
    <row r="11" spans="1:11" ht="17.25" x14ac:dyDescent="0.35">
      <c r="A11" s="694">
        <v>4</v>
      </c>
      <c r="B11" s="717"/>
      <c r="D11" s="700">
        <v>7</v>
      </c>
      <c r="E11" s="720" t="s">
        <v>181</v>
      </c>
      <c r="F11" s="598">
        <v>460547</v>
      </c>
      <c r="G11" s="598">
        <v>374624</v>
      </c>
      <c r="H11" s="598">
        <v>466880</v>
      </c>
      <c r="I11" s="718">
        <v>247694</v>
      </c>
      <c r="J11" s="598">
        <v>451490</v>
      </c>
      <c r="K11" s="719">
        <f>'4.Inki'!P157</f>
        <v>132866</v>
      </c>
    </row>
    <row r="12" spans="1:11" ht="17.25" x14ac:dyDescent="0.35">
      <c r="A12" s="694">
        <v>5</v>
      </c>
      <c r="B12" s="717"/>
      <c r="D12" s="700">
        <v>8</v>
      </c>
      <c r="E12" s="720" t="s">
        <v>121</v>
      </c>
      <c r="F12" s="598">
        <v>20</v>
      </c>
      <c r="H12" s="598">
        <v>1974</v>
      </c>
      <c r="I12" s="718"/>
      <c r="K12" s="719"/>
    </row>
    <row r="13" spans="1:11" ht="17.25" x14ac:dyDescent="0.35">
      <c r="A13" s="694">
        <v>6</v>
      </c>
      <c r="B13" s="717"/>
      <c r="D13" s="700">
        <v>9</v>
      </c>
      <c r="E13" s="720" t="s">
        <v>182</v>
      </c>
      <c r="F13" s="598">
        <v>1024</v>
      </c>
      <c r="I13" s="718"/>
      <c r="J13" s="598">
        <v>1500</v>
      </c>
      <c r="K13" s="719">
        <f>'4.Inki'!Q157</f>
        <v>1500</v>
      </c>
    </row>
    <row r="14" spans="1:11" s="716" customFormat="1" ht="30" customHeight="1" x14ac:dyDescent="0.35">
      <c r="A14" s="694">
        <v>7</v>
      </c>
      <c r="B14" s="721" t="s">
        <v>287</v>
      </c>
      <c r="C14" s="722"/>
      <c r="D14" s="722"/>
      <c r="E14" s="723" t="s">
        <v>95</v>
      </c>
      <c r="F14" s="723">
        <f t="shared" ref="F14:K14" si="2">SUM(F15:F16,F32,F33)</f>
        <v>39673417</v>
      </c>
      <c r="G14" s="723">
        <f t="shared" si="2"/>
        <v>29978320</v>
      </c>
      <c r="H14" s="723">
        <f t="shared" si="2"/>
        <v>20194264</v>
      </c>
      <c r="I14" s="724">
        <f t="shared" si="2"/>
        <v>24237463</v>
      </c>
      <c r="J14" s="723">
        <f t="shared" si="2"/>
        <v>25304640</v>
      </c>
      <c r="K14" s="725">
        <f t="shared" si="2"/>
        <v>8589619</v>
      </c>
    </row>
    <row r="15" spans="1:11" s="716" customFormat="1" ht="25.5" customHeight="1" x14ac:dyDescent="0.35">
      <c r="A15" s="694">
        <v>8</v>
      </c>
      <c r="B15" s="717"/>
      <c r="C15" s="700">
        <v>1</v>
      </c>
      <c r="D15" s="701"/>
      <c r="E15" s="716" t="s">
        <v>35</v>
      </c>
      <c r="F15" s="716">
        <v>13413343</v>
      </c>
      <c r="G15" s="716">
        <v>14604135</v>
      </c>
      <c r="H15" s="716">
        <v>13385531</v>
      </c>
      <c r="I15" s="726">
        <f>'6.Önk.műk.'!I816+'7.Beruh.'!I402+'8.Felúj.'!I81+'9.Projekt'!I108+'9.Projekt'!J108+'9.Projekt'!K108+'9.Projekt'!L108</f>
        <v>15280082</v>
      </c>
      <c r="J15" s="716">
        <v>15648129</v>
      </c>
      <c r="K15" s="727">
        <f>'6.Önk.műk.'!I818+'7.Beruh.'!I404+'8.Felúj.'!I83+'9.Projekt'!I110+'9.Projekt'!J110+'9.Projekt'!K110+'9.Projekt'!L110</f>
        <v>7192152</v>
      </c>
    </row>
    <row r="16" spans="1:11" ht="25.5" customHeight="1" x14ac:dyDescent="0.35">
      <c r="A16" s="694">
        <v>9</v>
      </c>
      <c r="B16" s="717"/>
      <c r="C16" s="701"/>
      <c r="D16" s="701"/>
      <c r="E16" s="716" t="s">
        <v>159</v>
      </c>
      <c r="F16" s="716">
        <f>SUM(F17,F26)</f>
        <v>0</v>
      </c>
      <c r="G16" s="716">
        <f>SUM(G17,G26)</f>
        <v>1445988</v>
      </c>
      <c r="H16" s="716">
        <f>SUM(H17,H26)</f>
        <v>0</v>
      </c>
      <c r="I16" s="726">
        <f>SUM(I17,I26)</f>
        <v>749826</v>
      </c>
      <c r="J16" s="716">
        <f>SUM(J17,J26)</f>
        <v>888075</v>
      </c>
      <c r="K16" s="727">
        <f t="shared" ref="K16" si="3">SUM(K17,K26)</f>
        <v>0</v>
      </c>
    </row>
    <row r="17" spans="1:11" s="730" customFormat="1" ht="25.5" customHeight="1" x14ac:dyDescent="0.35">
      <c r="A17" s="694">
        <v>10</v>
      </c>
      <c r="B17" s="728"/>
      <c r="C17" s="700">
        <v>1</v>
      </c>
      <c r="D17" s="700">
        <v>6</v>
      </c>
      <c r="E17" s="729" t="s">
        <v>294</v>
      </c>
      <c r="F17" s="730">
        <f>SUM(F18:F25)</f>
        <v>0</v>
      </c>
      <c r="G17" s="730">
        <f>SUM(G18:G25)</f>
        <v>871488</v>
      </c>
      <c r="H17" s="730">
        <f t="shared" ref="H17:K17" si="4">SUM(H18:H25)</f>
        <v>0</v>
      </c>
      <c r="I17" s="731">
        <f t="shared" si="4"/>
        <v>747344</v>
      </c>
      <c r="J17" s="730">
        <f t="shared" si="4"/>
        <v>884987</v>
      </c>
      <c r="K17" s="719">
        <f t="shared" si="4"/>
        <v>0</v>
      </c>
    </row>
    <row r="18" spans="1:11" ht="17.25" x14ac:dyDescent="0.35">
      <c r="A18" s="694">
        <v>11</v>
      </c>
      <c r="B18" s="717"/>
      <c r="E18" s="732" t="s">
        <v>616</v>
      </c>
      <c r="G18" s="598">
        <v>218415</v>
      </c>
      <c r="I18" s="718">
        <v>255932</v>
      </c>
      <c r="J18" s="598">
        <v>186286</v>
      </c>
      <c r="K18" s="719"/>
    </row>
    <row r="19" spans="1:11" ht="17.25" x14ac:dyDescent="0.35">
      <c r="A19" s="694">
        <v>12</v>
      </c>
      <c r="B19" s="717"/>
      <c r="E19" s="732" t="s">
        <v>378</v>
      </c>
      <c r="G19" s="598">
        <v>36000</v>
      </c>
      <c r="I19" s="718">
        <v>36000</v>
      </c>
      <c r="J19" s="598">
        <v>0</v>
      </c>
      <c r="K19" s="719"/>
    </row>
    <row r="20" spans="1:11" ht="17.25" x14ac:dyDescent="0.35">
      <c r="A20" s="694">
        <v>13</v>
      </c>
      <c r="B20" s="717"/>
      <c r="E20" s="732" t="s">
        <v>379</v>
      </c>
      <c r="G20" s="598">
        <v>15128</v>
      </c>
      <c r="I20" s="718">
        <v>265000</v>
      </c>
      <c r="J20" s="598">
        <v>265000</v>
      </c>
      <c r="K20" s="719"/>
    </row>
    <row r="21" spans="1:11" ht="17.25" x14ac:dyDescent="0.35">
      <c r="A21" s="694">
        <v>14</v>
      </c>
      <c r="B21" s="717"/>
      <c r="E21" s="732" t="s">
        <v>301</v>
      </c>
      <c r="G21" s="598">
        <v>150000</v>
      </c>
      <c r="I21" s="718">
        <v>150000</v>
      </c>
      <c r="J21" s="598">
        <v>386789</v>
      </c>
      <c r="K21" s="719"/>
    </row>
    <row r="22" spans="1:11" ht="17.25" x14ac:dyDescent="0.35">
      <c r="A22" s="694">
        <v>15</v>
      </c>
      <c r="B22" s="717"/>
      <c r="E22" s="732" t="s">
        <v>478</v>
      </c>
      <c r="G22" s="598">
        <v>418802</v>
      </c>
      <c r="I22" s="718"/>
      <c r="K22" s="719"/>
    </row>
    <row r="23" spans="1:11" ht="17.25" x14ac:dyDescent="0.35">
      <c r="A23" s="694">
        <v>16</v>
      </c>
      <c r="B23" s="717"/>
      <c r="E23" s="732" t="s">
        <v>617</v>
      </c>
      <c r="G23" s="598">
        <v>15293</v>
      </c>
      <c r="I23" s="718">
        <v>21912</v>
      </c>
      <c r="J23" s="598">
        <v>28412</v>
      </c>
      <c r="K23" s="719"/>
    </row>
    <row r="24" spans="1:11" ht="18" thickBot="1" x14ac:dyDescent="0.4">
      <c r="A24" s="694">
        <v>17</v>
      </c>
      <c r="B24" s="717"/>
      <c r="E24" s="732" t="s">
        <v>392</v>
      </c>
      <c r="G24" s="598">
        <v>7850</v>
      </c>
      <c r="I24" s="718">
        <v>8500</v>
      </c>
      <c r="J24" s="598">
        <v>8500</v>
      </c>
      <c r="K24" s="719"/>
    </row>
    <row r="25" spans="1:11" ht="17.25" x14ac:dyDescent="0.35">
      <c r="A25" s="694">
        <v>18</v>
      </c>
      <c r="B25" s="717"/>
      <c r="E25" s="732" t="s">
        <v>393</v>
      </c>
      <c r="G25" s="598">
        <v>10000</v>
      </c>
      <c r="I25" s="718">
        <v>10000</v>
      </c>
      <c r="J25" s="598">
        <v>10000</v>
      </c>
      <c r="K25" s="719"/>
    </row>
    <row r="26" spans="1:11" s="730" customFormat="1" ht="25.5" customHeight="1" x14ac:dyDescent="0.35">
      <c r="A26" s="694">
        <v>19</v>
      </c>
      <c r="B26" s="728"/>
      <c r="C26" s="700">
        <v>2</v>
      </c>
      <c r="D26" s="700">
        <v>10</v>
      </c>
      <c r="E26" s="729" t="s">
        <v>295</v>
      </c>
      <c r="F26" s="730">
        <f t="shared" ref="F26:K26" si="5">SUM(F27:F31)</f>
        <v>0</v>
      </c>
      <c r="G26" s="730">
        <f t="shared" si="5"/>
        <v>574500</v>
      </c>
      <c r="H26" s="730">
        <f t="shared" si="5"/>
        <v>0</v>
      </c>
      <c r="I26" s="731">
        <f t="shared" si="5"/>
        <v>2482</v>
      </c>
      <c r="J26" s="730">
        <f t="shared" si="5"/>
        <v>3088</v>
      </c>
      <c r="K26" s="719">
        <f t="shared" si="5"/>
        <v>0</v>
      </c>
    </row>
    <row r="27" spans="1:11" ht="17.25" x14ac:dyDescent="0.35">
      <c r="A27" s="694">
        <v>20</v>
      </c>
      <c r="B27" s="717"/>
      <c r="C27" s="733"/>
      <c r="E27" s="732" t="s">
        <v>349</v>
      </c>
      <c r="I27" s="718"/>
      <c r="K27" s="719"/>
    </row>
    <row r="28" spans="1:11" ht="17.25" x14ac:dyDescent="0.35">
      <c r="A28" s="694">
        <v>21</v>
      </c>
      <c r="B28" s="717"/>
      <c r="C28" s="733"/>
      <c r="E28" s="734" t="s">
        <v>394</v>
      </c>
      <c r="G28" s="698">
        <v>6000</v>
      </c>
      <c r="H28" s="698"/>
      <c r="I28" s="735">
        <v>2482</v>
      </c>
      <c r="J28" s="698">
        <v>2588</v>
      </c>
      <c r="K28" s="719"/>
    </row>
    <row r="29" spans="1:11" ht="17.25" x14ac:dyDescent="0.35">
      <c r="A29" s="694">
        <v>22</v>
      </c>
      <c r="B29" s="717"/>
      <c r="C29" s="733"/>
      <c r="E29" s="734" t="s">
        <v>395</v>
      </c>
      <c r="G29" s="698">
        <v>568500</v>
      </c>
      <c r="H29" s="698"/>
      <c r="I29" s="735"/>
      <c r="J29" s="698"/>
      <c r="K29" s="719"/>
    </row>
    <row r="30" spans="1:11" ht="17.25" x14ac:dyDescent="0.35">
      <c r="A30" s="694">
        <v>23</v>
      </c>
      <c r="B30" s="717"/>
      <c r="C30" s="733"/>
      <c r="E30" s="734" t="s">
        <v>675</v>
      </c>
      <c r="G30" s="698"/>
      <c r="H30" s="698"/>
      <c r="I30" s="735"/>
      <c r="J30" s="698">
        <v>500</v>
      </c>
      <c r="K30" s="719"/>
    </row>
    <row r="31" spans="1:11" ht="17.25" x14ac:dyDescent="0.35">
      <c r="A31" s="694">
        <v>24</v>
      </c>
      <c r="B31" s="717"/>
      <c r="C31" s="733"/>
      <c r="E31" s="732" t="s">
        <v>486</v>
      </c>
      <c r="I31" s="718"/>
      <c r="K31" s="719"/>
    </row>
    <row r="32" spans="1:11" s="698" customFormat="1" ht="25.5" customHeight="1" x14ac:dyDescent="0.2">
      <c r="A32" s="694">
        <v>25</v>
      </c>
      <c r="B32" s="736"/>
      <c r="C32" s="697"/>
      <c r="D32" s="697"/>
      <c r="E32" s="737" t="s">
        <v>160</v>
      </c>
      <c r="F32" s="737"/>
      <c r="G32" s="737">
        <v>150000</v>
      </c>
      <c r="H32" s="737"/>
      <c r="I32" s="738">
        <v>150000</v>
      </c>
      <c r="J32" s="737">
        <v>150000</v>
      </c>
      <c r="K32" s="739"/>
    </row>
    <row r="33" spans="1:11" s="716" customFormat="1" ht="25.5" customHeight="1" x14ac:dyDescent="0.35">
      <c r="A33" s="694">
        <v>26</v>
      </c>
      <c r="B33" s="717"/>
      <c r="C33" s="700">
        <v>2</v>
      </c>
      <c r="D33" s="701"/>
      <c r="E33" s="716" t="s">
        <v>120</v>
      </c>
      <c r="F33" s="716">
        <f>SUM(F34:F36)</f>
        <v>26260074</v>
      </c>
      <c r="G33" s="716">
        <f>SUM(G34:G36)</f>
        <v>13778197</v>
      </c>
      <c r="H33" s="716">
        <f>SUM(H34:H36)</f>
        <v>6808733</v>
      </c>
      <c r="I33" s="726">
        <f>SUM(I34:I36)</f>
        <v>8057555</v>
      </c>
      <c r="J33" s="716">
        <f>SUM(J34:J36)</f>
        <v>8618436</v>
      </c>
      <c r="K33" s="727">
        <f t="shared" ref="K33" si="6">SUM(K34:K36)</f>
        <v>1397467</v>
      </c>
    </row>
    <row r="34" spans="1:11" ht="17.25" x14ac:dyDescent="0.35">
      <c r="A34" s="694">
        <v>27</v>
      </c>
      <c r="B34" s="717"/>
      <c r="D34" s="700">
        <v>7</v>
      </c>
      <c r="E34" s="720" t="s">
        <v>181</v>
      </c>
      <c r="F34" s="598">
        <v>23451890</v>
      </c>
      <c r="G34" s="598">
        <v>11055791</v>
      </c>
      <c r="H34" s="598">
        <v>5665878</v>
      </c>
      <c r="I34" s="718">
        <f>'7.Beruh.'!J402+'9.Projekt'!M108</f>
        <v>7110614</v>
      </c>
      <c r="J34" s="598">
        <v>7623603</v>
      </c>
      <c r="K34" s="719">
        <f>'7.Beruh.'!J404+'9.Projekt'!M110</f>
        <v>1008068</v>
      </c>
    </row>
    <row r="35" spans="1:11" ht="17.25" x14ac:dyDescent="0.35">
      <c r="A35" s="694">
        <v>28</v>
      </c>
      <c r="B35" s="717"/>
      <c r="D35" s="700">
        <v>8</v>
      </c>
      <c r="E35" s="720" t="s">
        <v>121</v>
      </c>
      <c r="F35" s="598">
        <v>2531852</v>
      </c>
      <c r="G35" s="598">
        <v>1837575</v>
      </c>
      <c r="H35" s="598">
        <v>632216</v>
      </c>
      <c r="I35" s="718">
        <f>'7.Beruh.'!K402+'9.Projekt'!N108</f>
        <v>358458</v>
      </c>
      <c r="J35" s="598">
        <v>406468</v>
      </c>
      <c r="K35" s="719">
        <f>'7.Beruh.'!K404+'9.Projekt'!N110</f>
        <v>214932</v>
      </c>
    </row>
    <row r="36" spans="1:11" ht="17.25" x14ac:dyDescent="0.35">
      <c r="A36" s="694">
        <v>29</v>
      </c>
      <c r="B36" s="717"/>
      <c r="D36" s="700">
        <v>9</v>
      </c>
      <c r="E36" s="720" t="s">
        <v>182</v>
      </c>
      <c r="F36" s="598">
        <v>276332</v>
      </c>
      <c r="G36" s="598">
        <v>884831</v>
      </c>
      <c r="H36" s="598">
        <v>510639</v>
      </c>
      <c r="I36" s="718">
        <f>'8.Felúj.'!J81</f>
        <v>588483</v>
      </c>
      <c r="J36" s="598">
        <v>588365</v>
      </c>
      <c r="K36" s="719">
        <f>'8.Felúj.'!J83</f>
        <v>174467</v>
      </c>
    </row>
    <row r="37" spans="1:11" s="716" customFormat="1" ht="30" customHeight="1" x14ac:dyDescent="0.35">
      <c r="A37" s="694">
        <v>30</v>
      </c>
      <c r="B37" s="721" t="s">
        <v>287</v>
      </c>
      <c r="C37" s="722"/>
      <c r="D37" s="740"/>
      <c r="E37" s="723" t="s">
        <v>161</v>
      </c>
      <c r="F37" s="723">
        <f>SUM(F38:F39)</f>
        <v>0</v>
      </c>
      <c r="G37" s="723">
        <f>SUM(G38:G39)</f>
        <v>0</v>
      </c>
      <c r="H37" s="723">
        <f>SUM(H38:H39)</f>
        <v>0</v>
      </c>
      <c r="I37" s="724">
        <f>SUM(I38:I39)</f>
        <v>0</v>
      </c>
      <c r="J37" s="723">
        <f>SUM(J38:J39)</f>
        <v>0</v>
      </c>
      <c r="K37" s="725">
        <f t="shared" ref="K37" si="7">SUM(K38:K39)</f>
        <v>0</v>
      </c>
    </row>
    <row r="38" spans="1:11" ht="24" customHeight="1" x14ac:dyDescent="0.35">
      <c r="A38" s="694">
        <v>31</v>
      </c>
      <c r="B38" s="717"/>
      <c r="C38" s="700">
        <v>1</v>
      </c>
      <c r="E38" s="695" t="s">
        <v>35</v>
      </c>
      <c r="I38" s="718"/>
      <c r="K38" s="719"/>
    </row>
    <row r="39" spans="1:11" ht="24" customHeight="1" thickBot="1" x14ac:dyDescent="0.4">
      <c r="A39" s="694">
        <v>32</v>
      </c>
      <c r="B39" s="717"/>
      <c r="C39" s="700">
        <v>2</v>
      </c>
      <c r="E39" s="741" t="s">
        <v>120</v>
      </c>
      <c r="I39" s="718"/>
      <c r="K39" s="719"/>
    </row>
    <row r="40" spans="1:11" s="737" customFormat="1" ht="40.15" customHeight="1" thickBot="1" x14ac:dyDescent="0.25">
      <c r="A40" s="694">
        <v>33</v>
      </c>
      <c r="B40" s="742"/>
      <c r="C40" s="743"/>
      <c r="D40" s="744"/>
      <c r="E40" s="745" t="s">
        <v>162</v>
      </c>
      <c r="F40" s="745">
        <f t="shared" ref="F40:K40" si="8">SUM(F8,F14,F37)</f>
        <v>52054148</v>
      </c>
      <c r="G40" s="745">
        <f t="shared" si="8"/>
        <v>43090034</v>
      </c>
      <c r="H40" s="745">
        <f t="shared" si="8"/>
        <v>33746524</v>
      </c>
      <c r="I40" s="746">
        <f t="shared" si="8"/>
        <v>38434445</v>
      </c>
      <c r="J40" s="745">
        <f t="shared" si="8"/>
        <v>41335687</v>
      </c>
      <c r="K40" s="747">
        <f t="shared" si="8"/>
        <v>15615208</v>
      </c>
    </row>
    <row r="41" spans="1:11" ht="30" customHeight="1" x14ac:dyDescent="0.35">
      <c r="A41" s="694">
        <v>34</v>
      </c>
      <c r="B41" s="717" t="s">
        <v>287</v>
      </c>
      <c r="E41" s="716" t="s">
        <v>163</v>
      </c>
      <c r="F41" s="716">
        <f>SUM(F46:F47,F42:F44)</f>
        <v>636829</v>
      </c>
      <c r="G41" s="716">
        <f t="shared" ref="G41:K41" si="9">SUM(G46:G47,G42:G44)</f>
        <v>457737</v>
      </c>
      <c r="H41" s="716">
        <f t="shared" si="9"/>
        <v>2304689</v>
      </c>
      <c r="I41" s="726">
        <f t="shared" si="9"/>
        <v>460233</v>
      </c>
      <c r="J41" s="716">
        <f t="shared" si="9"/>
        <v>1479230</v>
      </c>
      <c r="K41" s="727">
        <f t="shared" si="9"/>
        <v>1398998</v>
      </c>
    </row>
    <row r="42" spans="1:11" ht="17.25" x14ac:dyDescent="0.35">
      <c r="A42" s="694">
        <v>35</v>
      </c>
      <c r="B42" s="717"/>
      <c r="C42" s="700">
        <v>1</v>
      </c>
      <c r="E42" s="598" t="s">
        <v>164</v>
      </c>
      <c r="I42" s="718"/>
      <c r="K42" s="719"/>
    </row>
    <row r="43" spans="1:11" ht="17.25" x14ac:dyDescent="0.35">
      <c r="A43" s="694">
        <v>36</v>
      </c>
      <c r="B43" s="717"/>
      <c r="D43" s="700">
        <v>11</v>
      </c>
      <c r="E43" s="598" t="s">
        <v>570</v>
      </c>
      <c r="H43" s="598">
        <v>1500000</v>
      </c>
      <c r="I43" s="718"/>
      <c r="K43" s="719"/>
    </row>
    <row r="44" spans="1:11" ht="17.25" x14ac:dyDescent="0.35">
      <c r="A44" s="694">
        <v>37</v>
      </c>
      <c r="B44" s="717"/>
      <c r="D44" s="700">
        <v>12</v>
      </c>
      <c r="E44" s="598" t="s">
        <v>210</v>
      </c>
      <c r="F44" s="598">
        <v>354955</v>
      </c>
      <c r="G44" s="598">
        <v>219898</v>
      </c>
      <c r="H44" s="598">
        <v>566850</v>
      </c>
      <c r="I44" s="718">
        <v>222394</v>
      </c>
      <c r="J44" s="598">
        <v>1241391</v>
      </c>
      <c r="K44" s="719">
        <v>1280079</v>
      </c>
    </row>
    <row r="45" spans="1:11" ht="17.25" x14ac:dyDescent="0.35">
      <c r="A45" s="694">
        <v>38</v>
      </c>
      <c r="B45" s="717"/>
      <c r="C45" s="700">
        <v>2</v>
      </c>
      <c r="E45" s="598" t="s">
        <v>165</v>
      </c>
      <c r="I45" s="718"/>
      <c r="K45" s="719"/>
    </row>
    <row r="46" spans="1:11" ht="17.25" x14ac:dyDescent="0.35">
      <c r="A46" s="694">
        <v>39</v>
      </c>
      <c r="B46" s="717"/>
      <c r="D46" s="700">
        <v>13</v>
      </c>
      <c r="E46" s="748" t="s">
        <v>166</v>
      </c>
      <c r="F46" s="598">
        <v>281874</v>
      </c>
      <c r="G46" s="598">
        <v>237839</v>
      </c>
      <c r="H46" s="598">
        <v>237839</v>
      </c>
      <c r="I46" s="718">
        <v>237839</v>
      </c>
      <c r="J46" s="598">
        <v>237839</v>
      </c>
      <c r="K46" s="719">
        <v>118919</v>
      </c>
    </row>
    <row r="47" spans="1:11" s="752" customFormat="1" ht="18" customHeight="1" thickBot="1" x14ac:dyDescent="0.25">
      <c r="A47" s="694">
        <v>40</v>
      </c>
      <c r="B47" s="749"/>
      <c r="C47" s="750"/>
      <c r="D47" s="750">
        <v>13</v>
      </c>
      <c r="E47" s="751" t="s">
        <v>167</v>
      </c>
      <c r="I47" s="753"/>
      <c r="K47" s="754"/>
    </row>
    <row r="48" spans="1:11" s="737" customFormat="1" ht="40.15" customHeight="1" thickBot="1" x14ac:dyDescent="0.25">
      <c r="A48" s="694">
        <v>41</v>
      </c>
      <c r="B48" s="742"/>
      <c r="C48" s="743"/>
      <c r="D48" s="744"/>
      <c r="E48" s="745" t="s">
        <v>168</v>
      </c>
      <c r="F48" s="745">
        <f t="shared" ref="F48:K48" si="10">SUM(F40:F41)</f>
        <v>52690977</v>
      </c>
      <c r="G48" s="745">
        <f t="shared" si="10"/>
        <v>43547771</v>
      </c>
      <c r="H48" s="745">
        <f t="shared" si="10"/>
        <v>36051213</v>
      </c>
      <c r="I48" s="746">
        <f t="shared" si="10"/>
        <v>38894678</v>
      </c>
      <c r="J48" s="745">
        <f t="shared" si="10"/>
        <v>42814917</v>
      </c>
      <c r="K48" s="747">
        <f t="shared" si="10"/>
        <v>17014206</v>
      </c>
    </row>
    <row r="53" spans="1:8" ht="17.25" x14ac:dyDescent="0.35">
      <c r="D53" s="701"/>
      <c r="E53" s="716"/>
      <c r="F53" s="716"/>
      <c r="G53" s="716"/>
      <c r="H53" s="716"/>
    </row>
    <row r="64" spans="1:8" s="716" customFormat="1" ht="17.25" x14ac:dyDescent="0.35">
      <c r="A64" s="755"/>
      <c r="B64" s="699"/>
      <c r="C64" s="700"/>
      <c r="D64" s="701"/>
    </row>
    <row r="69" spans="1:4" s="716" customFormat="1" ht="17.25" x14ac:dyDescent="0.35">
      <c r="A69" s="755"/>
      <c r="B69" s="699"/>
      <c r="C69" s="700"/>
      <c r="D69" s="701"/>
    </row>
    <row r="71" spans="1:4" s="716" customFormat="1" ht="17.25" x14ac:dyDescent="0.35">
      <c r="A71" s="755"/>
      <c r="B71" s="699"/>
      <c r="C71" s="700"/>
      <c r="D71" s="701"/>
    </row>
  </sheetData>
  <mergeCells count="3">
    <mergeCell ref="B1:E1"/>
    <mergeCell ref="B3:K3"/>
    <mergeCell ref="B4:K4"/>
  </mergeCells>
  <printOptions horizontalCentered="1"/>
  <pageMargins left="0.19685039370078741" right="0.19685039370078741" top="0.59055118110236227" bottom="0.59055118110236227" header="0.51181102362204722" footer="0.51181102362204722"/>
  <pageSetup paperSize="9" scale="54" fitToHeight="2" orientation="portrait" r:id="rId1"/>
  <headerFooter alignWithMargins="0">
    <oddFooter>&amp;C-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07"/>
  <sheetViews>
    <sheetView view="pageBreakPreview" topLeftCell="A29" zoomScaleNormal="100" zoomScaleSheetLayoutView="100" workbookViewId="0">
      <selection activeCell="P54" sqref="P54"/>
    </sheetView>
  </sheetViews>
  <sheetFormatPr defaultColWidth="9.28515625" defaultRowHeight="12.75" x14ac:dyDescent="0.2"/>
  <cols>
    <col min="1" max="1" width="3.7109375" style="891" customWidth="1"/>
    <col min="2" max="3" width="5.7109375" customWidth="1"/>
    <col min="4" max="4" width="4.7109375" customWidth="1"/>
    <col min="5" max="5" width="51.7109375" customWidth="1"/>
    <col min="6" max="8" width="10.5703125" customWidth="1"/>
    <col min="9" max="9" width="13.5703125" customWidth="1"/>
    <col min="10" max="10" width="10" customWidth="1"/>
    <col min="11" max="11" width="14" bestFit="1" customWidth="1"/>
    <col min="12" max="12" width="11.7109375" customWidth="1"/>
    <col min="13" max="13" width="12.42578125" bestFit="1" customWidth="1"/>
    <col min="14" max="14" width="14" customWidth="1"/>
    <col min="15" max="16" width="12.7109375" customWidth="1"/>
    <col min="17" max="17" width="10.7109375" customWidth="1"/>
    <col min="18" max="18" width="12.7109375" style="875" customWidth="1"/>
  </cols>
  <sheetData>
    <row r="1" spans="1:19" s="758" customFormat="1" ht="18" customHeight="1" x14ac:dyDescent="0.2">
      <c r="A1" s="588"/>
      <c r="B1" s="1255" t="s">
        <v>754</v>
      </c>
      <c r="C1" s="1255"/>
      <c r="D1" s="1255"/>
      <c r="E1" s="1255"/>
      <c r="F1" s="29"/>
      <c r="G1" s="29"/>
      <c r="H1" s="29"/>
      <c r="I1" s="29"/>
      <c r="J1" s="29"/>
      <c r="K1" s="29"/>
      <c r="L1" s="29"/>
      <c r="M1" s="29"/>
      <c r="N1" s="29"/>
      <c r="O1" s="29"/>
      <c r="P1" s="29"/>
      <c r="Q1" s="29"/>
      <c r="R1" s="757"/>
      <c r="S1" s="29"/>
    </row>
    <row r="2" spans="1:19" s="758" customFormat="1" ht="18" customHeight="1" x14ac:dyDescent="0.2">
      <c r="A2" s="588"/>
      <c r="B2" s="756"/>
      <c r="C2" s="756"/>
      <c r="D2" s="756"/>
      <c r="E2" s="756"/>
      <c r="F2" s="29"/>
      <c r="G2" s="29"/>
      <c r="H2" s="29"/>
      <c r="I2" s="29"/>
      <c r="J2" s="29"/>
      <c r="K2" s="29"/>
      <c r="L2" s="29"/>
      <c r="M2" s="29"/>
      <c r="N2" s="29"/>
      <c r="O2" s="29"/>
      <c r="P2" s="29"/>
      <c r="Q2" s="29"/>
      <c r="R2" s="757"/>
      <c r="S2" s="29"/>
    </row>
    <row r="3" spans="1:19" s="758" customFormat="1" ht="24.75" customHeight="1" x14ac:dyDescent="0.2">
      <c r="A3" s="588"/>
      <c r="B3" s="1256" t="s">
        <v>102</v>
      </c>
      <c r="C3" s="1256"/>
      <c r="D3" s="1256"/>
      <c r="E3" s="1256"/>
      <c r="F3" s="1256"/>
      <c r="G3" s="1256"/>
      <c r="H3" s="1256"/>
      <c r="I3" s="1256"/>
      <c r="J3" s="1256"/>
      <c r="K3" s="1256"/>
      <c r="L3" s="1256"/>
      <c r="M3" s="1256"/>
      <c r="N3" s="1256"/>
      <c r="O3" s="1256"/>
      <c r="P3" s="1256"/>
      <c r="Q3" s="1256"/>
      <c r="R3" s="1256"/>
      <c r="S3" s="29"/>
    </row>
    <row r="4" spans="1:19" s="758" customFormat="1" ht="24.75" customHeight="1" x14ac:dyDescent="0.2">
      <c r="A4" s="588"/>
      <c r="B4" s="1256" t="s">
        <v>762</v>
      </c>
      <c r="C4" s="1256"/>
      <c r="D4" s="1256"/>
      <c r="E4" s="1256"/>
      <c r="F4" s="1256"/>
      <c r="G4" s="1256"/>
      <c r="H4" s="1256"/>
      <c r="I4" s="1256"/>
      <c r="J4" s="1256"/>
      <c r="K4" s="1256"/>
      <c r="L4" s="1256"/>
      <c r="M4" s="1256"/>
      <c r="N4" s="1256"/>
      <c r="O4" s="1256"/>
      <c r="P4" s="1256"/>
      <c r="Q4" s="1256"/>
      <c r="R4" s="1256"/>
      <c r="S4" s="29"/>
    </row>
    <row r="5" spans="1:19" ht="18" customHeight="1" x14ac:dyDescent="0.3">
      <c r="A5" s="588"/>
      <c r="B5" s="759"/>
      <c r="C5" s="582"/>
      <c r="D5" s="582"/>
      <c r="E5" s="582"/>
      <c r="F5" s="760"/>
      <c r="G5" s="760"/>
      <c r="H5" s="760"/>
      <c r="I5" s="760"/>
      <c r="J5" s="760"/>
      <c r="K5" s="760"/>
      <c r="L5" s="760"/>
      <c r="M5" s="760"/>
      <c r="N5" s="760"/>
      <c r="O5" s="760"/>
      <c r="P5" s="760"/>
      <c r="Q5" s="760"/>
      <c r="R5" s="11" t="s">
        <v>0</v>
      </c>
      <c r="S5" s="760"/>
    </row>
    <row r="6" spans="1:19" s="588" customFormat="1" ht="18" customHeight="1" thickBot="1" x14ac:dyDescent="0.25">
      <c r="B6" s="588" t="s">
        <v>1</v>
      </c>
      <c r="C6" s="588" t="s">
        <v>3</v>
      </c>
      <c r="D6" s="1257" t="s">
        <v>2</v>
      </c>
      <c r="E6" s="1257"/>
      <c r="F6" s="588" t="s">
        <v>4</v>
      </c>
      <c r="G6" s="588" t="s">
        <v>5</v>
      </c>
      <c r="H6" s="588" t="s">
        <v>15</v>
      </c>
      <c r="I6" s="588" t="s">
        <v>16</v>
      </c>
      <c r="J6" s="588" t="s">
        <v>17</v>
      </c>
      <c r="K6" s="588" t="s">
        <v>32</v>
      </c>
      <c r="L6" s="588" t="s">
        <v>28</v>
      </c>
      <c r="M6" s="588" t="s">
        <v>23</v>
      </c>
      <c r="N6" s="588" t="s">
        <v>33</v>
      </c>
      <c r="O6" s="588" t="s">
        <v>34</v>
      </c>
      <c r="P6" s="588" t="s">
        <v>117</v>
      </c>
      <c r="Q6" s="588" t="s">
        <v>118</v>
      </c>
      <c r="R6" s="588" t="s">
        <v>119</v>
      </c>
    </row>
    <row r="7" spans="1:19" s="759" customFormat="1" ht="30" customHeight="1" x14ac:dyDescent="0.2">
      <c r="A7" s="588"/>
      <c r="B7" s="1258" t="s">
        <v>18</v>
      </c>
      <c r="C7" s="1260" t="s">
        <v>19</v>
      </c>
      <c r="D7" s="1262" t="s">
        <v>6</v>
      </c>
      <c r="E7" s="1263"/>
      <c r="F7" s="1266" t="s">
        <v>398</v>
      </c>
      <c r="G7" s="1266" t="s">
        <v>494</v>
      </c>
      <c r="H7" s="1268" t="s">
        <v>676</v>
      </c>
      <c r="I7" s="1271" t="s">
        <v>582</v>
      </c>
      <c r="J7" s="1273" t="s">
        <v>103</v>
      </c>
      <c r="K7" s="1273"/>
      <c r="L7" s="1273"/>
      <c r="M7" s="1251" t="s">
        <v>104</v>
      </c>
      <c r="N7" s="1251"/>
      <c r="O7" s="1251"/>
      <c r="P7" s="1251" t="s">
        <v>208</v>
      </c>
      <c r="Q7" s="1251" t="s">
        <v>105</v>
      </c>
      <c r="R7" s="1251"/>
    </row>
    <row r="8" spans="1:19" ht="45.75" thickBot="1" x14ac:dyDescent="0.25">
      <c r="A8" s="588"/>
      <c r="B8" s="1259"/>
      <c r="C8" s="1261"/>
      <c r="D8" s="1264"/>
      <c r="E8" s="1265"/>
      <c r="F8" s="1267"/>
      <c r="G8" s="1267"/>
      <c r="H8" s="1269"/>
      <c r="I8" s="1272"/>
      <c r="J8" s="761" t="s">
        <v>106</v>
      </c>
      <c r="K8" s="761" t="s">
        <v>619</v>
      </c>
      <c r="L8" s="761" t="s">
        <v>107</v>
      </c>
      <c r="M8" s="761" t="s">
        <v>108</v>
      </c>
      <c r="N8" s="761" t="s">
        <v>618</v>
      </c>
      <c r="O8" s="761" t="s">
        <v>109</v>
      </c>
      <c r="P8" s="1270"/>
      <c r="Q8" s="761" t="s">
        <v>96</v>
      </c>
      <c r="R8" s="762" t="s">
        <v>251</v>
      </c>
      <c r="S8" s="760"/>
    </row>
    <row r="9" spans="1:19" s="582" customFormat="1" ht="22.5" customHeight="1" x14ac:dyDescent="0.3">
      <c r="A9" s="588">
        <v>1</v>
      </c>
      <c r="B9" s="763">
        <v>1</v>
      </c>
      <c r="C9" s="764"/>
      <c r="D9" s="765" t="s">
        <v>242</v>
      </c>
      <c r="E9" s="766"/>
      <c r="F9" s="767">
        <v>322340</v>
      </c>
      <c r="G9" s="767">
        <v>373089</v>
      </c>
      <c r="H9" s="768">
        <v>407643</v>
      </c>
      <c r="I9" s="769"/>
      <c r="J9" s="767"/>
      <c r="K9" s="767"/>
      <c r="L9" s="767"/>
      <c r="M9" s="767"/>
      <c r="N9" s="767"/>
      <c r="O9" s="767"/>
      <c r="P9" s="767"/>
      <c r="Q9" s="767"/>
      <c r="R9" s="578"/>
    </row>
    <row r="10" spans="1:19" s="582" customFormat="1" ht="18" customHeight="1" x14ac:dyDescent="0.3">
      <c r="A10" s="588">
        <v>2</v>
      </c>
      <c r="B10" s="770"/>
      <c r="C10" s="771"/>
      <c r="D10" s="772" t="s">
        <v>245</v>
      </c>
      <c r="E10" s="773"/>
      <c r="F10" s="116"/>
      <c r="G10" s="116"/>
      <c r="H10" s="774"/>
      <c r="I10" s="775"/>
      <c r="J10" s="116"/>
      <c r="K10" s="116"/>
      <c r="L10" s="116"/>
      <c r="M10" s="116"/>
      <c r="N10" s="116"/>
      <c r="O10" s="116"/>
      <c r="P10" s="116"/>
      <c r="Q10" s="116"/>
      <c r="R10" s="121"/>
    </row>
    <row r="11" spans="1:19" s="785" customFormat="1" ht="18" customHeight="1" x14ac:dyDescent="0.3">
      <c r="A11" s="588">
        <v>3</v>
      </c>
      <c r="B11" s="776"/>
      <c r="C11" s="777"/>
      <c r="D11" s="778"/>
      <c r="E11" s="779" t="s">
        <v>239</v>
      </c>
      <c r="F11" s="780"/>
      <c r="G11" s="780"/>
      <c r="H11" s="781"/>
      <c r="I11" s="782">
        <f>SUM(J11:Q11)</f>
        <v>414088</v>
      </c>
      <c r="J11" s="780">
        <v>9114</v>
      </c>
      <c r="K11" s="780"/>
      <c r="L11" s="780"/>
      <c r="M11" s="780"/>
      <c r="N11" s="780"/>
      <c r="O11" s="780"/>
      <c r="P11" s="780">
        <v>14190</v>
      </c>
      <c r="Q11" s="780">
        <v>390784</v>
      </c>
      <c r="R11" s="783">
        <v>299286</v>
      </c>
      <c r="S11" s="784"/>
    </row>
    <row r="12" spans="1:19" s="785" customFormat="1" ht="18" customHeight="1" x14ac:dyDescent="0.3">
      <c r="A12" s="588">
        <v>4</v>
      </c>
      <c r="B12" s="776"/>
      <c r="C12" s="777"/>
      <c r="D12" s="778"/>
      <c r="E12" s="119" t="s">
        <v>702</v>
      </c>
      <c r="F12" s="780"/>
      <c r="G12" s="780"/>
      <c r="H12" s="781"/>
      <c r="I12" s="786">
        <f>SUM(J12:Q12)</f>
        <v>430628</v>
      </c>
      <c r="J12" s="120">
        <v>9114</v>
      </c>
      <c r="K12" s="120"/>
      <c r="L12" s="120"/>
      <c r="M12" s="120"/>
      <c r="N12" s="120"/>
      <c r="O12" s="120"/>
      <c r="P12" s="120">
        <v>28847</v>
      </c>
      <c r="Q12" s="120">
        <v>392667</v>
      </c>
      <c r="R12" s="787">
        <v>299286</v>
      </c>
      <c r="S12" s="784"/>
    </row>
    <row r="13" spans="1:19" s="785" customFormat="1" ht="18" customHeight="1" x14ac:dyDescent="0.3">
      <c r="A13" s="588">
        <v>5</v>
      </c>
      <c r="B13" s="776"/>
      <c r="C13" s="777"/>
      <c r="D13" s="778"/>
      <c r="E13" s="275" t="s">
        <v>745</v>
      </c>
      <c r="F13" s="780"/>
      <c r="G13" s="780"/>
      <c r="H13" s="781"/>
      <c r="I13" s="276">
        <f>SUM(J13:Q13)</f>
        <v>228400</v>
      </c>
      <c r="J13" s="276">
        <v>4439</v>
      </c>
      <c r="K13" s="276">
        <v>83</v>
      </c>
      <c r="L13" s="780"/>
      <c r="M13" s="780"/>
      <c r="N13" s="780"/>
      <c r="O13" s="780"/>
      <c r="P13" s="117">
        <v>28847</v>
      </c>
      <c r="Q13" s="276">
        <v>195031</v>
      </c>
      <c r="R13" s="121">
        <v>155629</v>
      </c>
      <c r="S13" s="784"/>
    </row>
    <row r="14" spans="1:19" s="789" customFormat="1" ht="22.5" customHeight="1" x14ac:dyDescent="0.3">
      <c r="A14" s="588">
        <v>7</v>
      </c>
      <c r="B14" s="770">
        <v>2</v>
      </c>
      <c r="C14" s="771"/>
      <c r="D14" s="788" t="s">
        <v>250</v>
      </c>
      <c r="E14" s="788"/>
      <c r="F14" s="116">
        <v>525927</v>
      </c>
      <c r="G14" s="116">
        <v>612920</v>
      </c>
      <c r="H14" s="774">
        <v>645806</v>
      </c>
      <c r="I14" s="775"/>
      <c r="J14" s="116"/>
      <c r="K14" s="116"/>
      <c r="L14" s="116"/>
      <c r="M14" s="116"/>
      <c r="N14" s="116"/>
      <c r="O14" s="116"/>
      <c r="P14" s="116"/>
      <c r="Q14" s="116"/>
      <c r="R14" s="121"/>
    </row>
    <row r="15" spans="1:19" s="789" customFormat="1" ht="18" customHeight="1" x14ac:dyDescent="0.3">
      <c r="A15" s="588">
        <v>8</v>
      </c>
      <c r="B15" s="770"/>
      <c r="C15" s="771"/>
      <c r="D15" s="773" t="s">
        <v>240</v>
      </c>
      <c r="E15" s="773"/>
      <c r="F15" s="116"/>
      <c r="G15" s="116"/>
      <c r="H15" s="774"/>
      <c r="I15" s="775"/>
      <c r="J15" s="116"/>
      <c r="K15" s="116"/>
      <c r="L15" s="116"/>
      <c r="M15" s="116"/>
      <c r="N15" s="116"/>
      <c r="O15" s="116"/>
      <c r="P15" s="116"/>
      <c r="Q15" s="116"/>
      <c r="R15" s="121"/>
    </row>
    <row r="16" spans="1:19" s="790" customFormat="1" ht="18" customHeight="1" x14ac:dyDescent="0.3">
      <c r="A16" s="588">
        <v>9</v>
      </c>
      <c r="B16" s="776"/>
      <c r="C16" s="777"/>
      <c r="D16" s="778"/>
      <c r="E16" s="779" t="s">
        <v>239</v>
      </c>
      <c r="F16" s="780"/>
      <c r="G16" s="780"/>
      <c r="H16" s="781"/>
      <c r="I16" s="782">
        <f t="shared" ref="I16:I18" si="0">SUM(J16:Q16)</f>
        <v>652476</v>
      </c>
      <c r="J16" s="780">
        <v>13123</v>
      </c>
      <c r="K16" s="780"/>
      <c r="L16" s="780"/>
      <c r="M16" s="780"/>
      <c r="N16" s="780"/>
      <c r="O16" s="780"/>
      <c r="P16" s="780">
        <v>30513</v>
      </c>
      <c r="Q16" s="780">
        <v>608840</v>
      </c>
      <c r="R16" s="783">
        <v>437671</v>
      </c>
    </row>
    <row r="17" spans="1:19" s="790" customFormat="1" ht="18" customHeight="1" x14ac:dyDescent="0.3">
      <c r="A17" s="588">
        <v>10</v>
      </c>
      <c r="B17" s="776"/>
      <c r="C17" s="777"/>
      <c r="D17" s="778"/>
      <c r="E17" s="119" t="s">
        <v>702</v>
      </c>
      <c r="F17" s="780"/>
      <c r="G17" s="780"/>
      <c r="H17" s="781"/>
      <c r="I17" s="786">
        <f t="shared" si="0"/>
        <v>684470</v>
      </c>
      <c r="J17" s="120">
        <v>13123</v>
      </c>
      <c r="K17" s="120"/>
      <c r="L17" s="120"/>
      <c r="M17" s="120"/>
      <c r="N17" s="120"/>
      <c r="O17" s="120"/>
      <c r="P17" s="120">
        <v>45343</v>
      </c>
      <c r="Q17" s="120">
        <v>626004</v>
      </c>
      <c r="R17" s="787">
        <v>437671</v>
      </c>
    </row>
    <row r="18" spans="1:19" s="790" customFormat="1" ht="18" customHeight="1" x14ac:dyDescent="0.3">
      <c r="A18" s="588">
        <v>11</v>
      </c>
      <c r="B18" s="776"/>
      <c r="C18" s="777"/>
      <c r="D18" s="778"/>
      <c r="E18" s="275" t="s">
        <v>745</v>
      </c>
      <c r="F18" s="780"/>
      <c r="G18" s="780"/>
      <c r="H18" s="781"/>
      <c r="I18" s="276">
        <f t="shared" si="0"/>
        <v>354155</v>
      </c>
      <c r="J18" s="276">
        <v>6761</v>
      </c>
      <c r="K18" s="780"/>
      <c r="L18" s="780"/>
      <c r="M18" s="780"/>
      <c r="N18" s="780"/>
      <c r="O18" s="780"/>
      <c r="P18" s="117">
        <v>45343</v>
      </c>
      <c r="Q18" s="276">
        <v>302051</v>
      </c>
      <c r="R18" s="121">
        <v>227589</v>
      </c>
    </row>
    <row r="19" spans="1:19" s="791" customFormat="1" ht="22.5" customHeight="1" x14ac:dyDescent="0.3">
      <c r="A19" s="588">
        <v>14</v>
      </c>
      <c r="B19" s="770">
        <v>3</v>
      </c>
      <c r="C19" s="771"/>
      <c r="D19" s="788" t="s">
        <v>211</v>
      </c>
      <c r="E19" s="788"/>
      <c r="F19" s="116">
        <v>557357</v>
      </c>
      <c r="G19" s="116">
        <v>616909</v>
      </c>
      <c r="H19" s="774">
        <v>656186</v>
      </c>
      <c r="I19" s="775"/>
      <c r="J19" s="116"/>
      <c r="K19" s="116"/>
      <c r="L19" s="116"/>
      <c r="M19" s="116"/>
      <c r="N19" s="116"/>
      <c r="O19" s="116"/>
      <c r="P19" s="116"/>
      <c r="Q19" s="116"/>
      <c r="R19" s="121"/>
    </row>
    <row r="20" spans="1:19" s="582" customFormat="1" ht="18" customHeight="1" x14ac:dyDescent="0.3">
      <c r="A20" s="588">
        <v>15</v>
      </c>
      <c r="B20" s="792"/>
      <c r="C20" s="771"/>
      <c r="D20" s="793" t="s">
        <v>110</v>
      </c>
      <c r="E20" s="793"/>
      <c r="F20" s="794"/>
      <c r="G20" s="794"/>
      <c r="H20" s="795"/>
      <c r="I20" s="796"/>
      <c r="J20" s="794"/>
      <c r="K20" s="794"/>
      <c r="L20" s="794"/>
      <c r="M20" s="794"/>
      <c r="N20" s="794"/>
      <c r="O20" s="794"/>
      <c r="P20" s="794"/>
      <c r="Q20" s="794"/>
      <c r="R20" s="797"/>
    </row>
    <row r="21" spans="1:19" s="785" customFormat="1" ht="18" customHeight="1" x14ac:dyDescent="0.3">
      <c r="A21" s="588">
        <v>16</v>
      </c>
      <c r="B21" s="776"/>
      <c r="C21" s="777"/>
      <c r="D21" s="778"/>
      <c r="E21" s="779" t="s">
        <v>239</v>
      </c>
      <c r="F21" s="780"/>
      <c r="G21" s="780"/>
      <c r="H21" s="781"/>
      <c r="I21" s="782">
        <f>SUM(J21:Q21)</f>
        <v>701980</v>
      </c>
      <c r="J21" s="780">
        <v>13115</v>
      </c>
      <c r="K21" s="780"/>
      <c r="L21" s="780"/>
      <c r="M21" s="780"/>
      <c r="N21" s="780"/>
      <c r="O21" s="780"/>
      <c r="P21" s="780">
        <v>38631</v>
      </c>
      <c r="Q21" s="780">
        <v>650234</v>
      </c>
      <c r="R21" s="783">
        <v>568229</v>
      </c>
      <c r="S21" s="784"/>
    </row>
    <row r="22" spans="1:19" s="785" customFormat="1" ht="18" customHeight="1" x14ac:dyDescent="0.3">
      <c r="A22" s="588">
        <v>17</v>
      </c>
      <c r="B22" s="776"/>
      <c r="C22" s="777"/>
      <c r="D22" s="778"/>
      <c r="E22" s="119" t="s">
        <v>702</v>
      </c>
      <c r="F22" s="780"/>
      <c r="G22" s="780"/>
      <c r="H22" s="781"/>
      <c r="I22" s="786">
        <f>SUM(J22:Q22)</f>
        <v>727225</v>
      </c>
      <c r="J22" s="120">
        <v>13115</v>
      </c>
      <c r="K22" s="120"/>
      <c r="L22" s="120"/>
      <c r="M22" s="120"/>
      <c r="N22" s="120"/>
      <c r="O22" s="120"/>
      <c r="P22" s="120">
        <v>52138</v>
      </c>
      <c r="Q22" s="120">
        <v>661972</v>
      </c>
      <c r="R22" s="787">
        <v>568229</v>
      </c>
      <c r="S22" s="784"/>
    </row>
    <row r="23" spans="1:19" s="785" customFormat="1" ht="18" customHeight="1" x14ac:dyDescent="0.3">
      <c r="A23" s="588">
        <v>18</v>
      </c>
      <c r="B23" s="776"/>
      <c r="C23" s="777"/>
      <c r="D23" s="778"/>
      <c r="E23" s="275" t="s">
        <v>745</v>
      </c>
      <c r="F23" s="780"/>
      <c r="G23" s="780"/>
      <c r="H23" s="781"/>
      <c r="I23" s="276">
        <f>SUM(J23:Q23)</f>
        <v>352856</v>
      </c>
      <c r="J23" s="276">
        <v>7284</v>
      </c>
      <c r="K23" s="780"/>
      <c r="L23" s="780"/>
      <c r="M23" s="780"/>
      <c r="N23" s="780"/>
      <c r="O23" s="780"/>
      <c r="P23" s="117">
        <v>52138</v>
      </c>
      <c r="Q23" s="117">
        <v>293434</v>
      </c>
      <c r="R23" s="121">
        <v>248490</v>
      </c>
      <c r="S23" s="784"/>
    </row>
    <row r="24" spans="1:19" s="789" customFormat="1" ht="22.5" customHeight="1" x14ac:dyDescent="0.3">
      <c r="A24" s="588">
        <v>20</v>
      </c>
      <c r="B24" s="770">
        <v>4</v>
      </c>
      <c r="C24" s="771"/>
      <c r="D24" s="798" t="s">
        <v>212</v>
      </c>
      <c r="E24" s="798"/>
      <c r="F24" s="116">
        <v>485238</v>
      </c>
      <c r="G24" s="116">
        <v>539457</v>
      </c>
      <c r="H24" s="774">
        <v>580767</v>
      </c>
      <c r="I24" s="775"/>
      <c r="J24" s="116"/>
      <c r="K24" s="116"/>
      <c r="L24" s="116"/>
      <c r="M24" s="116"/>
      <c r="N24" s="116"/>
      <c r="O24" s="116"/>
      <c r="P24" s="116"/>
      <c r="Q24" s="116"/>
      <c r="R24" s="121"/>
    </row>
    <row r="25" spans="1:19" s="791" customFormat="1" ht="18" customHeight="1" x14ac:dyDescent="0.3">
      <c r="A25" s="588">
        <v>21</v>
      </c>
      <c r="B25" s="792"/>
      <c r="C25" s="771"/>
      <c r="D25" s="793" t="s">
        <v>111</v>
      </c>
      <c r="E25" s="793"/>
      <c r="F25" s="794"/>
      <c r="G25" s="794"/>
      <c r="H25" s="795"/>
      <c r="I25" s="796"/>
      <c r="J25" s="794"/>
      <c r="K25" s="794"/>
      <c r="L25" s="794"/>
      <c r="M25" s="794"/>
      <c r="N25" s="794"/>
      <c r="O25" s="794"/>
      <c r="P25" s="794"/>
      <c r="Q25" s="794"/>
      <c r="R25" s="797"/>
    </row>
    <row r="26" spans="1:19" s="799" customFormat="1" ht="18" customHeight="1" x14ac:dyDescent="0.3">
      <c r="A26" s="588">
        <v>22</v>
      </c>
      <c r="B26" s="776"/>
      <c r="C26" s="777"/>
      <c r="D26" s="778"/>
      <c r="E26" s="779" t="s">
        <v>239</v>
      </c>
      <c r="F26" s="780"/>
      <c r="G26" s="780"/>
      <c r="H26" s="781"/>
      <c r="I26" s="782">
        <f>SUM(J26:Q26)</f>
        <v>616150</v>
      </c>
      <c r="J26" s="780">
        <v>21962</v>
      </c>
      <c r="K26" s="780"/>
      <c r="L26" s="780"/>
      <c r="M26" s="780"/>
      <c r="N26" s="780"/>
      <c r="O26" s="780"/>
      <c r="P26" s="780">
        <v>15378</v>
      </c>
      <c r="Q26" s="780">
        <v>578810</v>
      </c>
      <c r="R26" s="783">
        <v>492794</v>
      </c>
    </row>
    <row r="27" spans="1:19" s="799" customFormat="1" ht="18" customHeight="1" x14ac:dyDescent="0.3">
      <c r="A27" s="588">
        <v>23</v>
      </c>
      <c r="B27" s="776"/>
      <c r="C27" s="777"/>
      <c r="D27" s="778"/>
      <c r="E27" s="119" t="s">
        <v>702</v>
      </c>
      <c r="F27" s="780"/>
      <c r="G27" s="780"/>
      <c r="H27" s="781"/>
      <c r="I27" s="786">
        <f>SUM(J27:Q27)</f>
        <v>638639</v>
      </c>
      <c r="J27" s="120">
        <v>21962</v>
      </c>
      <c r="K27" s="120"/>
      <c r="L27" s="120"/>
      <c r="M27" s="120"/>
      <c r="N27" s="120"/>
      <c r="O27" s="120"/>
      <c r="P27" s="120">
        <v>32523</v>
      </c>
      <c r="Q27" s="120">
        <v>584154</v>
      </c>
      <c r="R27" s="787">
        <v>492794</v>
      </c>
    </row>
    <row r="28" spans="1:19" s="799" customFormat="1" ht="18" customHeight="1" x14ac:dyDescent="0.3">
      <c r="A28" s="588">
        <v>24</v>
      </c>
      <c r="B28" s="776"/>
      <c r="C28" s="777"/>
      <c r="D28" s="778"/>
      <c r="E28" s="275" t="s">
        <v>745</v>
      </c>
      <c r="F28" s="780"/>
      <c r="G28" s="780"/>
      <c r="H28" s="781"/>
      <c r="I28" s="276">
        <f>SUM(J28:Q28)</f>
        <v>346948</v>
      </c>
      <c r="J28" s="276">
        <v>11915</v>
      </c>
      <c r="K28" s="780"/>
      <c r="L28" s="780"/>
      <c r="M28" s="780"/>
      <c r="N28" s="780"/>
      <c r="O28" s="780"/>
      <c r="P28" s="117">
        <v>32523</v>
      </c>
      <c r="Q28" s="117">
        <v>302510</v>
      </c>
      <c r="R28" s="121">
        <v>256253</v>
      </c>
    </row>
    <row r="29" spans="1:19" s="800" customFormat="1" ht="22.5" customHeight="1" x14ac:dyDescent="0.3">
      <c r="A29" s="588">
        <v>27</v>
      </c>
      <c r="B29" s="770">
        <v>5</v>
      </c>
      <c r="C29" s="771"/>
      <c r="D29" s="798" t="s">
        <v>213</v>
      </c>
      <c r="E29" s="798"/>
      <c r="F29" s="116">
        <v>480053</v>
      </c>
      <c r="G29" s="116">
        <v>579932</v>
      </c>
      <c r="H29" s="774">
        <v>619336</v>
      </c>
      <c r="I29" s="775"/>
      <c r="J29" s="116"/>
      <c r="K29" s="116"/>
      <c r="L29" s="116"/>
      <c r="M29" s="116"/>
      <c r="N29" s="116"/>
      <c r="O29" s="116"/>
      <c r="P29" s="116"/>
      <c r="Q29" s="116"/>
      <c r="R29" s="121"/>
    </row>
    <row r="30" spans="1:19" s="789" customFormat="1" ht="18" customHeight="1" x14ac:dyDescent="0.3">
      <c r="A30" s="588">
        <v>28</v>
      </c>
      <c r="B30" s="792"/>
      <c r="C30" s="771"/>
      <c r="D30" s="793" t="s">
        <v>112</v>
      </c>
      <c r="E30" s="793"/>
      <c r="F30" s="794"/>
      <c r="G30" s="794"/>
      <c r="H30" s="795"/>
      <c r="I30" s="796"/>
      <c r="J30" s="794"/>
      <c r="K30" s="794"/>
      <c r="L30" s="794"/>
      <c r="M30" s="794"/>
      <c r="N30" s="794"/>
      <c r="O30" s="794"/>
      <c r="P30" s="794"/>
      <c r="Q30" s="794"/>
      <c r="R30" s="797"/>
    </row>
    <row r="31" spans="1:19" s="790" customFormat="1" ht="18" customHeight="1" x14ac:dyDescent="0.3">
      <c r="A31" s="588">
        <v>29</v>
      </c>
      <c r="B31" s="776"/>
      <c r="C31" s="777"/>
      <c r="D31" s="778"/>
      <c r="E31" s="779" t="s">
        <v>239</v>
      </c>
      <c r="F31" s="780"/>
      <c r="G31" s="780"/>
      <c r="H31" s="781"/>
      <c r="I31" s="782">
        <f>SUM(J31:Q31)</f>
        <v>658480</v>
      </c>
      <c r="J31" s="780">
        <v>23185</v>
      </c>
      <c r="K31" s="780"/>
      <c r="L31" s="780"/>
      <c r="M31" s="780"/>
      <c r="N31" s="780"/>
      <c r="O31" s="780"/>
      <c r="P31" s="780">
        <v>11551</v>
      </c>
      <c r="Q31" s="780">
        <v>623744</v>
      </c>
      <c r="R31" s="783">
        <v>476317</v>
      </c>
    </row>
    <row r="32" spans="1:19" s="790" customFormat="1" ht="18" customHeight="1" x14ac:dyDescent="0.3">
      <c r="A32" s="588">
        <v>30</v>
      </c>
      <c r="B32" s="776"/>
      <c r="C32" s="777"/>
      <c r="D32" s="778"/>
      <c r="E32" s="119" t="s">
        <v>702</v>
      </c>
      <c r="F32" s="780"/>
      <c r="G32" s="780"/>
      <c r="H32" s="781"/>
      <c r="I32" s="786">
        <f>SUM(J32:Q32)</f>
        <v>692601</v>
      </c>
      <c r="J32" s="120">
        <v>23185</v>
      </c>
      <c r="K32" s="120"/>
      <c r="L32" s="120"/>
      <c r="M32" s="120"/>
      <c r="N32" s="120"/>
      <c r="O32" s="120"/>
      <c r="P32" s="120">
        <v>39340</v>
      </c>
      <c r="Q32" s="120">
        <v>630076</v>
      </c>
      <c r="R32" s="787">
        <v>476317</v>
      </c>
    </row>
    <row r="33" spans="1:19" s="790" customFormat="1" ht="18" customHeight="1" x14ac:dyDescent="0.3">
      <c r="A33" s="588">
        <v>31</v>
      </c>
      <c r="B33" s="776"/>
      <c r="C33" s="777"/>
      <c r="D33" s="778"/>
      <c r="E33" s="275" t="s">
        <v>745</v>
      </c>
      <c r="F33" s="780"/>
      <c r="G33" s="780"/>
      <c r="H33" s="781"/>
      <c r="I33" s="276">
        <f>SUM(J33:Q33)</f>
        <v>353780</v>
      </c>
      <c r="J33" s="276">
        <v>10920</v>
      </c>
      <c r="K33" s="780"/>
      <c r="L33" s="780"/>
      <c r="M33" s="780"/>
      <c r="N33" s="780"/>
      <c r="O33" s="780"/>
      <c r="P33" s="117">
        <v>39340</v>
      </c>
      <c r="Q33" s="117">
        <v>303520</v>
      </c>
      <c r="R33" s="121">
        <v>247685</v>
      </c>
    </row>
    <row r="34" spans="1:19" s="800" customFormat="1" ht="22.5" customHeight="1" x14ac:dyDescent="0.3">
      <c r="A34" s="588">
        <v>34</v>
      </c>
      <c r="B34" s="770">
        <v>6</v>
      </c>
      <c r="C34" s="771"/>
      <c r="D34" s="798" t="s">
        <v>214</v>
      </c>
      <c r="E34" s="798"/>
      <c r="F34" s="116">
        <v>298808</v>
      </c>
      <c r="G34" s="116">
        <v>339398</v>
      </c>
      <c r="H34" s="774">
        <v>366099</v>
      </c>
      <c r="I34" s="775"/>
      <c r="J34" s="116"/>
      <c r="K34" s="116"/>
      <c r="L34" s="116"/>
      <c r="M34" s="116"/>
      <c r="N34" s="116"/>
      <c r="O34" s="116"/>
      <c r="P34" s="116"/>
      <c r="Q34" s="116"/>
      <c r="R34" s="121"/>
    </row>
    <row r="35" spans="1:19" s="800" customFormat="1" ht="18" customHeight="1" x14ac:dyDescent="0.3">
      <c r="A35" s="588">
        <v>35</v>
      </c>
      <c r="B35" s="792"/>
      <c r="C35" s="771"/>
      <c r="D35" s="793" t="s">
        <v>113</v>
      </c>
      <c r="E35" s="793"/>
      <c r="F35" s="794"/>
      <c r="G35" s="794"/>
      <c r="H35" s="795"/>
      <c r="I35" s="796"/>
      <c r="J35" s="794"/>
      <c r="K35" s="794"/>
      <c r="L35" s="794"/>
      <c r="M35" s="794"/>
      <c r="N35" s="794"/>
      <c r="O35" s="794"/>
      <c r="P35" s="794"/>
      <c r="Q35" s="794"/>
      <c r="R35" s="797"/>
    </row>
    <row r="36" spans="1:19" s="801" customFormat="1" ht="18" customHeight="1" x14ac:dyDescent="0.3">
      <c r="A36" s="588">
        <v>36</v>
      </c>
      <c r="B36" s="776"/>
      <c r="C36" s="777"/>
      <c r="D36" s="778"/>
      <c r="E36" s="779" t="s">
        <v>239</v>
      </c>
      <c r="F36" s="780"/>
      <c r="G36" s="780"/>
      <c r="H36" s="781"/>
      <c r="I36" s="782">
        <f t="shared" ref="I36:I38" si="1">SUM(J36:Q36)</f>
        <v>386867</v>
      </c>
      <c r="J36" s="780">
        <v>12623</v>
      </c>
      <c r="K36" s="780"/>
      <c r="L36" s="780"/>
      <c r="M36" s="780"/>
      <c r="N36" s="780"/>
      <c r="O36" s="780"/>
      <c r="P36" s="780">
        <v>14762</v>
      </c>
      <c r="Q36" s="780">
        <v>359482</v>
      </c>
      <c r="R36" s="783">
        <v>273644</v>
      </c>
    </row>
    <row r="37" spans="1:19" s="801" customFormat="1" ht="18" customHeight="1" x14ac:dyDescent="0.3">
      <c r="A37" s="588">
        <v>37</v>
      </c>
      <c r="B37" s="776"/>
      <c r="C37" s="777"/>
      <c r="D37" s="802"/>
      <c r="E37" s="119" t="s">
        <v>702</v>
      </c>
      <c r="F37" s="803"/>
      <c r="G37" s="803"/>
      <c r="H37" s="804"/>
      <c r="I37" s="786">
        <f t="shared" si="1"/>
        <v>408581</v>
      </c>
      <c r="J37" s="805">
        <v>12623</v>
      </c>
      <c r="K37" s="805"/>
      <c r="L37" s="805"/>
      <c r="M37" s="805"/>
      <c r="N37" s="805"/>
      <c r="O37" s="805"/>
      <c r="P37" s="805">
        <v>24804</v>
      </c>
      <c r="Q37" s="805">
        <v>371154</v>
      </c>
      <c r="R37" s="577">
        <v>273644</v>
      </c>
    </row>
    <row r="38" spans="1:19" s="801" customFormat="1" ht="18" customHeight="1" thickBot="1" x14ac:dyDescent="0.35">
      <c r="A38" s="588">
        <v>38</v>
      </c>
      <c r="B38" s="776"/>
      <c r="C38" s="777"/>
      <c r="D38" s="802"/>
      <c r="E38" s="275" t="s">
        <v>745</v>
      </c>
      <c r="F38" s="803"/>
      <c r="G38" s="803"/>
      <c r="H38" s="804"/>
      <c r="I38" s="276">
        <f t="shared" si="1"/>
        <v>216301</v>
      </c>
      <c r="J38" s="276">
        <v>6364</v>
      </c>
      <c r="K38" s="803"/>
      <c r="L38" s="803"/>
      <c r="M38" s="803"/>
      <c r="N38" s="803"/>
      <c r="O38" s="803"/>
      <c r="P38" s="806">
        <v>24804</v>
      </c>
      <c r="Q38" s="276">
        <v>185133</v>
      </c>
      <c r="R38" s="578">
        <v>142295</v>
      </c>
    </row>
    <row r="39" spans="1:19" s="760" customFormat="1" ht="22.5" customHeight="1" thickTop="1" x14ac:dyDescent="0.3">
      <c r="A39" s="588">
        <v>42</v>
      </c>
      <c r="B39" s="792"/>
      <c r="C39" s="1252" t="s">
        <v>302</v>
      </c>
      <c r="D39" s="1253"/>
      <c r="E39" s="1254"/>
      <c r="F39" s="807">
        <f>SUM(F9:F36)</f>
        <v>2669723</v>
      </c>
      <c r="G39" s="807">
        <f>SUM(G9:G36)</f>
        <v>3061705</v>
      </c>
      <c r="H39" s="808">
        <f>SUM(H9:H36)</f>
        <v>3275837</v>
      </c>
      <c r="I39" s="809"/>
      <c r="J39" s="807"/>
      <c r="K39" s="807"/>
      <c r="L39" s="807"/>
      <c r="M39" s="807"/>
      <c r="N39" s="807"/>
      <c r="O39" s="807"/>
      <c r="P39" s="807"/>
      <c r="Q39" s="807"/>
      <c r="R39" s="810"/>
    </row>
    <row r="40" spans="1:19" s="785" customFormat="1" ht="18" customHeight="1" x14ac:dyDescent="0.3">
      <c r="A40" s="588">
        <v>43</v>
      </c>
      <c r="B40" s="811"/>
      <c r="C40" s="777"/>
      <c r="D40" s="778"/>
      <c r="E40" s="812" t="s">
        <v>239</v>
      </c>
      <c r="F40" s="780"/>
      <c r="G40" s="780"/>
      <c r="H40" s="781"/>
      <c r="I40" s="813">
        <f t="shared" ref="I40:R40" si="2">SUM(I11,I16,I21,I26,I31,I36,)</f>
        <v>3430041</v>
      </c>
      <c r="J40" s="814">
        <f t="shared" si="2"/>
        <v>93122</v>
      </c>
      <c r="K40" s="814">
        <f t="shared" si="2"/>
        <v>0</v>
      </c>
      <c r="L40" s="814">
        <f t="shared" si="2"/>
        <v>0</v>
      </c>
      <c r="M40" s="814">
        <f t="shared" si="2"/>
        <v>0</v>
      </c>
      <c r="N40" s="814">
        <f t="shared" si="2"/>
        <v>0</v>
      </c>
      <c r="O40" s="814">
        <f t="shared" si="2"/>
        <v>0</v>
      </c>
      <c r="P40" s="814">
        <f t="shared" si="2"/>
        <v>125025</v>
      </c>
      <c r="Q40" s="814">
        <f t="shared" si="2"/>
        <v>3211894</v>
      </c>
      <c r="R40" s="815">
        <f t="shared" si="2"/>
        <v>2547941</v>
      </c>
      <c r="S40" s="784"/>
    </row>
    <row r="41" spans="1:19" s="785" customFormat="1" ht="18" customHeight="1" x14ac:dyDescent="0.3">
      <c r="A41" s="588">
        <v>44</v>
      </c>
      <c r="B41" s="816"/>
      <c r="C41" s="817"/>
      <c r="D41" s="802"/>
      <c r="E41" s="119" t="s">
        <v>702</v>
      </c>
      <c r="F41" s="803"/>
      <c r="G41" s="803"/>
      <c r="H41" s="804"/>
      <c r="I41" s="818">
        <f t="shared" ref="I41:R41" si="3">SUM(I12,I17,I22,I27,I32,I37,)</f>
        <v>3582144</v>
      </c>
      <c r="J41" s="120">
        <f t="shared" si="3"/>
        <v>93122</v>
      </c>
      <c r="K41" s="120">
        <f t="shared" si="3"/>
        <v>0</v>
      </c>
      <c r="L41" s="120">
        <f t="shared" si="3"/>
        <v>0</v>
      </c>
      <c r="M41" s="120">
        <f t="shared" si="3"/>
        <v>0</v>
      </c>
      <c r="N41" s="120">
        <f t="shared" si="3"/>
        <v>0</v>
      </c>
      <c r="O41" s="120">
        <f t="shared" si="3"/>
        <v>0</v>
      </c>
      <c r="P41" s="120">
        <f t="shared" si="3"/>
        <v>222995</v>
      </c>
      <c r="Q41" s="120">
        <f t="shared" si="3"/>
        <v>3266027</v>
      </c>
      <c r="R41" s="819">
        <f t="shared" si="3"/>
        <v>2547941</v>
      </c>
      <c r="S41" s="784"/>
    </row>
    <row r="42" spans="1:19" s="785" customFormat="1" ht="18" customHeight="1" thickBot="1" x14ac:dyDescent="0.35">
      <c r="A42" s="588">
        <v>45</v>
      </c>
      <c r="B42" s="816"/>
      <c r="C42" s="820"/>
      <c r="D42" s="821"/>
      <c r="E42" s="822" t="s">
        <v>745</v>
      </c>
      <c r="F42" s="823"/>
      <c r="G42" s="823"/>
      <c r="H42" s="824"/>
      <c r="I42" s="825">
        <f>SUM(J42:Q42)</f>
        <v>1852440</v>
      </c>
      <c r="J42" s="826">
        <f t="shared" ref="J42:R42" si="4">J38+J33+J28+J23+J18+J13</f>
        <v>47683</v>
      </c>
      <c r="K42" s="826">
        <f t="shared" si="4"/>
        <v>83</v>
      </c>
      <c r="L42" s="826">
        <f t="shared" si="4"/>
        <v>0</v>
      </c>
      <c r="M42" s="826">
        <f t="shared" si="4"/>
        <v>0</v>
      </c>
      <c r="N42" s="826">
        <f t="shared" si="4"/>
        <v>0</v>
      </c>
      <c r="O42" s="826">
        <f t="shared" si="4"/>
        <v>0</v>
      </c>
      <c r="P42" s="826">
        <f t="shared" si="4"/>
        <v>222995</v>
      </c>
      <c r="Q42" s="826">
        <f t="shared" si="4"/>
        <v>1581679</v>
      </c>
      <c r="R42" s="827">
        <f t="shared" si="4"/>
        <v>1277941</v>
      </c>
      <c r="S42" s="784"/>
    </row>
    <row r="43" spans="1:19" s="582" customFormat="1" ht="30" customHeight="1" thickTop="1" x14ac:dyDescent="0.3">
      <c r="A43" s="588">
        <v>47</v>
      </c>
      <c r="B43" s="828">
        <v>7</v>
      </c>
      <c r="C43" s="764"/>
      <c r="D43" s="1234" t="s">
        <v>246</v>
      </c>
      <c r="E43" s="1235"/>
      <c r="F43" s="767">
        <v>1838188</v>
      </c>
      <c r="G43" s="767">
        <v>1825483</v>
      </c>
      <c r="H43" s="768">
        <v>2059425</v>
      </c>
      <c r="I43" s="769"/>
      <c r="J43" s="767"/>
      <c r="K43" s="767"/>
      <c r="L43" s="767"/>
      <c r="M43" s="767"/>
      <c r="N43" s="767"/>
      <c r="O43" s="767"/>
      <c r="P43" s="767"/>
      <c r="Q43" s="767"/>
      <c r="R43" s="578"/>
    </row>
    <row r="44" spans="1:19" s="784" customFormat="1" ht="18" customHeight="1" x14ac:dyDescent="0.3">
      <c r="A44" s="588">
        <v>48</v>
      </c>
      <c r="B44" s="776"/>
      <c r="C44" s="777"/>
      <c r="D44" s="777"/>
      <c r="E44" s="829" t="s">
        <v>239</v>
      </c>
      <c r="F44" s="780"/>
      <c r="G44" s="780"/>
      <c r="H44" s="781"/>
      <c r="I44" s="782">
        <f>SUM(J44:Q44)</f>
        <v>1983101</v>
      </c>
      <c r="J44" s="780">
        <v>16809</v>
      </c>
      <c r="K44" s="780">
        <v>1945</v>
      </c>
      <c r="L44" s="780"/>
      <c r="M44" s="780"/>
      <c r="N44" s="780"/>
      <c r="O44" s="780"/>
      <c r="P44" s="780">
        <v>55944</v>
      </c>
      <c r="Q44" s="780">
        <v>1908403</v>
      </c>
      <c r="R44" s="783">
        <v>1382662</v>
      </c>
    </row>
    <row r="45" spans="1:19" s="784" customFormat="1" ht="18" customHeight="1" x14ac:dyDescent="0.3">
      <c r="A45" s="588">
        <v>49</v>
      </c>
      <c r="B45" s="776"/>
      <c r="C45" s="777"/>
      <c r="D45" s="777"/>
      <c r="E45" s="119" t="s">
        <v>702</v>
      </c>
      <c r="F45" s="780"/>
      <c r="G45" s="780"/>
      <c r="H45" s="781"/>
      <c r="I45" s="786">
        <f>SUM(J45:Q45)</f>
        <v>2067287</v>
      </c>
      <c r="J45" s="120">
        <v>25239</v>
      </c>
      <c r="K45" s="120">
        <v>18536</v>
      </c>
      <c r="L45" s="120"/>
      <c r="M45" s="120"/>
      <c r="N45" s="120"/>
      <c r="O45" s="120"/>
      <c r="P45" s="120">
        <v>94078</v>
      </c>
      <c r="Q45" s="120">
        <v>1929434</v>
      </c>
      <c r="R45" s="787">
        <v>1398309</v>
      </c>
    </row>
    <row r="46" spans="1:19" s="784" customFormat="1" ht="18" customHeight="1" x14ac:dyDescent="0.3">
      <c r="A46" s="588">
        <v>50</v>
      </c>
      <c r="B46" s="776"/>
      <c r="C46" s="777"/>
      <c r="D46" s="777"/>
      <c r="E46" s="275" t="s">
        <v>749</v>
      </c>
      <c r="F46" s="780"/>
      <c r="G46" s="780"/>
      <c r="H46" s="781"/>
      <c r="I46" s="276">
        <f>SUM(J46:Q46)</f>
        <v>1095374</v>
      </c>
      <c r="J46" s="276">
        <v>23225</v>
      </c>
      <c r="K46" s="276">
        <v>23262</v>
      </c>
      <c r="L46" s="780"/>
      <c r="M46" s="780"/>
      <c r="N46" s="780"/>
      <c r="O46" s="780"/>
      <c r="P46" s="117">
        <v>94078</v>
      </c>
      <c r="Q46" s="117">
        <v>954809</v>
      </c>
      <c r="R46" s="121">
        <v>731440</v>
      </c>
    </row>
    <row r="47" spans="1:19" ht="22.5" customHeight="1" x14ac:dyDescent="0.3">
      <c r="A47" s="588">
        <v>56</v>
      </c>
      <c r="B47" s="770">
        <v>8</v>
      </c>
      <c r="C47" s="771"/>
      <c r="D47" s="798" t="s">
        <v>94</v>
      </c>
      <c r="E47" s="798"/>
      <c r="F47" s="116">
        <v>146343</v>
      </c>
      <c r="G47" s="116">
        <v>123176</v>
      </c>
      <c r="H47" s="774">
        <v>175961</v>
      </c>
      <c r="I47" s="775"/>
      <c r="J47" s="116"/>
      <c r="K47" s="116"/>
      <c r="L47" s="116"/>
      <c r="M47" s="116"/>
      <c r="N47" s="116"/>
      <c r="O47" s="116"/>
      <c r="P47" s="116"/>
      <c r="Q47" s="116"/>
      <c r="R47" s="121"/>
      <c r="S47" s="582"/>
    </row>
    <row r="48" spans="1:19" s="790" customFormat="1" ht="18" customHeight="1" x14ac:dyDescent="0.3">
      <c r="A48" s="588">
        <v>57</v>
      </c>
      <c r="B48" s="776"/>
      <c r="C48" s="777"/>
      <c r="D48" s="777"/>
      <c r="E48" s="829" t="s">
        <v>239</v>
      </c>
      <c r="F48" s="780"/>
      <c r="G48" s="780"/>
      <c r="H48" s="781"/>
      <c r="I48" s="782">
        <f>SUM(J48:Q48)</f>
        <v>130030</v>
      </c>
      <c r="J48" s="780">
        <v>16200</v>
      </c>
      <c r="K48" s="780"/>
      <c r="L48" s="780"/>
      <c r="M48" s="780"/>
      <c r="N48" s="780"/>
      <c r="O48" s="780"/>
      <c r="P48" s="780">
        <v>15884</v>
      </c>
      <c r="Q48" s="780">
        <v>97946</v>
      </c>
      <c r="R48" s="783">
        <v>40115</v>
      </c>
    </row>
    <row r="49" spans="1:19" s="790" customFormat="1" ht="18" customHeight="1" x14ac:dyDescent="0.3">
      <c r="A49" s="588">
        <v>58</v>
      </c>
      <c r="B49" s="776"/>
      <c r="C49" s="777"/>
      <c r="D49" s="777"/>
      <c r="E49" s="119" t="s">
        <v>702</v>
      </c>
      <c r="F49" s="780"/>
      <c r="G49" s="780"/>
      <c r="H49" s="781"/>
      <c r="I49" s="786">
        <f>SUM(J49:Q49)</f>
        <v>168029</v>
      </c>
      <c r="J49" s="120">
        <v>16200</v>
      </c>
      <c r="K49" s="120"/>
      <c r="L49" s="120"/>
      <c r="M49" s="120"/>
      <c r="N49" s="120"/>
      <c r="O49" s="120"/>
      <c r="P49" s="120">
        <v>31564</v>
      </c>
      <c r="Q49" s="120">
        <v>120265</v>
      </c>
      <c r="R49" s="787">
        <v>58597</v>
      </c>
    </row>
    <row r="50" spans="1:19" s="790" customFormat="1" ht="18" customHeight="1" x14ac:dyDescent="0.3">
      <c r="A50" s="588">
        <v>59</v>
      </c>
      <c r="B50" s="776"/>
      <c r="C50" s="777"/>
      <c r="D50" s="777"/>
      <c r="E50" s="275" t="s">
        <v>745</v>
      </c>
      <c r="F50" s="780"/>
      <c r="G50" s="780"/>
      <c r="H50" s="781"/>
      <c r="I50" s="276">
        <f>SUM(J50:Q50)</f>
        <v>78723</v>
      </c>
      <c r="J50" s="276">
        <v>9495</v>
      </c>
      <c r="K50" s="780"/>
      <c r="L50" s="780"/>
      <c r="M50" s="780"/>
      <c r="N50" s="780"/>
      <c r="O50" s="780"/>
      <c r="P50" s="117">
        <v>31564</v>
      </c>
      <c r="Q50" s="117">
        <v>37664</v>
      </c>
      <c r="R50" s="121">
        <v>34038</v>
      </c>
    </row>
    <row r="51" spans="1:19" ht="22.5" customHeight="1" x14ac:dyDescent="0.3">
      <c r="A51" s="588">
        <v>63</v>
      </c>
      <c r="B51" s="770">
        <v>9</v>
      </c>
      <c r="C51" s="771"/>
      <c r="D51" s="798" t="s">
        <v>284</v>
      </c>
      <c r="E51" s="798"/>
      <c r="F51" s="116">
        <v>483799</v>
      </c>
      <c r="G51" s="116">
        <v>417595</v>
      </c>
      <c r="H51" s="774">
        <v>564815</v>
      </c>
      <c r="I51" s="775"/>
      <c r="J51" s="116"/>
      <c r="K51" s="116"/>
      <c r="L51" s="116"/>
      <c r="M51" s="116"/>
      <c r="N51" s="116"/>
      <c r="O51" s="116"/>
      <c r="P51" s="116"/>
      <c r="Q51" s="116"/>
      <c r="R51" s="121"/>
      <c r="S51" s="582"/>
    </row>
    <row r="52" spans="1:19" s="790" customFormat="1" ht="18" customHeight="1" x14ac:dyDescent="0.3">
      <c r="A52" s="588">
        <v>64</v>
      </c>
      <c r="B52" s="776"/>
      <c r="C52" s="830"/>
      <c r="D52" s="831"/>
      <c r="E52" s="832" t="s">
        <v>239</v>
      </c>
      <c r="F52" s="814"/>
      <c r="G52" s="814"/>
      <c r="H52" s="833"/>
      <c r="I52" s="813">
        <f>SUM(J52:Q52)</f>
        <v>460026</v>
      </c>
      <c r="J52" s="814">
        <v>6600</v>
      </c>
      <c r="K52" s="814"/>
      <c r="L52" s="814"/>
      <c r="M52" s="814"/>
      <c r="N52" s="814"/>
      <c r="O52" s="814"/>
      <c r="P52" s="814">
        <v>9206</v>
      </c>
      <c r="Q52" s="814">
        <v>444220</v>
      </c>
      <c r="R52" s="834">
        <v>250960</v>
      </c>
    </row>
    <row r="53" spans="1:19" s="790" customFormat="1" ht="18" customHeight="1" x14ac:dyDescent="0.3">
      <c r="A53" s="588">
        <v>65</v>
      </c>
      <c r="B53" s="776"/>
      <c r="C53" s="777"/>
      <c r="D53" s="835"/>
      <c r="E53" s="119" t="s">
        <v>702</v>
      </c>
      <c r="F53" s="814"/>
      <c r="G53" s="814"/>
      <c r="H53" s="833"/>
      <c r="I53" s="836">
        <f>SUM(J53:Q53)</f>
        <v>537438</v>
      </c>
      <c r="J53" s="282">
        <v>6600</v>
      </c>
      <c r="K53" s="282"/>
      <c r="L53" s="282"/>
      <c r="M53" s="282"/>
      <c r="N53" s="282"/>
      <c r="O53" s="282"/>
      <c r="P53" s="282">
        <v>34311</v>
      </c>
      <c r="Q53" s="282">
        <v>496527</v>
      </c>
      <c r="R53" s="837">
        <v>306370</v>
      </c>
    </row>
    <row r="54" spans="1:19" s="790" customFormat="1" ht="18" customHeight="1" thickBot="1" x14ac:dyDescent="0.35">
      <c r="A54" s="588">
        <v>66</v>
      </c>
      <c r="B54" s="776"/>
      <c r="C54" s="777"/>
      <c r="D54" s="778"/>
      <c r="E54" s="275" t="s">
        <v>745</v>
      </c>
      <c r="F54" s="780"/>
      <c r="G54" s="780"/>
      <c r="H54" s="781"/>
      <c r="I54" s="276">
        <f>SUM(J54:Q54)</f>
        <v>302687</v>
      </c>
      <c r="J54" s="276">
        <v>4347</v>
      </c>
      <c r="K54" s="276">
        <v>30</v>
      </c>
      <c r="L54" s="780"/>
      <c r="M54" s="780"/>
      <c r="N54" s="780"/>
      <c r="O54" s="780"/>
      <c r="P54" s="117">
        <v>34311</v>
      </c>
      <c r="Q54" s="117">
        <v>263999</v>
      </c>
      <c r="R54" s="838">
        <v>189356</v>
      </c>
    </row>
    <row r="55" spans="1:19" s="800" customFormat="1" ht="22.5" customHeight="1" thickTop="1" x14ac:dyDescent="0.3">
      <c r="A55" s="588">
        <v>70</v>
      </c>
      <c r="B55" s="792"/>
      <c r="C55" s="1236" t="s">
        <v>303</v>
      </c>
      <c r="D55" s="1237"/>
      <c r="E55" s="1238"/>
      <c r="F55" s="839">
        <f>SUM(F43:F52)</f>
        <v>2468330</v>
      </c>
      <c r="G55" s="839">
        <f>SUM(G43:G52)</f>
        <v>2366254</v>
      </c>
      <c r="H55" s="840">
        <f>SUM(H43:H52)</f>
        <v>2800201</v>
      </c>
      <c r="I55" s="841"/>
      <c r="J55" s="839"/>
      <c r="K55" s="839"/>
      <c r="L55" s="839"/>
      <c r="M55" s="839"/>
      <c r="N55" s="839"/>
      <c r="O55" s="839"/>
      <c r="P55" s="839"/>
      <c r="Q55" s="839"/>
      <c r="R55" s="842"/>
    </row>
    <row r="56" spans="1:19" s="790" customFormat="1" ht="18" customHeight="1" x14ac:dyDescent="0.3">
      <c r="A56" s="588">
        <v>71</v>
      </c>
      <c r="B56" s="776"/>
      <c r="C56" s="777"/>
      <c r="D56" s="778"/>
      <c r="E56" s="829" t="s">
        <v>239</v>
      </c>
      <c r="F56" s="780"/>
      <c r="G56" s="780"/>
      <c r="H56" s="781"/>
      <c r="I56" s="782">
        <f t="shared" ref="I56:R56" si="5">SUM(I44,I48,I52)</f>
        <v>2573157</v>
      </c>
      <c r="J56" s="780">
        <f t="shared" si="5"/>
        <v>39609</v>
      </c>
      <c r="K56" s="780">
        <f t="shared" si="5"/>
        <v>1945</v>
      </c>
      <c r="L56" s="780">
        <f t="shared" si="5"/>
        <v>0</v>
      </c>
      <c r="M56" s="780">
        <f t="shared" si="5"/>
        <v>0</v>
      </c>
      <c r="N56" s="780">
        <f t="shared" si="5"/>
        <v>0</v>
      </c>
      <c r="O56" s="780">
        <f t="shared" si="5"/>
        <v>0</v>
      </c>
      <c r="P56" s="780">
        <f t="shared" si="5"/>
        <v>81034</v>
      </c>
      <c r="Q56" s="780">
        <f t="shared" si="5"/>
        <v>2450569</v>
      </c>
      <c r="R56" s="783">
        <f t="shared" si="5"/>
        <v>1673737</v>
      </c>
    </row>
    <row r="57" spans="1:19" s="790" customFormat="1" ht="18" customHeight="1" x14ac:dyDescent="0.3">
      <c r="A57" s="588">
        <v>72</v>
      </c>
      <c r="B57" s="843"/>
      <c r="C57" s="844"/>
      <c r="D57" s="845"/>
      <c r="E57" s="846" t="s">
        <v>702</v>
      </c>
      <c r="F57" s="847"/>
      <c r="G57" s="847"/>
      <c r="H57" s="848"/>
      <c r="I57" s="786">
        <f t="shared" ref="I57:R57" si="6">SUM(I45,I49,I53)</f>
        <v>2772754</v>
      </c>
      <c r="J57" s="120">
        <f t="shared" si="6"/>
        <v>48039</v>
      </c>
      <c r="K57" s="120">
        <f t="shared" si="6"/>
        <v>18536</v>
      </c>
      <c r="L57" s="120">
        <f t="shared" si="6"/>
        <v>0</v>
      </c>
      <c r="M57" s="120">
        <f t="shared" si="6"/>
        <v>0</v>
      </c>
      <c r="N57" s="120">
        <f t="shared" si="6"/>
        <v>0</v>
      </c>
      <c r="O57" s="120">
        <f t="shared" si="6"/>
        <v>0</v>
      </c>
      <c r="P57" s="120">
        <f t="shared" si="6"/>
        <v>159953</v>
      </c>
      <c r="Q57" s="120">
        <f t="shared" si="6"/>
        <v>2546226</v>
      </c>
      <c r="R57" s="819">
        <f t="shared" si="6"/>
        <v>1763276</v>
      </c>
    </row>
    <row r="58" spans="1:19" s="790" customFormat="1" ht="18" customHeight="1" thickBot="1" x14ac:dyDescent="0.35">
      <c r="A58" s="588">
        <v>73</v>
      </c>
      <c r="B58" s="843"/>
      <c r="C58" s="849"/>
      <c r="D58" s="850"/>
      <c r="E58" s="462" t="s">
        <v>745</v>
      </c>
      <c r="F58" s="851"/>
      <c r="G58" s="851"/>
      <c r="H58" s="852"/>
      <c r="I58" s="853">
        <f>SUM(J58:Q58)</f>
        <v>1476784</v>
      </c>
      <c r="J58" s="480">
        <f t="shared" ref="J58:R58" si="7">J54+J50+J46</f>
        <v>37067</v>
      </c>
      <c r="K58" s="480">
        <f t="shared" si="7"/>
        <v>23292</v>
      </c>
      <c r="L58" s="480">
        <f t="shared" si="7"/>
        <v>0</v>
      </c>
      <c r="M58" s="480">
        <f t="shared" si="7"/>
        <v>0</v>
      </c>
      <c r="N58" s="480">
        <f t="shared" si="7"/>
        <v>0</v>
      </c>
      <c r="O58" s="480">
        <f t="shared" si="7"/>
        <v>0</v>
      </c>
      <c r="P58" s="480">
        <f t="shared" si="7"/>
        <v>159953</v>
      </c>
      <c r="Q58" s="480">
        <f t="shared" si="7"/>
        <v>1256472</v>
      </c>
      <c r="R58" s="854">
        <f t="shared" si="7"/>
        <v>954834</v>
      </c>
    </row>
    <row r="59" spans="1:19" s="857" customFormat="1" ht="22.5" customHeight="1" thickTop="1" x14ac:dyDescent="0.3">
      <c r="A59" s="588">
        <v>75</v>
      </c>
      <c r="B59" s="763">
        <v>10</v>
      </c>
      <c r="C59" s="764"/>
      <c r="D59" s="855" t="s">
        <v>285</v>
      </c>
      <c r="E59" s="856"/>
      <c r="F59" s="767">
        <v>619997</v>
      </c>
      <c r="G59" s="767">
        <v>421845</v>
      </c>
      <c r="H59" s="768">
        <v>569047</v>
      </c>
      <c r="I59" s="769"/>
      <c r="J59" s="767"/>
      <c r="K59" s="767"/>
      <c r="L59" s="767"/>
      <c r="M59" s="767"/>
      <c r="N59" s="767"/>
      <c r="O59" s="767"/>
      <c r="P59" s="767"/>
      <c r="Q59" s="767"/>
      <c r="R59" s="578"/>
      <c r="S59" s="760"/>
    </row>
    <row r="60" spans="1:19" s="784" customFormat="1" ht="18" customHeight="1" x14ac:dyDescent="0.3">
      <c r="A60" s="588">
        <v>76</v>
      </c>
      <c r="B60" s="776"/>
      <c r="C60" s="777"/>
      <c r="D60" s="778"/>
      <c r="E60" s="779" t="s">
        <v>239</v>
      </c>
      <c r="F60" s="780"/>
      <c r="G60" s="780"/>
      <c r="H60" s="781"/>
      <c r="I60" s="782">
        <f>SUM(J60:Q60)</f>
        <v>388211</v>
      </c>
      <c r="J60" s="780">
        <v>62076</v>
      </c>
      <c r="K60" s="780"/>
      <c r="L60" s="780"/>
      <c r="M60" s="780"/>
      <c r="N60" s="780"/>
      <c r="O60" s="780"/>
      <c r="P60" s="780">
        <v>29551</v>
      </c>
      <c r="Q60" s="780">
        <v>296584</v>
      </c>
      <c r="R60" s="783">
        <v>68664</v>
      </c>
    </row>
    <row r="61" spans="1:19" s="784" customFormat="1" ht="18" customHeight="1" x14ac:dyDescent="0.3">
      <c r="A61" s="588">
        <v>77</v>
      </c>
      <c r="B61" s="776"/>
      <c r="C61" s="777"/>
      <c r="D61" s="778"/>
      <c r="E61" s="119" t="s">
        <v>702</v>
      </c>
      <c r="F61" s="780"/>
      <c r="G61" s="780"/>
      <c r="H61" s="781"/>
      <c r="I61" s="786">
        <f>SUM(J61:Q61)</f>
        <v>520251</v>
      </c>
      <c r="J61" s="120">
        <v>62076</v>
      </c>
      <c r="K61" s="120"/>
      <c r="L61" s="120"/>
      <c r="M61" s="120"/>
      <c r="N61" s="120"/>
      <c r="O61" s="120"/>
      <c r="P61" s="120">
        <v>157978</v>
      </c>
      <c r="Q61" s="120">
        <v>300197</v>
      </c>
      <c r="R61" s="787">
        <v>68664</v>
      </c>
    </row>
    <row r="62" spans="1:19" s="784" customFormat="1" ht="18" customHeight="1" x14ac:dyDescent="0.3">
      <c r="A62" s="588">
        <v>78</v>
      </c>
      <c r="B62" s="776"/>
      <c r="C62" s="777"/>
      <c r="D62" s="778"/>
      <c r="E62" s="275" t="s">
        <v>745</v>
      </c>
      <c r="F62" s="780"/>
      <c r="G62" s="780"/>
      <c r="H62" s="781"/>
      <c r="I62" s="276">
        <f>SUM(J62:Q62)</f>
        <v>247872</v>
      </c>
      <c r="J62" s="276">
        <v>62415</v>
      </c>
      <c r="K62" s="780"/>
      <c r="L62" s="780"/>
      <c r="M62" s="780"/>
      <c r="N62" s="780"/>
      <c r="O62" s="780"/>
      <c r="P62" s="117">
        <v>157978</v>
      </c>
      <c r="Q62" s="117">
        <v>27479</v>
      </c>
      <c r="R62" s="121">
        <v>35705</v>
      </c>
    </row>
    <row r="63" spans="1:19" s="859" customFormat="1" ht="30" customHeight="1" x14ac:dyDescent="0.3">
      <c r="A63" s="588">
        <v>81</v>
      </c>
      <c r="B63" s="770"/>
      <c r="C63" s="858">
        <v>1</v>
      </c>
      <c r="D63" s="1239" t="s">
        <v>300</v>
      </c>
      <c r="E63" s="1240"/>
      <c r="F63" s="116">
        <v>38386</v>
      </c>
      <c r="G63" s="116"/>
      <c r="H63" s="774"/>
      <c r="I63" s="775"/>
      <c r="J63" s="116"/>
      <c r="K63" s="116"/>
      <c r="L63" s="116"/>
      <c r="M63" s="116"/>
      <c r="N63" s="116"/>
      <c r="O63" s="116"/>
      <c r="P63" s="116"/>
      <c r="Q63" s="116"/>
      <c r="R63" s="121"/>
      <c r="S63" s="760"/>
    </row>
    <row r="64" spans="1:19" s="859" customFormat="1" ht="22.5" customHeight="1" x14ac:dyDescent="0.3">
      <c r="A64" s="588">
        <v>82</v>
      </c>
      <c r="B64" s="770">
        <v>11</v>
      </c>
      <c r="C64" s="771"/>
      <c r="D64" s="798" t="s">
        <v>282</v>
      </c>
      <c r="E64" s="798"/>
      <c r="F64" s="116">
        <v>659994</v>
      </c>
      <c r="G64" s="116">
        <v>275654</v>
      </c>
      <c r="H64" s="774">
        <v>377506</v>
      </c>
      <c r="I64" s="775"/>
      <c r="J64" s="116"/>
      <c r="K64" s="116"/>
      <c r="L64" s="116"/>
      <c r="M64" s="116"/>
      <c r="N64" s="116"/>
      <c r="O64" s="116"/>
      <c r="P64" s="116"/>
      <c r="Q64" s="116"/>
      <c r="R64" s="121"/>
      <c r="S64" s="760"/>
    </row>
    <row r="65" spans="1:19" s="784" customFormat="1" ht="18" customHeight="1" x14ac:dyDescent="0.3">
      <c r="A65" s="588">
        <v>83</v>
      </c>
      <c r="B65" s="776"/>
      <c r="C65" s="777"/>
      <c r="D65" s="778"/>
      <c r="E65" s="779" t="s">
        <v>239</v>
      </c>
      <c r="F65" s="780"/>
      <c r="G65" s="780"/>
      <c r="H65" s="781"/>
      <c r="I65" s="782">
        <f>SUM(J65:Q65)</f>
        <v>345036</v>
      </c>
      <c r="J65" s="780">
        <v>33002</v>
      </c>
      <c r="K65" s="780"/>
      <c r="L65" s="780"/>
      <c r="M65" s="780"/>
      <c r="N65" s="780"/>
      <c r="O65" s="780"/>
      <c r="P65" s="780">
        <v>15836</v>
      </c>
      <c r="Q65" s="780">
        <v>296198</v>
      </c>
      <c r="R65" s="783">
        <v>63080</v>
      </c>
    </row>
    <row r="66" spans="1:19" s="784" customFormat="1" ht="18" customHeight="1" x14ac:dyDescent="0.3">
      <c r="A66" s="588">
        <v>84</v>
      </c>
      <c r="B66" s="776"/>
      <c r="C66" s="777"/>
      <c r="D66" s="778"/>
      <c r="E66" s="119" t="s">
        <v>702</v>
      </c>
      <c r="F66" s="780"/>
      <c r="G66" s="780"/>
      <c r="H66" s="781"/>
      <c r="I66" s="786">
        <f>SUM(J66:Q66)</f>
        <v>377972</v>
      </c>
      <c r="J66" s="120">
        <v>33002</v>
      </c>
      <c r="K66" s="120"/>
      <c r="L66" s="120">
        <v>817</v>
      </c>
      <c r="M66" s="120"/>
      <c r="N66" s="120"/>
      <c r="O66" s="120"/>
      <c r="P66" s="120">
        <v>33442</v>
      </c>
      <c r="Q66" s="120">
        <v>310711</v>
      </c>
      <c r="R66" s="787">
        <v>63080</v>
      </c>
    </row>
    <row r="67" spans="1:19" s="784" customFormat="1" ht="18" customHeight="1" x14ac:dyDescent="0.3">
      <c r="A67" s="588">
        <v>85</v>
      </c>
      <c r="B67" s="776"/>
      <c r="C67" s="777"/>
      <c r="D67" s="778"/>
      <c r="E67" s="275" t="s">
        <v>745</v>
      </c>
      <c r="F67" s="780"/>
      <c r="G67" s="780"/>
      <c r="H67" s="781"/>
      <c r="I67" s="276">
        <f>SUM(J67:Q67)</f>
        <v>190991</v>
      </c>
      <c r="J67" s="276">
        <v>18913</v>
      </c>
      <c r="K67" s="780"/>
      <c r="L67" s="276">
        <v>817</v>
      </c>
      <c r="M67" s="780"/>
      <c r="N67" s="780"/>
      <c r="O67" s="780"/>
      <c r="P67" s="117">
        <v>33442</v>
      </c>
      <c r="Q67" s="117">
        <v>137819</v>
      </c>
      <c r="R67" s="121">
        <v>32802</v>
      </c>
    </row>
    <row r="68" spans="1:19" s="791" customFormat="1" ht="22.5" customHeight="1" x14ac:dyDescent="0.3">
      <c r="A68" s="588">
        <v>87</v>
      </c>
      <c r="B68" s="770">
        <v>12</v>
      </c>
      <c r="C68" s="771"/>
      <c r="D68" s="798" t="s">
        <v>620</v>
      </c>
      <c r="E68" s="860"/>
      <c r="F68" s="116">
        <v>719597</v>
      </c>
      <c r="G68" s="116">
        <v>671116</v>
      </c>
      <c r="H68" s="774">
        <v>751374</v>
      </c>
      <c r="I68" s="775"/>
      <c r="J68" s="116"/>
      <c r="K68" s="116"/>
      <c r="L68" s="116"/>
      <c r="M68" s="116"/>
      <c r="N68" s="116"/>
      <c r="O68" s="116"/>
      <c r="P68" s="116"/>
      <c r="Q68" s="116"/>
      <c r="R68" s="121"/>
    </row>
    <row r="69" spans="1:19" s="799" customFormat="1" ht="18" customHeight="1" x14ac:dyDescent="0.3">
      <c r="A69" s="588">
        <v>88</v>
      </c>
      <c r="B69" s="776"/>
      <c r="C69" s="777"/>
      <c r="D69" s="778"/>
      <c r="E69" s="779" t="s">
        <v>239</v>
      </c>
      <c r="F69" s="780"/>
      <c r="G69" s="780"/>
      <c r="H69" s="781"/>
      <c r="I69" s="782">
        <f>SUM(J69:Q69)</f>
        <v>701280</v>
      </c>
      <c r="J69" s="780">
        <v>42806</v>
      </c>
      <c r="K69" s="780"/>
      <c r="L69" s="780"/>
      <c r="M69" s="780"/>
      <c r="N69" s="780"/>
      <c r="O69" s="780"/>
      <c r="P69" s="780">
        <v>11152</v>
      </c>
      <c r="Q69" s="780">
        <v>647322</v>
      </c>
      <c r="R69" s="783">
        <v>327956</v>
      </c>
    </row>
    <row r="70" spans="1:19" s="799" customFormat="1" ht="18" customHeight="1" x14ac:dyDescent="0.3">
      <c r="A70" s="588">
        <v>89</v>
      </c>
      <c r="B70" s="776"/>
      <c r="C70" s="777"/>
      <c r="D70" s="778"/>
      <c r="E70" s="119" t="s">
        <v>702</v>
      </c>
      <c r="F70" s="780"/>
      <c r="G70" s="780"/>
      <c r="H70" s="781"/>
      <c r="I70" s="786">
        <f>SUM(J70:Q70)</f>
        <v>771437</v>
      </c>
      <c r="J70" s="120">
        <v>42806</v>
      </c>
      <c r="K70" s="120"/>
      <c r="L70" s="120"/>
      <c r="M70" s="120"/>
      <c r="N70" s="120"/>
      <c r="O70" s="120"/>
      <c r="P70" s="120">
        <v>75526</v>
      </c>
      <c r="Q70" s="120">
        <v>653105</v>
      </c>
      <c r="R70" s="787">
        <v>327956</v>
      </c>
    </row>
    <row r="71" spans="1:19" s="799" customFormat="1" ht="18" customHeight="1" x14ac:dyDescent="0.3">
      <c r="A71" s="588">
        <v>90</v>
      </c>
      <c r="B71" s="776"/>
      <c r="C71" s="777"/>
      <c r="D71" s="778"/>
      <c r="E71" s="275" t="s">
        <v>745</v>
      </c>
      <c r="F71" s="780"/>
      <c r="G71" s="780"/>
      <c r="H71" s="781"/>
      <c r="I71" s="276">
        <f>SUM(J71:Q71)</f>
        <v>427959</v>
      </c>
      <c r="J71" s="276">
        <v>29177</v>
      </c>
      <c r="K71" s="780"/>
      <c r="L71" s="780"/>
      <c r="M71" s="780"/>
      <c r="N71" s="780"/>
      <c r="O71" s="780"/>
      <c r="P71" s="117">
        <v>75526</v>
      </c>
      <c r="Q71" s="117">
        <v>323256</v>
      </c>
      <c r="R71" s="121">
        <v>170537</v>
      </c>
    </row>
    <row r="72" spans="1:19" s="791" customFormat="1" ht="30" customHeight="1" x14ac:dyDescent="0.3">
      <c r="A72" s="588">
        <v>92</v>
      </c>
      <c r="B72" s="792"/>
      <c r="C72" s="858">
        <v>2</v>
      </c>
      <c r="D72" s="1239" t="s">
        <v>300</v>
      </c>
      <c r="E72" s="1240"/>
      <c r="F72" s="116">
        <v>24753</v>
      </c>
      <c r="G72" s="116"/>
      <c r="H72" s="774"/>
      <c r="I72" s="775"/>
      <c r="J72" s="116"/>
      <c r="K72" s="116"/>
      <c r="L72" s="116"/>
      <c r="M72" s="116"/>
      <c r="N72" s="116"/>
      <c r="O72" s="116"/>
      <c r="P72" s="116"/>
      <c r="Q72" s="116"/>
      <c r="R72" s="121"/>
    </row>
    <row r="73" spans="1:19" s="791" customFormat="1" ht="22.5" customHeight="1" x14ac:dyDescent="0.3">
      <c r="A73" s="588">
        <v>93</v>
      </c>
      <c r="B73" s="770">
        <v>13</v>
      </c>
      <c r="C73" s="771"/>
      <c r="D73" s="798" t="s">
        <v>30</v>
      </c>
      <c r="E73" s="860"/>
      <c r="F73" s="116">
        <v>743638</v>
      </c>
      <c r="G73" s="116">
        <v>689496</v>
      </c>
      <c r="H73" s="774">
        <v>803904</v>
      </c>
      <c r="I73" s="775"/>
      <c r="J73" s="116"/>
      <c r="K73" s="116"/>
      <c r="L73" s="116"/>
      <c r="M73" s="116"/>
      <c r="N73" s="116"/>
      <c r="O73" s="116"/>
      <c r="P73" s="116"/>
      <c r="Q73" s="116"/>
      <c r="R73" s="121"/>
    </row>
    <row r="74" spans="1:19" s="799" customFormat="1" ht="18" customHeight="1" x14ac:dyDescent="0.3">
      <c r="A74" s="588">
        <v>94</v>
      </c>
      <c r="B74" s="776"/>
      <c r="C74" s="777"/>
      <c r="D74" s="778"/>
      <c r="E74" s="779" t="s">
        <v>239</v>
      </c>
      <c r="F74" s="780"/>
      <c r="G74" s="780"/>
      <c r="H74" s="781"/>
      <c r="I74" s="782">
        <f>SUM(J74:Q74)</f>
        <v>567474</v>
      </c>
      <c r="J74" s="780">
        <v>136895</v>
      </c>
      <c r="K74" s="780"/>
      <c r="L74" s="780"/>
      <c r="M74" s="780"/>
      <c r="N74" s="780"/>
      <c r="O74" s="780"/>
      <c r="P74" s="780">
        <v>18730</v>
      </c>
      <c r="Q74" s="780">
        <v>411849</v>
      </c>
      <c r="R74" s="783">
        <v>159352</v>
      </c>
    </row>
    <row r="75" spans="1:19" s="799" customFormat="1" ht="18" customHeight="1" x14ac:dyDescent="0.3">
      <c r="A75" s="588">
        <v>95</v>
      </c>
      <c r="B75" s="776"/>
      <c r="C75" s="777"/>
      <c r="D75" s="778"/>
      <c r="E75" s="119" t="s">
        <v>702</v>
      </c>
      <c r="F75" s="780"/>
      <c r="G75" s="780"/>
      <c r="H75" s="781"/>
      <c r="I75" s="786">
        <f>SUM(J75:Q75)</f>
        <v>606482</v>
      </c>
      <c r="J75" s="120">
        <v>141924</v>
      </c>
      <c r="K75" s="120"/>
      <c r="L75" s="120"/>
      <c r="M75" s="120"/>
      <c r="N75" s="120"/>
      <c r="O75" s="120"/>
      <c r="P75" s="120">
        <v>50499</v>
      </c>
      <c r="Q75" s="120">
        <v>414059</v>
      </c>
      <c r="R75" s="787">
        <v>159352</v>
      </c>
    </row>
    <row r="76" spans="1:19" s="799" customFormat="1" ht="18" customHeight="1" x14ac:dyDescent="0.3">
      <c r="A76" s="588">
        <v>96</v>
      </c>
      <c r="B76" s="776"/>
      <c r="C76" s="777"/>
      <c r="D76" s="778"/>
      <c r="E76" s="275" t="s">
        <v>745</v>
      </c>
      <c r="F76" s="780"/>
      <c r="G76" s="780"/>
      <c r="H76" s="781"/>
      <c r="I76" s="276">
        <f>SUM(J76:Q76)</f>
        <v>331437</v>
      </c>
      <c r="J76" s="276">
        <v>81030</v>
      </c>
      <c r="K76" s="276">
        <v>20</v>
      </c>
      <c r="L76" s="780"/>
      <c r="M76" s="780"/>
      <c r="N76" s="780"/>
      <c r="O76" s="780"/>
      <c r="P76" s="117">
        <v>50499</v>
      </c>
      <c r="Q76" s="117">
        <v>199888</v>
      </c>
      <c r="R76" s="121">
        <v>82863</v>
      </c>
    </row>
    <row r="77" spans="1:19" s="859" customFormat="1" ht="18" customHeight="1" x14ac:dyDescent="0.3">
      <c r="A77" s="588">
        <v>98</v>
      </c>
      <c r="B77" s="770"/>
      <c r="C77" s="771">
        <v>1</v>
      </c>
      <c r="D77" s="788" t="s">
        <v>331</v>
      </c>
      <c r="E77" s="773"/>
      <c r="F77" s="116">
        <v>8944</v>
      </c>
      <c r="G77" s="116"/>
      <c r="H77" s="774"/>
      <c r="I77" s="775"/>
      <c r="J77" s="116"/>
      <c r="K77" s="116"/>
      <c r="L77" s="116"/>
      <c r="M77" s="116"/>
      <c r="N77" s="116"/>
      <c r="O77" s="116"/>
      <c r="P77" s="116"/>
      <c r="Q77" s="116"/>
      <c r="R77" s="121"/>
      <c r="S77" s="760"/>
    </row>
    <row r="78" spans="1:19" s="859" customFormat="1" ht="30" customHeight="1" x14ac:dyDescent="0.3">
      <c r="A78" s="588">
        <v>99</v>
      </c>
      <c r="B78" s="770"/>
      <c r="C78" s="858">
        <v>2</v>
      </c>
      <c r="D78" s="1244" t="s">
        <v>352</v>
      </c>
      <c r="E78" s="1245"/>
      <c r="F78" s="116">
        <v>2350</v>
      </c>
      <c r="G78" s="116"/>
      <c r="H78" s="774"/>
      <c r="I78" s="775"/>
      <c r="J78" s="116"/>
      <c r="K78" s="116"/>
      <c r="L78" s="116"/>
      <c r="M78" s="116"/>
      <c r="N78" s="116"/>
      <c r="O78" s="116"/>
      <c r="P78" s="116"/>
      <c r="Q78" s="116"/>
      <c r="R78" s="121"/>
      <c r="S78" s="760"/>
    </row>
    <row r="79" spans="1:19" s="859" customFormat="1" ht="18" customHeight="1" x14ac:dyDescent="0.3">
      <c r="A79" s="588">
        <v>100</v>
      </c>
      <c r="B79" s="770"/>
      <c r="C79" s="771">
        <v>3</v>
      </c>
      <c r="D79" s="1239" t="s">
        <v>375</v>
      </c>
      <c r="E79" s="1240"/>
      <c r="F79" s="116">
        <v>6250</v>
      </c>
      <c r="G79" s="116"/>
      <c r="H79" s="774"/>
      <c r="I79" s="775"/>
      <c r="J79" s="116"/>
      <c r="K79" s="116"/>
      <c r="L79" s="116"/>
      <c r="M79" s="116"/>
      <c r="N79" s="116"/>
      <c r="O79" s="116"/>
      <c r="P79" s="116"/>
      <c r="Q79" s="116"/>
      <c r="R79" s="121"/>
      <c r="S79" s="760"/>
    </row>
    <row r="80" spans="1:19" s="791" customFormat="1" ht="22.5" customHeight="1" x14ac:dyDescent="0.3">
      <c r="A80" s="588">
        <v>101</v>
      </c>
      <c r="B80" s="770">
        <v>14</v>
      </c>
      <c r="C80" s="771"/>
      <c r="D80" s="798" t="s">
        <v>283</v>
      </c>
      <c r="E80" s="798"/>
      <c r="F80" s="116">
        <v>414902</v>
      </c>
      <c r="G80" s="116">
        <v>265743</v>
      </c>
      <c r="H80" s="774">
        <v>374415</v>
      </c>
      <c r="I80" s="775"/>
      <c r="J80" s="116"/>
      <c r="K80" s="116"/>
      <c r="L80" s="116"/>
      <c r="M80" s="116"/>
      <c r="N80" s="116"/>
      <c r="O80" s="116"/>
      <c r="P80" s="116"/>
      <c r="Q80" s="116"/>
      <c r="R80" s="121"/>
    </row>
    <row r="81" spans="1:19" s="799" customFormat="1" ht="18" customHeight="1" x14ac:dyDescent="0.3">
      <c r="A81" s="588">
        <v>102</v>
      </c>
      <c r="B81" s="776"/>
      <c r="C81" s="777"/>
      <c r="D81" s="778"/>
      <c r="E81" s="779" t="s">
        <v>239</v>
      </c>
      <c r="F81" s="780"/>
      <c r="G81" s="780"/>
      <c r="H81" s="781"/>
      <c r="I81" s="782">
        <f>SUM(J81:Q81)</f>
        <v>417855</v>
      </c>
      <c r="J81" s="780">
        <v>54730</v>
      </c>
      <c r="K81" s="780"/>
      <c r="L81" s="780">
        <v>5000</v>
      </c>
      <c r="M81" s="780">
        <v>4445</v>
      </c>
      <c r="N81" s="780"/>
      <c r="O81" s="780"/>
      <c r="P81" s="780">
        <v>40974</v>
      </c>
      <c r="Q81" s="780">
        <v>312706</v>
      </c>
      <c r="R81" s="783">
        <v>79619</v>
      </c>
    </row>
    <row r="82" spans="1:19" s="799" customFormat="1" ht="18" customHeight="1" x14ac:dyDescent="0.3">
      <c r="A82" s="588">
        <v>103</v>
      </c>
      <c r="B82" s="776"/>
      <c r="C82" s="777"/>
      <c r="D82" s="778"/>
      <c r="E82" s="119" t="s">
        <v>702</v>
      </c>
      <c r="F82" s="780"/>
      <c r="G82" s="780"/>
      <c r="H82" s="781"/>
      <c r="I82" s="786">
        <f>SUM(J82:Q82)</f>
        <v>437024</v>
      </c>
      <c r="J82" s="120">
        <v>55675</v>
      </c>
      <c r="K82" s="120"/>
      <c r="L82" s="120">
        <v>500</v>
      </c>
      <c r="M82" s="120">
        <v>3500</v>
      </c>
      <c r="N82" s="120"/>
      <c r="O82" s="120">
        <v>5000</v>
      </c>
      <c r="P82" s="120">
        <v>49068</v>
      </c>
      <c r="Q82" s="120">
        <v>323281</v>
      </c>
      <c r="R82" s="787">
        <v>79619</v>
      </c>
    </row>
    <row r="83" spans="1:19" s="799" customFormat="1" ht="18" customHeight="1" x14ac:dyDescent="0.3">
      <c r="A83" s="588">
        <v>104</v>
      </c>
      <c r="B83" s="776"/>
      <c r="C83" s="777"/>
      <c r="D83" s="778"/>
      <c r="E83" s="275" t="s">
        <v>745</v>
      </c>
      <c r="F83" s="780"/>
      <c r="G83" s="780"/>
      <c r="H83" s="781"/>
      <c r="I83" s="276">
        <f>SUM(J83:Q83)</f>
        <v>282892</v>
      </c>
      <c r="J83" s="276">
        <v>47241</v>
      </c>
      <c r="K83" s="780"/>
      <c r="L83" s="276">
        <v>500</v>
      </c>
      <c r="M83" s="276">
        <v>3500</v>
      </c>
      <c r="N83" s="780"/>
      <c r="O83" s="276">
        <v>5000</v>
      </c>
      <c r="P83" s="117">
        <v>49068</v>
      </c>
      <c r="Q83" s="117">
        <v>177583</v>
      </c>
      <c r="R83" s="121">
        <v>18097</v>
      </c>
    </row>
    <row r="84" spans="1:19" s="789" customFormat="1" ht="22.5" customHeight="1" x14ac:dyDescent="0.3">
      <c r="A84" s="588">
        <v>107</v>
      </c>
      <c r="B84" s="770">
        <v>15</v>
      </c>
      <c r="C84" s="771"/>
      <c r="D84" s="798" t="s">
        <v>114</v>
      </c>
      <c r="E84" s="860"/>
      <c r="F84" s="116">
        <v>1371608</v>
      </c>
      <c r="G84" s="116">
        <v>950477</v>
      </c>
      <c r="H84" s="774">
        <v>1311456</v>
      </c>
      <c r="I84" s="775"/>
      <c r="J84" s="116"/>
      <c r="K84" s="116"/>
      <c r="L84" s="116"/>
      <c r="M84" s="116"/>
      <c r="N84" s="116"/>
      <c r="O84" s="116"/>
      <c r="P84" s="116"/>
      <c r="Q84" s="116"/>
      <c r="R84" s="121"/>
    </row>
    <row r="85" spans="1:19" s="790" customFormat="1" ht="18" customHeight="1" x14ac:dyDescent="0.3">
      <c r="A85" s="588">
        <v>108</v>
      </c>
      <c r="B85" s="776"/>
      <c r="C85" s="831"/>
      <c r="D85" s="777"/>
      <c r="E85" s="832" t="s">
        <v>239</v>
      </c>
      <c r="F85" s="814"/>
      <c r="G85" s="814"/>
      <c r="H85" s="833"/>
      <c r="I85" s="813">
        <f>SUM(J85:Q85)</f>
        <v>1005749</v>
      </c>
      <c r="J85" s="814">
        <v>277000</v>
      </c>
      <c r="K85" s="814">
        <v>10000</v>
      </c>
      <c r="L85" s="814"/>
      <c r="M85" s="814"/>
      <c r="N85" s="814"/>
      <c r="O85" s="814"/>
      <c r="P85" s="814">
        <v>64720</v>
      </c>
      <c r="Q85" s="814">
        <v>654029</v>
      </c>
      <c r="R85" s="834">
        <v>436728</v>
      </c>
    </row>
    <row r="86" spans="1:19" s="790" customFormat="1" ht="18" customHeight="1" x14ac:dyDescent="0.3">
      <c r="A86" s="588">
        <v>109</v>
      </c>
      <c r="B86" s="776"/>
      <c r="C86" s="830"/>
      <c r="D86" s="777"/>
      <c r="E86" s="119" t="s">
        <v>702</v>
      </c>
      <c r="F86" s="814"/>
      <c r="G86" s="814"/>
      <c r="H86" s="833"/>
      <c r="I86" s="836">
        <f>SUM(J86:Q86)</f>
        <v>1077172</v>
      </c>
      <c r="J86" s="282">
        <v>277000</v>
      </c>
      <c r="K86" s="282">
        <v>10000</v>
      </c>
      <c r="L86" s="282"/>
      <c r="M86" s="282"/>
      <c r="N86" s="282"/>
      <c r="O86" s="282"/>
      <c r="P86" s="282">
        <v>117259</v>
      </c>
      <c r="Q86" s="282">
        <v>672913</v>
      </c>
      <c r="R86" s="861">
        <v>436728</v>
      </c>
    </row>
    <row r="87" spans="1:19" s="790" customFormat="1" ht="18" customHeight="1" thickBot="1" x14ac:dyDescent="0.35">
      <c r="A87" s="588">
        <v>110</v>
      </c>
      <c r="B87" s="776"/>
      <c r="C87" s="862"/>
      <c r="D87" s="777"/>
      <c r="E87" s="275" t="s">
        <v>745</v>
      </c>
      <c r="F87" s="780"/>
      <c r="G87" s="780"/>
      <c r="H87" s="781"/>
      <c r="I87" s="276">
        <f>SUM(J87:Q87)</f>
        <v>684506</v>
      </c>
      <c r="J87" s="276">
        <v>111052</v>
      </c>
      <c r="K87" s="276">
        <v>0</v>
      </c>
      <c r="L87" s="276">
        <v>4075</v>
      </c>
      <c r="M87" s="780"/>
      <c r="N87" s="780"/>
      <c r="O87" s="780"/>
      <c r="P87" s="117">
        <v>117259</v>
      </c>
      <c r="Q87" s="117">
        <v>452120</v>
      </c>
      <c r="R87" s="121">
        <v>83643</v>
      </c>
    </row>
    <row r="88" spans="1:19" s="789" customFormat="1" ht="22.5" customHeight="1" thickTop="1" x14ac:dyDescent="0.3">
      <c r="A88" s="588">
        <v>113</v>
      </c>
      <c r="B88" s="792"/>
      <c r="C88" s="1236" t="s">
        <v>304</v>
      </c>
      <c r="D88" s="1237"/>
      <c r="E88" s="1238"/>
      <c r="F88" s="839">
        <f>SUM(F59:F85)</f>
        <v>4610419</v>
      </c>
      <c r="G88" s="839">
        <f>SUM(G59:G85)</f>
        <v>3274331</v>
      </c>
      <c r="H88" s="840">
        <f>SUM(H59:H85)</f>
        <v>4187702</v>
      </c>
      <c r="I88" s="841"/>
      <c r="J88" s="839"/>
      <c r="K88" s="839"/>
      <c r="L88" s="839"/>
      <c r="M88" s="839"/>
      <c r="N88" s="839"/>
      <c r="O88" s="839"/>
      <c r="P88" s="839"/>
      <c r="Q88" s="839"/>
      <c r="R88" s="842"/>
    </row>
    <row r="89" spans="1:19" s="790" customFormat="1" ht="18" customHeight="1" x14ac:dyDescent="0.3">
      <c r="A89" s="588">
        <v>114</v>
      </c>
      <c r="B89" s="776"/>
      <c r="C89" s="831"/>
      <c r="D89" s="835"/>
      <c r="E89" s="863" t="s">
        <v>239</v>
      </c>
      <c r="F89" s="814"/>
      <c r="G89" s="814"/>
      <c r="H89" s="833"/>
      <c r="I89" s="813">
        <f t="shared" ref="I89:R89" si="8">SUM(I60,I65,I69,I74,I81,I85)</f>
        <v>3425605</v>
      </c>
      <c r="J89" s="814">
        <f t="shared" si="8"/>
        <v>606509</v>
      </c>
      <c r="K89" s="814">
        <f t="shared" si="8"/>
        <v>10000</v>
      </c>
      <c r="L89" s="814">
        <f t="shared" si="8"/>
        <v>5000</v>
      </c>
      <c r="M89" s="814">
        <f t="shared" si="8"/>
        <v>4445</v>
      </c>
      <c r="N89" s="814">
        <f t="shared" si="8"/>
        <v>0</v>
      </c>
      <c r="O89" s="814">
        <f t="shared" si="8"/>
        <v>0</v>
      </c>
      <c r="P89" s="814">
        <f t="shared" si="8"/>
        <v>180963</v>
      </c>
      <c r="Q89" s="814">
        <f t="shared" si="8"/>
        <v>2618688</v>
      </c>
      <c r="R89" s="815">
        <f t="shared" si="8"/>
        <v>1135399</v>
      </c>
    </row>
    <row r="90" spans="1:19" s="790" customFormat="1" ht="18" customHeight="1" x14ac:dyDescent="0.3">
      <c r="A90" s="588">
        <v>115</v>
      </c>
      <c r="B90" s="843"/>
      <c r="C90" s="831"/>
      <c r="D90" s="835"/>
      <c r="E90" s="119" t="s">
        <v>702</v>
      </c>
      <c r="F90" s="814"/>
      <c r="G90" s="814"/>
      <c r="H90" s="833"/>
      <c r="I90" s="836">
        <f t="shared" ref="I90:R90" si="9">SUM(I61,I66,I70,I75,I82,I86)</f>
        <v>3790338</v>
      </c>
      <c r="J90" s="282">
        <f t="shared" si="9"/>
        <v>612483</v>
      </c>
      <c r="K90" s="282">
        <f t="shared" si="9"/>
        <v>10000</v>
      </c>
      <c r="L90" s="282">
        <f t="shared" si="9"/>
        <v>1317</v>
      </c>
      <c r="M90" s="282">
        <f t="shared" si="9"/>
        <v>3500</v>
      </c>
      <c r="N90" s="282">
        <f t="shared" si="9"/>
        <v>0</v>
      </c>
      <c r="O90" s="282">
        <f t="shared" si="9"/>
        <v>5000</v>
      </c>
      <c r="P90" s="282">
        <f t="shared" si="9"/>
        <v>483772</v>
      </c>
      <c r="Q90" s="282">
        <f t="shared" si="9"/>
        <v>2674266</v>
      </c>
      <c r="R90" s="864">
        <f t="shared" si="9"/>
        <v>1135399</v>
      </c>
    </row>
    <row r="91" spans="1:19" s="790" customFormat="1" ht="18" customHeight="1" thickBot="1" x14ac:dyDescent="0.35">
      <c r="A91" s="588">
        <v>116</v>
      </c>
      <c r="B91" s="843"/>
      <c r="C91" s="849"/>
      <c r="D91" s="850"/>
      <c r="E91" s="462" t="s">
        <v>745</v>
      </c>
      <c r="F91" s="851"/>
      <c r="G91" s="851"/>
      <c r="H91" s="852"/>
      <c r="I91" s="853">
        <f>SUM(J91:Q91)</f>
        <v>2165657</v>
      </c>
      <c r="J91" s="480">
        <f>J87+J83+J76+J71+J67+J62</f>
        <v>349828</v>
      </c>
      <c r="K91" s="480">
        <f t="shared" ref="K91:R91" si="10">K87+K83+K76+K71+K67+K62</f>
        <v>20</v>
      </c>
      <c r="L91" s="480">
        <f t="shared" si="10"/>
        <v>5392</v>
      </c>
      <c r="M91" s="480">
        <f t="shared" si="10"/>
        <v>3500</v>
      </c>
      <c r="N91" s="480">
        <f t="shared" si="10"/>
        <v>0</v>
      </c>
      <c r="O91" s="480">
        <f t="shared" si="10"/>
        <v>5000</v>
      </c>
      <c r="P91" s="480">
        <f t="shared" si="10"/>
        <v>483772</v>
      </c>
      <c r="Q91" s="480">
        <f t="shared" si="10"/>
        <v>1318145</v>
      </c>
      <c r="R91" s="854">
        <f t="shared" si="10"/>
        <v>423647</v>
      </c>
    </row>
    <row r="92" spans="1:19" ht="22.5" customHeight="1" thickTop="1" x14ac:dyDescent="0.3">
      <c r="A92" s="588">
        <v>118</v>
      </c>
      <c r="B92" s="763">
        <v>16</v>
      </c>
      <c r="C92" s="764"/>
      <c r="D92" s="855" t="s">
        <v>215</v>
      </c>
      <c r="E92" s="855"/>
      <c r="F92" s="767">
        <v>1728283</v>
      </c>
      <c r="G92" s="767">
        <v>1824602</v>
      </c>
      <c r="H92" s="768">
        <v>2255867</v>
      </c>
      <c r="I92" s="769"/>
      <c r="J92" s="767"/>
      <c r="K92" s="767"/>
      <c r="L92" s="767"/>
      <c r="M92" s="767"/>
      <c r="N92" s="767"/>
      <c r="O92" s="767"/>
      <c r="P92" s="767"/>
      <c r="Q92" s="767"/>
      <c r="R92" s="578"/>
      <c r="S92" s="760"/>
    </row>
    <row r="93" spans="1:19" s="867" customFormat="1" ht="18" customHeight="1" x14ac:dyDescent="0.3">
      <c r="A93" s="588">
        <v>119</v>
      </c>
      <c r="B93" s="865"/>
      <c r="C93" s="831"/>
      <c r="D93" s="835"/>
      <c r="E93" s="779" t="s">
        <v>239</v>
      </c>
      <c r="F93" s="814"/>
      <c r="G93" s="814"/>
      <c r="H93" s="833"/>
      <c r="I93" s="813">
        <f>SUM(J93:Q93)</f>
        <v>1911546</v>
      </c>
      <c r="J93" s="814">
        <v>493620</v>
      </c>
      <c r="K93" s="814"/>
      <c r="L93" s="814"/>
      <c r="M93" s="814"/>
      <c r="N93" s="814"/>
      <c r="O93" s="814"/>
      <c r="P93" s="814">
        <v>307153</v>
      </c>
      <c r="Q93" s="814">
        <v>1110773</v>
      </c>
      <c r="R93" s="834">
        <v>600651</v>
      </c>
      <c r="S93" s="866"/>
    </row>
    <row r="94" spans="1:19" s="867" customFormat="1" ht="18" customHeight="1" x14ac:dyDescent="0.3">
      <c r="A94" s="588">
        <v>120</v>
      </c>
      <c r="B94" s="868"/>
      <c r="C94" s="831"/>
      <c r="D94" s="835"/>
      <c r="E94" s="119" t="s">
        <v>702</v>
      </c>
      <c r="F94" s="814"/>
      <c r="G94" s="814"/>
      <c r="H94" s="833"/>
      <c r="I94" s="836">
        <f>SUM(J94:Q94)</f>
        <v>2125636</v>
      </c>
      <c r="J94" s="282">
        <v>493620</v>
      </c>
      <c r="K94" s="282"/>
      <c r="L94" s="282"/>
      <c r="M94" s="282"/>
      <c r="N94" s="282"/>
      <c r="O94" s="282"/>
      <c r="P94" s="282">
        <v>521243</v>
      </c>
      <c r="Q94" s="282">
        <v>1110773</v>
      </c>
      <c r="R94" s="861">
        <v>600651</v>
      </c>
      <c r="S94" s="866"/>
    </row>
    <row r="95" spans="1:19" s="867" customFormat="1" ht="18" customHeight="1" thickBot="1" x14ac:dyDescent="0.35">
      <c r="A95" s="588">
        <v>121</v>
      </c>
      <c r="B95" s="869"/>
      <c r="C95" s="777"/>
      <c r="D95" s="777"/>
      <c r="E95" s="275" t="s">
        <v>745</v>
      </c>
      <c r="F95" s="780"/>
      <c r="G95" s="780"/>
      <c r="H95" s="781"/>
      <c r="I95" s="276">
        <f>SUM(J95:Q95)</f>
        <v>1151902</v>
      </c>
      <c r="J95" s="276">
        <v>340047</v>
      </c>
      <c r="K95" s="780"/>
      <c r="L95" s="780"/>
      <c r="M95" s="780"/>
      <c r="N95" s="780"/>
      <c r="O95" s="780"/>
      <c r="P95" s="117">
        <v>521243</v>
      </c>
      <c r="Q95" s="117">
        <v>290612</v>
      </c>
      <c r="R95" s="121">
        <v>312338</v>
      </c>
      <c r="S95" s="866"/>
    </row>
    <row r="96" spans="1:19" s="875" customFormat="1" ht="30" customHeight="1" x14ac:dyDescent="0.3">
      <c r="A96" s="588">
        <v>123</v>
      </c>
      <c r="B96" s="1246" t="s">
        <v>115</v>
      </c>
      <c r="C96" s="1247"/>
      <c r="D96" s="1247"/>
      <c r="E96" s="1248"/>
      <c r="F96" s="870">
        <f>SUM(F92,F88,F55,F39)</f>
        <v>11476755</v>
      </c>
      <c r="G96" s="870">
        <f>SUM(G92,G88,G55,G39)</f>
        <v>10526892</v>
      </c>
      <c r="H96" s="871">
        <f>SUM(H92,H88,H55,H39)</f>
        <v>12519607</v>
      </c>
      <c r="I96" s="872"/>
      <c r="J96" s="873"/>
      <c r="K96" s="873"/>
      <c r="L96" s="873"/>
      <c r="M96" s="873"/>
      <c r="N96" s="873"/>
      <c r="O96" s="873"/>
      <c r="P96" s="873"/>
      <c r="Q96" s="873"/>
      <c r="R96" s="874"/>
      <c r="S96" s="857"/>
    </row>
    <row r="97" spans="1:19" s="867" customFormat="1" ht="18" customHeight="1" x14ac:dyDescent="0.3">
      <c r="A97" s="588">
        <v>124</v>
      </c>
      <c r="B97" s="865"/>
      <c r="C97" s="831"/>
      <c r="D97" s="835"/>
      <c r="E97" s="863" t="s">
        <v>239</v>
      </c>
      <c r="F97" s="814"/>
      <c r="G97" s="814"/>
      <c r="H97" s="833"/>
      <c r="I97" s="813">
        <f t="shared" ref="I97:R97" si="11">SUM(I93,I89,I56,I40)</f>
        <v>11340349</v>
      </c>
      <c r="J97" s="814">
        <f t="shared" si="11"/>
        <v>1232860</v>
      </c>
      <c r="K97" s="814">
        <f t="shared" si="11"/>
        <v>11945</v>
      </c>
      <c r="L97" s="814">
        <f t="shared" si="11"/>
        <v>5000</v>
      </c>
      <c r="M97" s="814">
        <f t="shared" si="11"/>
        <v>4445</v>
      </c>
      <c r="N97" s="814">
        <f t="shared" si="11"/>
        <v>0</v>
      </c>
      <c r="O97" s="814">
        <f t="shared" si="11"/>
        <v>0</v>
      </c>
      <c r="P97" s="814">
        <f t="shared" si="11"/>
        <v>694175</v>
      </c>
      <c r="Q97" s="814">
        <f t="shared" si="11"/>
        <v>9391924</v>
      </c>
      <c r="R97" s="834">
        <f t="shared" si="11"/>
        <v>5957728</v>
      </c>
      <c r="S97" s="866"/>
    </row>
    <row r="98" spans="1:19" s="867" customFormat="1" ht="18" customHeight="1" x14ac:dyDescent="0.3">
      <c r="A98" s="588">
        <v>125</v>
      </c>
      <c r="B98" s="865"/>
      <c r="C98" s="831"/>
      <c r="D98" s="835"/>
      <c r="E98" s="119" t="s">
        <v>702</v>
      </c>
      <c r="F98" s="814"/>
      <c r="G98" s="814"/>
      <c r="H98" s="833"/>
      <c r="I98" s="836">
        <f t="shared" ref="I98:R98" si="12">SUM(I94,I90,I57,I41)</f>
        <v>12270872</v>
      </c>
      <c r="J98" s="282">
        <f t="shared" si="12"/>
        <v>1247264</v>
      </c>
      <c r="K98" s="282">
        <f t="shared" si="12"/>
        <v>28536</v>
      </c>
      <c r="L98" s="282">
        <f t="shared" si="12"/>
        <v>1317</v>
      </c>
      <c r="M98" s="282">
        <f t="shared" si="12"/>
        <v>3500</v>
      </c>
      <c r="N98" s="282">
        <f t="shared" si="12"/>
        <v>0</v>
      </c>
      <c r="O98" s="282">
        <f t="shared" si="12"/>
        <v>5000</v>
      </c>
      <c r="P98" s="282">
        <f t="shared" si="12"/>
        <v>1387963</v>
      </c>
      <c r="Q98" s="282">
        <f t="shared" si="12"/>
        <v>9597292</v>
      </c>
      <c r="R98" s="864">
        <f t="shared" si="12"/>
        <v>6047267</v>
      </c>
      <c r="S98" s="866"/>
    </row>
    <row r="99" spans="1:19" s="867" customFormat="1" ht="18" customHeight="1" thickBot="1" x14ac:dyDescent="0.35">
      <c r="A99" s="588">
        <v>126</v>
      </c>
      <c r="B99" s="776"/>
      <c r="C99" s="777"/>
      <c r="D99" s="778"/>
      <c r="E99" s="275" t="s">
        <v>745</v>
      </c>
      <c r="F99" s="780"/>
      <c r="G99" s="780"/>
      <c r="H99" s="781"/>
      <c r="I99" s="276">
        <f>SUM(J99:Q99)</f>
        <v>6646783</v>
      </c>
      <c r="J99" s="117">
        <f>J95+J91+J58+J42</f>
        <v>774625</v>
      </c>
      <c r="K99" s="117">
        <f t="shared" ref="K99:R99" si="13">K95+K91+K58+K42</f>
        <v>23395</v>
      </c>
      <c r="L99" s="117">
        <f t="shared" si="13"/>
        <v>5392</v>
      </c>
      <c r="M99" s="117">
        <f t="shared" si="13"/>
        <v>3500</v>
      </c>
      <c r="N99" s="117">
        <f t="shared" si="13"/>
        <v>0</v>
      </c>
      <c r="O99" s="117">
        <f t="shared" si="13"/>
        <v>5000</v>
      </c>
      <c r="P99" s="117">
        <f t="shared" si="13"/>
        <v>1387963</v>
      </c>
      <c r="Q99" s="117">
        <f t="shared" si="13"/>
        <v>4446908</v>
      </c>
      <c r="R99" s="121">
        <f t="shared" si="13"/>
        <v>2968760</v>
      </c>
      <c r="S99" s="866"/>
    </row>
    <row r="100" spans="1:19" ht="30" customHeight="1" x14ac:dyDescent="0.3">
      <c r="A100" s="588">
        <v>128</v>
      </c>
      <c r="B100" s="876">
        <v>17</v>
      </c>
      <c r="C100" s="877"/>
      <c r="D100" s="1249" t="s">
        <v>116</v>
      </c>
      <c r="E100" s="1250"/>
      <c r="F100" s="878">
        <v>2865198</v>
      </c>
      <c r="G100" s="878">
        <v>2584822</v>
      </c>
      <c r="H100" s="879">
        <v>3446739</v>
      </c>
      <c r="I100" s="880"/>
      <c r="J100" s="881"/>
      <c r="K100" s="881"/>
      <c r="L100" s="873"/>
      <c r="M100" s="873"/>
      <c r="N100" s="873"/>
      <c r="O100" s="873"/>
      <c r="P100" s="873"/>
      <c r="Q100" s="873"/>
      <c r="R100" s="874"/>
      <c r="S100" s="760"/>
    </row>
    <row r="101" spans="1:19" s="867" customFormat="1" ht="18" customHeight="1" x14ac:dyDescent="0.3">
      <c r="A101" s="588">
        <v>129</v>
      </c>
      <c r="B101" s="776"/>
      <c r="C101" s="777"/>
      <c r="D101" s="777"/>
      <c r="E101" s="779" t="s">
        <v>239</v>
      </c>
      <c r="F101" s="780"/>
      <c r="G101" s="780"/>
      <c r="H101" s="781"/>
      <c r="I101" s="782">
        <f>SUM(J101:Q101)</f>
        <v>2856633</v>
      </c>
      <c r="J101" s="780">
        <v>8000</v>
      </c>
      <c r="K101" s="780">
        <v>3569</v>
      </c>
      <c r="L101" s="780"/>
      <c r="M101" s="780"/>
      <c r="N101" s="780"/>
      <c r="O101" s="780"/>
      <c r="P101" s="780">
        <v>166375</v>
      </c>
      <c r="Q101" s="780">
        <v>2678689</v>
      </c>
      <c r="R101" s="783">
        <v>913168</v>
      </c>
      <c r="S101" s="866"/>
    </row>
    <row r="102" spans="1:19" s="867" customFormat="1" ht="18" customHeight="1" x14ac:dyDescent="0.3">
      <c r="A102" s="588">
        <v>130</v>
      </c>
      <c r="B102" s="843"/>
      <c r="C102" s="817"/>
      <c r="D102" s="817"/>
      <c r="E102" s="119" t="s">
        <v>702</v>
      </c>
      <c r="F102" s="803"/>
      <c r="G102" s="803"/>
      <c r="H102" s="804"/>
      <c r="I102" s="786">
        <f>SUM(J102:Q102)</f>
        <v>3760175</v>
      </c>
      <c r="J102" s="805">
        <v>8000</v>
      </c>
      <c r="K102" s="805">
        <v>3569</v>
      </c>
      <c r="L102" s="805"/>
      <c r="M102" s="805"/>
      <c r="N102" s="805"/>
      <c r="O102" s="805"/>
      <c r="P102" s="805">
        <v>1026998</v>
      </c>
      <c r="Q102" s="805">
        <v>2721608</v>
      </c>
      <c r="R102" s="577">
        <v>953422</v>
      </c>
      <c r="S102" s="866"/>
    </row>
    <row r="103" spans="1:19" s="867" customFormat="1" ht="18" customHeight="1" thickBot="1" x14ac:dyDescent="0.35">
      <c r="A103" s="588">
        <v>131</v>
      </c>
      <c r="B103" s="843"/>
      <c r="C103" s="817"/>
      <c r="D103" s="817"/>
      <c r="E103" s="275" t="s">
        <v>745</v>
      </c>
      <c r="F103" s="803"/>
      <c r="G103" s="803"/>
      <c r="H103" s="804"/>
      <c r="I103" s="276">
        <f>SUM(J103:Q103)</f>
        <v>1443869</v>
      </c>
      <c r="J103" s="806">
        <v>6780</v>
      </c>
      <c r="K103" s="806">
        <v>3569</v>
      </c>
      <c r="L103" s="806"/>
      <c r="M103" s="806">
        <v>3405</v>
      </c>
      <c r="N103" s="806"/>
      <c r="O103" s="806"/>
      <c r="P103" s="806">
        <v>1026998</v>
      </c>
      <c r="Q103" s="806">
        <v>403117</v>
      </c>
      <c r="R103" s="578">
        <v>495780</v>
      </c>
      <c r="S103" s="866"/>
    </row>
    <row r="104" spans="1:19" s="875" customFormat="1" ht="30" customHeight="1" x14ac:dyDescent="0.3">
      <c r="A104" s="588">
        <v>135</v>
      </c>
      <c r="B104" s="1241" t="s">
        <v>13</v>
      </c>
      <c r="C104" s="1242"/>
      <c r="D104" s="1242"/>
      <c r="E104" s="1243"/>
      <c r="F104" s="870">
        <f>SUM(F96:F101)</f>
        <v>14341953</v>
      </c>
      <c r="G104" s="870">
        <f>SUM(G96:G101)</f>
        <v>13111714</v>
      </c>
      <c r="H104" s="871">
        <f>SUM(H96:H101)</f>
        <v>15966346</v>
      </c>
      <c r="I104" s="882"/>
      <c r="J104" s="870"/>
      <c r="K104" s="870"/>
      <c r="L104" s="870"/>
      <c r="M104" s="870"/>
      <c r="N104" s="870"/>
      <c r="O104" s="870"/>
      <c r="P104" s="870"/>
      <c r="Q104" s="870"/>
      <c r="R104" s="883"/>
      <c r="S104" s="857"/>
    </row>
    <row r="105" spans="1:19" s="867" customFormat="1" ht="18" customHeight="1" x14ac:dyDescent="0.3">
      <c r="A105" s="588">
        <v>136</v>
      </c>
      <c r="B105" s="865"/>
      <c r="C105" s="831"/>
      <c r="D105" s="831"/>
      <c r="E105" s="884" t="s">
        <v>239</v>
      </c>
      <c r="F105" s="814"/>
      <c r="G105" s="814"/>
      <c r="H105" s="833"/>
      <c r="I105" s="813">
        <f t="shared" ref="I105:R105" si="14">SUM(I97,I101)</f>
        <v>14196982</v>
      </c>
      <c r="J105" s="814">
        <f t="shared" si="14"/>
        <v>1240860</v>
      </c>
      <c r="K105" s="814">
        <f t="shared" si="14"/>
        <v>15514</v>
      </c>
      <c r="L105" s="814">
        <f t="shared" si="14"/>
        <v>5000</v>
      </c>
      <c r="M105" s="814">
        <f t="shared" si="14"/>
        <v>4445</v>
      </c>
      <c r="N105" s="814">
        <f t="shared" si="14"/>
        <v>0</v>
      </c>
      <c r="O105" s="814">
        <f t="shared" si="14"/>
        <v>0</v>
      </c>
      <c r="P105" s="814">
        <f t="shared" si="14"/>
        <v>860550</v>
      </c>
      <c r="Q105" s="814">
        <f t="shared" si="14"/>
        <v>12070613</v>
      </c>
      <c r="R105" s="834">
        <f t="shared" si="14"/>
        <v>6870896</v>
      </c>
      <c r="S105" s="866"/>
    </row>
    <row r="106" spans="1:19" s="867" customFormat="1" ht="18" customHeight="1" x14ac:dyDescent="0.3">
      <c r="A106" s="588">
        <v>137</v>
      </c>
      <c r="B106" s="865"/>
      <c r="C106" s="831"/>
      <c r="D106" s="831"/>
      <c r="E106" s="119" t="s">
        <v>702</v>
      </c>
      <c r="F106" s="814"/>
      <c r="G106" s="814"/>
      <c r="H106" s="833"/>
      <c r="I106" s="836">
        <f t="shared" ref="I106:R106" si="15">SUM(I98,I102)</f>
        <v>16031047</v>
      </c>
      <c r="J106" s="282">
        <f t="shared" si="15"/>
        <v>1255264</v>
      </c>
      <c r="K106" s="282">
        <f t="shared" si="15"/>
        <v>32105</v>
      </c>
      <c r="L106" s="282">
        <f t="shared" si="15"/>
        <v>1317</v>
      </c>
      <c r="M106" s="282">
        <f t="shared" si="15"/>
        <v>3500</v>
      </c>
      <c r="N106" s="282">
        <f t="shared" si="15"/>
        <v>0</v>
      </c>
      <c r="O106" s="282">
        <f t="shared" si="15"/>
        <v>5000</v>
      </c>
      <c r="P106" s="282">
        <f t="shared" si="15"/>
        <v>2414961</v>
      </c>
      <c r="Q106" s="282">
        <f t="shared" si="15"/>
        <v>12318900</v>
      </c>
      <c r="R106" s="864">
        <f t="shared" si="15"/>
        <v>7000689</v>
      </c>
      <c r="S106" s="866"/>
    </row>
    <row r="107" spans="1:19" ht="18" customHeight="1" thickBot="1" x14ac:dyDescent="0.35">
      <c r="A107" s="588">
        <v>138</v>
      </c>
      <c r="B107" s="885"/>
      <c r="C107" s="886"/>
      <c r="D107" s="886"/>
      <c r="E107" s="445" t="s">
        <v>745</v>
      </c>
      <c r="F107" s="887"/>
      <c r="G107" s="887"/>
      <c r="H107" s="888"/>
      <c r="I107" s="889">
        <f>SUM(J107:Q107)</f>
        <v>8090652</v>
      </c>
      <c r="J107" s="889">
        <f>J103+J99</f>
        <v>781405</v>
      </c>
      <c r="K107" s="889">
        <f t="shared" ref="K107:R107" si="16">K103+K99</f>
        <v>26964</v>
      </c>
      <c r="L107" s="889">
        <f t="shared" si="16"/>
        <v>5392</v>
      </c>
      <c r="M107" s="889">
        <f t="shared" si="16"/>
        <v>6905</v>
      </c>
      <c r="N107" s="889">
        <f t="shared" si="16"/>
        <v>0</v>
      </c>
      <c r="O107" s="889">
        <f t="shared" si="16"/>
        <v>5000</v>
      </c>
      <c r="P107" s="889">
        <f t="shared" si="16"/>
        <v>2414961</v>
      </c>
      <c r="Q107" s="889">
        <f t="shared" si="16"/>
        <v>4850025</v>
      </c>
      <c r="R107" s="890">
        <f t="shared" si="16"/>
        <v>3464540</v>
      </c>
    </row>
  </sheetData>
  <mergeCells count="26">
    <mergeCell ref="Q7:R7"/>
    <mergeCell ref="C39:E39"/>
    <mergeCell ref="B1:E1"/>
    <mergeCell ref="B3:R3"/>
    <mergeCell ref="B4:R4"/>
    <mergeCell ref="D6:E6"/>
    <mergeCell ref="B7:B8"/>
    <mergeCell ref="C7:C8"/>
    <mergeCell ref="D7:E8"/>
    <mergeCell ref="F7:F8"/>
    <mergeCell ref="G7:G8"/>
    <mergeCell ref="H7:H8"/>
    <mergeCell ref="M7:O7"/>
    <mergeCell ref="P7:P8"/>
    <mergeCell ref="I7:I8"/>
    <mergeCell ref="J7:L7"/>
    <mergeCell ref="D43:E43"/>
    <mergeCell ref="C55:E55"/>
    <mergeCell ref="D63:E63"/>
    <mergeCell ref="B104:E104"/>
    <mergeCell ref="D78:E78"/>
    <mergeCell ref="C88:E88"/>
    <mergeCell ref="B96:E96"/>
    <mergeCell ref="D100:E100"/>
    <mergeCell ref="D79:E79"/>
    <mergeCell ref="D72:E72"/>
  </mergeCells>
  <printOptions horizontalCentered="1"/>
  <pageMargins left="0.19685039370078741" right="0.19685039370078741" top="0.59055118110236227" bottom="0.59055118110236227" header="0.51181102362204722" footer="0.31496062992125984"/>
  <pageSetup paperSize="9" scale="64" fitToHeight="0" orientation="landscape" verticalDpi="300"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176"/>
  <sheetViews>
    <sheetView view="pageBreakPreview" topLeftCell="A147" zoomScaleNormal="100" zoomScaleSheetLayoutView="100" workbookViewId="0">
      <selection activeCell="J174" sqref="J174"/>
    </sheetView>
  </sheetViews>
  <sheetFormatPr defaultColWidth="9.28515625" defaultRowHeight="15" x14ac:dyDescent="0.3"/>
  <cols>
    <col min="1" max="1" width="3.7109375" style="588" customWidth="1"/>
    <col min="2" max="2" width="5.5703125" style="892" customWidth="1"/>
    <col min="3" max="3" width="5.7109375" style="892" customWidth="1"/>
    <col min="4" max="4" width="4.7109375" style="892" customWidth="1"/>
    <col min="5" max="5" width="60.7109375" style="582" customWidth="1"/>
    <col min="6" max="6" width="6.7109375" style="581" customWidth="1"/>
    <col min="7" max="7" width="10.7109375" style="584" customWidth="1"/>
    <col min="8" max="9" width="12.28515625" style="584" customWidth="1"/>
    <col min="10" max="10" width="13.7109375" style="893" customWidth="1"/>
    <col min="11" max="18" width="14.7109375" style="584" customWidth="1"/>
    <col min="19" max="19" width="9.5703125" style="584" bestFit="1" customWidth="1"/>
    <col min="20" max="31" width="9.28515625" style="584"/>
    <col min="32" max="16384" width="9.28515625" style="582"/>
  </cols>
  <sheetData>
    <row r="1" spans="1:31" s="29" customFormat="1" ht="18" customHeight="1" x14ac:dyDescent="0.2">
      <c r="A1" s="588"/>
      <c r="B1" s="1255" t="s">
        <v>755</v>
      </c>
      <c r="C1" s="1255"/>
      <c r="D1" s="1255"/>
      <c r="E1" s="1255"/>
      <c r="F1" s="1255"/>
      <c r="G1" s="1255"/>
      <c r="H1" s="624"/>
      <c r="I1" s="624"/>
      <c r="J1" s="684"/>
      <c r="K1" s="624"/>
      <c r="L1" s="624"/>
      <c r="M1" s="624"/>
      <c r="N1" s="624"/>
      <c r="O1" s="624"/>
      <c r="P1" s="624"/>
      <c r="Q1" s="624"/>
      <c r="R1" s="624"/>
      <c r="S1" s="624"/>
      <c r="T1" s="624"/>
      <c r="U1" s="624"/>
      <c r="V1" s="624"/>
      <c r="W1" s="624"/>
      <c r="X1" s="624"/>
      <c r="Y1" s="624"/>
      <c r="Z1" s="624"/>
      <c r="AA1" s="624"/>
      <c r="AB1" s="624"/>
      <c r="AC1" s="624"/>
      <c r="AD1" s="624"/>
      <c r="AE1" s="624"/>
    </row>
    <row r="2" spans="1:31" s="29" customFormat="1" ht="18" customHeight="1" x14ac:dyDescent="0.2">
      <c r="A2" s="588"/>
      <c r="B2" s="756"/>
      <c r="C2" s="756"/>
      <c r="D2" s="756"/>
      <c r="E2" s="756"/>
      <c r="F2" s="756"/>
      <c r="G2" s="756"/>
      <c r="H2" s="624"/>
      <c r="I2" s="624"/>
      <c r="J2" s="684"/>
      <c r="K2" s="624"/>
      <c r="L2" s="624"/>
      <c r="M2" s="624"/>
      <c r="N2" s="624"/>
      <c r="O2" s="624"/>
      <c r="P2" s="624"/>
      <c r="Q2" s="624"/>
      <c r="R2" s="624"/>
      <c r="S2" s="624"/>
      <c r="T2" s="624"/>
      <c r="U2" s="624"/>
      <c r="V2" s="624"/>
      <c r="W2" s="624"/>
      <c r="X2" s="624"/>
      <c r="Y2" s="624"/>
      <c r="Z2" s="624"/>
      <c r="AA2" s="624"/>
      <c r="AB2" s="624"/>
      <c r="AC2" s="624"/>
      <c r="AD2" s="624"/>
      <c r="AE2" s="624"/>
    </row>
    <row r="3" spans="1:31" s="29" customFormat="1" ht="24.75" customHeight="1" x14ac:dyDescent="0.2">
      <c r="A3" s="588"/>
      <c r="B3" s="1256" t="s">
        <v>102</v>
      </c>
      <c r="C3" s="1256"/>
      <c r="D3" s="1256"/>
      <c r="E3" s="1256"/>
      <c r="F3" s="1256"/>
      <c r="G3" s="1256"/>
      <c r="H3" s="1256"/>
      <c r="I3" s="1256"/>
      <c r="J3" s="1256"/>
      <c r="K3" s="1256"/>
      <c r="L3" s="1256"/>
      <c r="M3" s="1256"/>
      <c r="N3" s="1256"/>
      <c r="O3" s="1256"/>
      <c r="P3" s="1256"/>
      <c r="Q3" s="1256"/>
      <c r="R3" s="1256"/>
      <c r="S3" s="624"/>
      <c r="T3" s="624"/>
      <c r="U3" s="624"/>
      <c r="V3" s="624"/>
      <c r="W3" s="624"/>
      <c r="X3" s="624"/>
      <c r="Y3" s="624"/>
      <c r="Z3" s="624"/>
      <c r="AA3" s="624"/>
      <c r="AB3" s="624"/>
      <c r="AC3" s="624"/>
      <c r="AD3" s="624"/>
      <c r="AE3" s="624"/>
    </row>
    <row r="4" spans="1:31" s="29" customFormat="1" ht="24.75" customHeight="1" x14ac:dyDescent="0.2">
      <c r="A4" s="588"/>
      <c r="B4" s="1256" t="s">
        <v>763</v>
      </c>
      <c r="C4" s="1256"/>
      <c r="D4" s="1256"/>
      <c r="E4" s="1256"/>
      <c r="F4" s="1256"/>
      <c r="G4" s="1256"/>
      <c r="H4" s="1256"/>
      <c r="I4" s="1256"/>
      <c r="J4" s="1256"/>
      <c r="K4" s="1256"/>
      <c r="L4" s="1256"/>
      <c r="M4" s="1256"/>
      <c r="N4" s="1256"/>
      <c r="O4" s="1256"/>
      <c r="P4" s="1256"/>
      <c r="Q4" s="1256"/>
      <c r="R4" s="1256"/>
      <c r="S4" s="624"/>
      <c r="T4" s="624"/>
      <c r="U4" s="624"/>
      <c r="V4" s="624"/>
      <c r="W4" s="624"/>
      <c r="X4" s="624"/>
      <c r="Y4" s="624"/>
      <c r="Z4" s="624"/>
      <c r="AA4" s="624"/>
      <c r="AB4" s="624"/>
      <c r="AC4" s="624"/>
      <c r="AD4" s="624"/>
      <c r="AE4" s="624"/>
    </row>
    <row r="5" spans="1:31" ht="18" customHeight="1" x14ac:dyDescent="0.3">
      <c r="Q5" s="1274" t="s">
        <v>0</v>
      </c>
      <c r="R5" s="1274"/>
    </row>
    <row r="6" spans="1:31" s="588" customFormat="1" ht="18" customHeight="1" thickBot="1" x14ac:dyDescent="0.25">
      <c r="B6" s="588" t="s">
        <v>1</v>
      </c>
      <c r="C6" s="588" t="s">
        <v>3</v>
      </c>
      <c r="D6" s="1257" t="s">
        <v>2</v>
      </c>
      <c r="E6" s="1257"/>
      <c r="F6" s="588" t="s">
        <v>4</v>
      </c>
      <c r="G6" s="588" t="s">
        <v>5</v>
      </c>
      <c r="H6" s="588" t="s">
        <v>15</v>
      </c>
      <c r="I6" s="588" t="s">
        <v>16</v>
      </c>
      <c r="J6" s="588" t="s">
        <v>17</v>
      </c>
      <c r="K6" s="588" t="s">
        <v>32</v>
      </c>
      <c r="L6" s="588" t="s">
        <v>28</v>
      </c>
      <c r="M6" s="588" t="s">
        <v>23</v>
      </c>
      <c r="N6" s="588" t="s">
        <v>33</v>
      </c>
      <c r="O6" s="588" t="s">
        <v>34</v>
      </c>
      <c r="P6" s="588" t="s">
        <v>117</v>
      </c>
      <c r="Q6" s="588" t="s">
        <v>118</v>
      </c>
      <c r="R6" s="588" t="s">
        <v>119</v>
      </c>
    </row>
    <row r="7" spans="1:31" s="581" customFormat="1" ht="30" customHeight="1" x14ac:dyDescent="0.3">
      <c r="A7" s="588"/>
      <c r="B7" s="1258" t="s">
        <v>18</v>
      </c>
      <c r="C7" s="1275" t="s">
        <v>19</v>
      </c>
      <c r="D7" s="1262" t="s">
        <v>6</v>
      </c>
      <c r="E7" s="1277"/>
      <c r="F7" s="1279" t="s">
        <v>20</v>
      </c>
      <c r="G7" s="1266" t="s">
        <v>398</v>
      </c>
      <c r="H7" s="1266" t="s">
        <v>494</v>
      </c>
      <c r="I7" s="1268" t="s">
        <v>676</v>
      </c>
      <c r="J7" s="1281" t="s">
        <v>583</v>
      </c>
      <c r="K7" s="1283" t="s">
        <v>35</v>
      </c>
      <c r="L7" s="1284"/>
      <c r="M7" s="1284"/>
      <c r="N7" s="1284"/>
      <c r="O7" s="1285"/>
      <c r="P7" s="1286" t="s">
        <v>120</v>
      </c>
      <c r="Q7" s="1286"/>
      <c r="R7" s="1286"/>
    </row>
    <row r="8" spans="1:31" s="581" customFormat="1" ht="60.75" customHeight="1" thickBot="1" x14ac:dyDescent="0.35">
      <c r="A8" s="588"/>
      <c r="B8" s="1259"/>
      <c r="C8" s="1276"/>
      <c r="D8" s="1264"/>
      <c r="E8" s="1278"/>
      <c r="F8" s="1280"/>
      <c r="G8" s="1267"/>
      <c r="H8" s="1267"/>
      <c r="I8" s="1269"/>
      <c r="J8" s="1282"/>
      <c r="K8" s="761" t="s">
        <v>36</v>
      </c>
      <c r="L8" s="761" t="s">
        <v>37</v>
      </c>
      <c r="M8" s="761" t="s">
        <v>38</v>
      </c>
      <c r="N8" s="761" t="s">
        <v>174</v>
      </c>
      <c r="O8" s="761" t="s">
        <v>39</v>
      </c>
      <c r="P8" s="894" t="s">
        <v>181</v>
      </c>
      <c r="Q8" s="761" t="s">
        <v>182</v>
      </c>
      <c r="R8" s="761" t="s">
        <v>121</v>
      </c>
    </row>
    <row r="9" spans="1:31" ht="22.5" customHeight="1" x14ac:dyDescent="0.3">
      <c r="A9" s="588">
        <v>1</v>
      </c>
      <c r="B9" s="763">
        <v>1</v>
      </c>
      <c r="C9" s="895"/>
      <c r="D9" s="896" t="s">
        <v>242</v>
      </c>
      <c r="E9" s="896"/>
      <c r="F9" s="897" t="s">
        <v>23</v>
      </c>
      <c r="G9" s="767">
        <v>309916</v>
      </c>
      <c r="H9" s="767">
        <v>373089</v>
      </c>
      <c r="I9" s="898">
        <v>378796</v>
      </c>
      <c r="J9" s="899"/>
      <c r="K9" s="767"/>
      <c r="L9" s="767"/>
      <c r="M9" s="767"/>
      <c r="N9" s="767"/>
      <c r="O9" s="767"/>
      <c r="P9" s="767"/>
      <c r="Q9" s="767"/>
      <c r="R9" s="900"/>
    </row>
    <row r="10" spans="1:31" ht="18" customHeight="1" x14ac:dyDescent="0.3">
      <c r="A10" s="588">
        <v>2</v>
      </c>
      <c r="B10" s="770"/>
      <c r="C10" s="901"/>
      <c r="D10" s="902" t="s">
        <v>245</v>
      </c>
      <c r="E10" s="902"/>
      <c r="F10" s="116"/>
      <c r="G10" s="116"/>
      <c r="H10" s="116"/>
      <c r="I10" s="903"/>
      <c r="J10" s="818"/>
      <c r="K10" s="116"/>
      <c r="L10" s="116"/>
      <c r="M10" s="116"/>
      <c r="N10" s="116"/>
      <c r="O10" s="116"/>
      <c r="P10" s="116"/>
      <c r="Q10" s="116"/>
      <c r="R10" s="904"/>
    </row>
    <row r="11" spans="1:31" s="784" customFormat="1" ht="18" customHeight="1" x14ac:dyDescent="0.3">
      <c r="A11" s="588">
        <v>3</v>
      </c>
      <c r="B11" s="776"/>
      <c r="C11" s="905"/>
      <c r="D11" s="905"/>
      <c r="E11" s="779" t="s">
        <v>239</v>
      </c>
      <c r="F11" s="906"/>
      <c r="G11" s="906"/>
      <c r="H11" s="906"/>
      <c r="I11" s="907"/>
      <c r="J11" s="908">
        <f>SUM(K11:R11)</f>
        <v>414088</v>
      </c>
      <c r="K11" s="118">
        <v>279465</v>
      </c>
      <c r="L11" s="118">
        <v>42189</v>
      </c>
      <c r="M11" s="118">
        <v>92434</v>
      </c>
      <c r="N11" s="118"/>
      <c r="O11" s="118"/>
      <c r="P11" s="118"/>
      <c r="Q11" s="118"/>
      <c r="R11" s="909"/>
      <c r="S11" s="910"/>
      <c r="T11" s="910"/>
      <c r="U11" s="910"/>
      <c r="V11" s="910"/>
      <c r="W11" s="910"/>
      <c r="X11" s="910"/>
      <c r="Y11" s="910"/>
      <c r="Z11" s="910"/>
      <c r="AA11" s="910"/>
      <c r="AB11" s="910"/>
      <c r="AC11" s="910"/>
      <c r="AD11" s="910"/>
      <c r="AE11" s="910"/>
    </row>
    <row r="12" spans="1:31" s="784" customFormat="1" ht="18" customHeight="1" x14ac:dyDescent="0.3">
      <c r="A12" s="588">
        <v>4</v>
      </c>
      <c r="B12" s="776"/>
      <c r="C12" s="905"/>
      <c r="D12" s="905"/>
      <c r="E12" s="119" t="s">
        <v>702</v>
      </c>
      <c r="F12" s="906"/>
      <c r="G12" s="906"/>
      <c r="H12" s="906"/>
      <c r="I12" s="907"/>
      <c r="J12" s="818">
        <f>SUM(K12:R12)</f>
        <v>430628</v>
      </c>
      <c r="K12" s="911">
        <v>280965</v>
      </c>
      <c r="L12" s="911">
        <v>44189</v>
      </c>
      <c r="M12" s="911">
        <v>102063</v>
      </c>
      <c r="N12" s="911"/>
      <c r="O12" s="911"/>
      <c r="P12" s="911">
        <v>3411</v>
      </c>
      <c r="Q12" s="118"/>
      <c r="R12" s="909"/>
      <c r="S12" s="910"/>
      <c r="T12" s="910"/>
      <c r="U12" s="910"/>
      <c r="V12" s="910"/>
      <c r="W12" s="910"/>
      <c r="X12" s="910"/>
      <c r="Y12" s="910"/>
      <c r="Z12" s="910"/>
      <c r="AA12" s="910"/>
      <c r="AB12" s="910"/>
      <c r="AC12" s="910"/>
      <c r="AD12" s="910"/>
      <c r="AE12" s="910"/>
    </row>
    <row r="13" spans="1:31" s="784" customFormat="1" ht="18" customHeight="1" x14ac:dyDescent="0.3">
      <c r="A13" s="588">
        <v>5</v>
      </c>
      <c r="B13" s="776"/>
      <c r="C13" s="905"/>
      <c r="D13" s="905"/>
      <c r="E13" s="275" t="s">
        <v>745</v>
      </c>
      <c r="F13" s="906"/>
      <c r="G13" s="906"/>
      <c r="H13" s="906"/>
      <c r="I13" s="907"/>
      <c r="J13" s="912">
        <f>SUM(K13:R13)</f>
        <v>193524</v>
      </c>
      <c r="K13" s="913">
        <v>129133</v>
      </c>
      <c r="L13" s="913">
        <v>18250</v>
      </c>
      <c r="M13" s="913">
        <f>46142-1</f>
        <v>46141</v>
      </c>
      <c r="N13" s="118"/>
      <c r="O13" s="118"/>
      <c r="P13" s="913">
        <v>0</v>
      </c>
      <c r="Q13" s="118"/>
      <c r="R13" s="909"/>
      <c r="S13" s="910"/>
      <c r="T13" s="910"/>
      <c r="U13" s="910"/>
      <c r="V13" s="910"/>
      <c r="W13" s="910"/>
      <c r="X13" s="910"/>
      <c r="Y13" s="910"/>
      <c r="Z13" s="910"/>
      <c r="AA13" s="910"/>
      <c r="AB13" s="910"/>
      <c r="AC13" s="910"/>
      <c r="AD13" s="910"/>
      <c r="AE13" s="910"/>
    </row>
    <row r="14" spans="1:31" s="859" customFormat="1" ht="22.5" customHeight="1" x14ac:dyDescent="0.3">
      <c r="A14" s="588">
        <v>8</v>
      </c>
      <c r="B14" s="770">
        <v>2</v>
      </c>
      <c r="C14" s="901"/>
      <c r="D14" s="119" t="s">
        <v>241</v>
      </c>
      <c r="E14" s="119"/>
      <c r="F14" s="914" t="s">
        <v>23</v>
      </c>
      <c r="G14" s="116">
        <v>507890</v>
      </c>
      <c r="H14" s="116">
        <v>612920</v>
      </c>
      <c r="I14" s="903">
        <v>600462</v>
      </c>
      <c r="J14" s="818"/>
      <c r="K14" s="116"/>
      <c r="L14" s="116"/>
      <c r="M14" s="116"/>
      <c r="N14" s="116"/>
      <c r="O14" s="116"/>
      <c r="P14" s="116"/>
      <c r="Q14" s="116"/>
      <c r="R14" s="904"/>
      <c r="S14" s="915"/>
      <c r="T14" s="915"/>
      <c r="U14" s="915"/>
      <c r="V14" s="915"/>
      <c r="W14" s="915"/>
      <c r="X14" s="915"/>
      <c r="Y14" s="915"/>
      <c r="Z14" s="915"/>
      <c r="AA14" s="915"/>
      <c r="AB14" s="915"/>
      <c r="AC14" s="915"/>
      <c r="AD14" s="915"/>
      <c r="AE14" s="915"/>
    </row>
    <row r="15" spans="1:31" ht="18" customHeight="1" x14ac:dyDescent="0.3">
      <c r="A15" s="588">
        <v>9</v>
      </c>
      <c r="B15" s="770"/>
      <c r="C15" s="901"/>
      <c r="D15" s="902" t="s">
        <v>240</v>
      </c>
      <c r="E15" s="902"/>
      <c r="F15" s="116"/>
      <c r="G15" s="116"/>
      <c r="H15" s="116"/>
      <c r="I15" s="903"/>
      <c r="J15" s="818"/>
      <c r="K15" s="116"/>
      <c r="L15" s="116"/>
      <c r="M15" s="116"/>
      <c r="N15" s="116"/>
      <c r="O15" s="116"/>
      <c r="P15" s="116"/>
      <c r="Q15" s="116"/>
      <c r="R15" s="904"/>
    </row>
    <row r="16" spans="1:31" s="799" customFormat="1" ht="18" customHeight="1" x14ac:dyDescent="0.3">
      <c r="A16" s="588">
        <v>10</v>
      </c>
      <c r="B16" s="776"/>
      <c r="C16" s="905"/>
      <c r="D16" s="905"/>
      <c r="E16" s="779" t="s">
        <v>239</v>
      </c>
      <c r="F16" s="906"/>
      <c r="G16" s="906"/>
      <c r="H16" s="906"/>
      <c r="I16" s="907"/>
      <c r="J16" s="908">
        <f t="shared" ref="J16:J18" si="0">SUM(K16:R16)</f>
        <v>652476</v>
      </c>
      <c r="K16" s="118">
        <v>449320</v>
      </c>
      <c r="L16" s="118">
        <v>71508</v>
      </c>
      <c r="M16" s="118">
        <v>131648</v>
      </c>
      <c r="N16" s="118"/>
      <c r="O16" s="118"/>
      <c r="P16" s="118"/>
      <c r="Q16" s="118"/>
      <c r="R16" s="909"/>
      <c r="S16" s="916"/>
      <c r="T16" s="916"/>
      <c r="U16" s="916"/>
      <c r="V16" s="916"/>
      <c r="W16" s="916"/>
      <c r="X16" s="916"/>
      <c r="Y16" s="916"/>
      <c r="Z16" s="916"/>
      <c r="AA16" s="916"/>
      <c r="AB16" s="916"/>
      <c r="AC16" s="916"/>
      <c r="AD16" s="916"/>
      <c r="AE16" s="916"/>
    </row>
    <row r="17" spans="1:31" s="799" customFormat="1" ht="18" customHeight="1" x14ac:dyDescent="0.3">
      <c r="A17" s="588">
        <v>11</v>
      </c>
      <c r="B17" s="776"/>
      <c r="C17" s="905"/>
      <c r="D17" s="905"/>
      <c r="E17" s="119" t="s">
        <v>702</v>
      </c>
      <c r="F17" s="906"/>
      <c r="G17" s="906"/>
      <c r="H17" s="906"/>
      <c r="I17" s="907"/>
      <c r="J17" s="818">
        <f t="shared" si="0"/>
        <v>684470</v>
      </c>
      <c r="K17" s="911">
        <v>462658</v>
      </c>
      <c r="L17" s="911">
        <v>74394</v>
      </c>
      <c r="M17" s="911">
        <v>139341</v>
      </c>
      <c r="N17" s="911"/>
      <c r="O17" s="911"/>
      <c r="P17" s="911">
        <v>8077</v>
      </c>
      <c r="Q17" s="118"/>
      <c r="R17" s="909"/>
      <c r="S17" s="916"/>
      <c r="T17" s="916"/>
      <c r="U17" s="916"/>
      <c r="V17" s="916"/>
      <c r="W17" s="916"/>
      <c r="X17" s="916"/>
      <c r="Y17" s="916"/>
      <c r="Z17" s="916"/>
      <c r="AA17" s="916"/>
      <c r="AB17" s="916"/>
      <c r="AC17" s="916"/>
      <c r="AD17" s="916"/>
      <c r="AE17" s="916"/>
    </row>
    <row r="18" spans="1:31" s="799" customFormat="1" ht="18" customHeight="1" x14ac:dyDescent="0.3">
      <c r="A18" s="588">
        <v>12</v>
      </c>
      <c r="B18" s="776"/>
      <c r="C18" s="905"/>
      <c r="D18" s="905"/>
      <c r="E18" s="275" t="s">
        <v>745</v>
      </c>
      <c r="F18" s="906"/>
      <c r="G18" s="906"/>
      <c r="H18" s="906"/>
      <c r="I18" s="907"/>
      <c r="J18" s="912">
        <f t="shared" si="0"/>
        <v>307310</v>
      </c>
      <c r="K18" s="913">
        <v>217163</v>
      </c>
      <c r="L18" s="913">
        <v>33706</v>
      </c>
      <c r="M18" s="913">
        <v>55481</v>
      </c>
      <c r="N18" s="913"/>
      <c r="O18" s="913"/>
      <c r="P18" s="913">
        <v>960</v>
      </c>
      <c r="Q18" s="118"/>
      <c r="R18" s="909"/>
      <c r="S18" s="916"/>
      <c r="T18" s="916"/>
      <c r="U18" s="916"/>
      <c r="V18" s="916"/>
      <c r="W18" s="916"/>
      <c r="X18" s="916"/>
      <c r="Y18" s="916"/>
      <c r="Z18" s="916"/>
      <c r="AA18" s="916"/>
      <c r="AB18" s="916"/>
      <c r="AC18" s="916"/>
      <c r="AD18" s="916"/>
      <c r="AE18" s="916"/>
    </row>
    <row r="19" spans="1:31" ht="22.5" customHeight="1" x14ac:dyDescent="0.3">
      <c r="A19" s="588">
        <v>15</v>
      </c>
      <c r="B19" s="770">
        <v>3</v>
      </c>
      <c r="C19" s="901"/>
      <c r="D19" s="119" t="s">
        <v>211</v>
      </c>
      <c r="E19" s="119"/>
      <c r="F19" s="914" t="s">
        <v>23</v>
      </c>
      <c r="G19" s="116">
        <v>507514</v>
      </c>
      <c r="H19" s="116">
        <v>616909</v>
      </c>
      <c r="I19" s="903">
        <v>604048</v>
      </c>
      <c r="J19" s="818"/>
      <c r="K19" s="116"/>
      <c r="L19" s="116"/>
      <c r="M19" s="116"/>
      <c r="N19" s="116"/>
      <c r="O19" s="116"/>
      <c r="P19" s="116"/>
      <c r="Q19" s="116"/>
      <c r="R19" s="904"/>
    </row>
    <row r="20" spans="1:31" s="760" customFormat="1" ht="18" customHeight="1" x14ac:dyDescent="0.3">
      <c r="A20" s="588">
        <v>16</v>
      </c>
      <c r="B20" s="770"/>
      <c r="C20" s="901"/>
      <c r="D20" s="902" t="s">
        <v>110</v>
      </c>
      <c r="E20" s="902"/>
      <c r="F20" s="116"/>
      <c r="G20" s="116"/>
      <c r="H20" s="116"/>
      <c r="I20" s="903"/>
      <c r="J20" s="818"/>
      <c r="K20" s="116"/>
      <c r="L20" s="116"/>
      <c r="M20" s="116"/>
      <c r="N20" s="116"/>
      <c r="O20" s="116"/>
      <c r="P20" s="116"/>
      <c r="Q20" s="116"/>
      <c r="R20" s="904"/>
      <c r="S20" s="917"/>
      <c r="T20" s="917"/>
      <c r="U20" s="917"/>
      <c r="V20" s="917"/>
      <c r="W20" s="917"/>
      <c r="X20" s="917"/>
      <c r="Y20" s="917"/>
      <c r="Z20" s="917"/>
      <c r="AA20" s="917"/>
      <c r="AB20" s="917"/>
      <c r="AC20" s="917"/>
      <c r="AD20" s="917"/>
      <c r="AE20" s="917"/>
    </row>
    <row r="21" spans="1:31" s="784" customFormat="1" ht="18" customHeight="1" x14ac:dyDescent="0.3">
      <c r="A21" s="588">
        <v>17</v>
      </c>
      <c r="B21" s="776"/>
      <c r="C21" s="905"/>
      <c r="D21" s="905"/>
      <c r="E21" s="779" t="s">
        <v>239</v>
      </c>
      <c r="F21" s="906"/>
      <c r="G21" s="906"/>
      <c r="H21" s="906"/>
      <c r="I21" s="907"/>
      <c r="J21" s="908">
        <f>SUM(K21:R21)</f>
        <v>701980</v>
      </c>
      <c r="K21" s="118">
        <v>505597</v>
      </c>
      <c r="L21" s="118">
        <v>76379</v>
      </c>
      <c r="M21" s="118">
        <v>119718</v>
      </c>
      <c r="N21" s="118"/>
      <c r="O21" s="118"/>
      <c r="P21" s="118">
        <v>286</v>
      </c>
      <c r="Q21" s="118"/>
      <c r="R21" s="909"/>
      <c r="S21" s="910"/>
      <c r="T21" s="910"/>
      <c r="U21" s="910"/>
      <c r="V21" s="910"/>
      <c r="W21" s="910"/>
      <c r="X21" s="910"/>
      <c r="Y21" s="910"/>
      <c r="Z21" s="910"/>
      <c r="AA21" s="910"/>
      <c r="AB21" s="910"/>
      <c r="AC21" s="910"/>
      <c r="AD21" s="910"/>
      <c r="AE21" s="910"/>
    </row>
    <row r="22" spans="1:31" s="784" customFormat="1" ht="18" customHeight="1" x14ac:dyDescent="0.3">
      <c r="A22" s="588">
        <v>18</v>
      </c>
      <c r="B22" s="776"/>
      <c r="C22" s="905"/>
      <c r="D22" s="905"/>
      <c r="E22" s="119" t="s">
        <v>702</v>
      </c>
      <c r="F22" s="906"/>
      <c r="G22" s="906"/>
      <c r="H22" s="906"/>
      <c r="I22" s="907"/>
      <c r="J22" s="818">
        <f>SUM(K22:R22)</f>
        <v>727225</v>
      </c>
      <c r="K22" s="911">
        <v>522226</v>
      </c>
      <c r="L22" s="911">
        <v>78695</v>
      </c>
      <c r="M22" s="911">
        <v>123618</v>
      </c>
      <c r="N22" s="911"/>
      <c r="O22" s="911"/>
      <c r="P22" s="911">
        <v>2686</v>
      </c>
      <c r="Q22" s="118"/>
      <c r="R22" s="909"/>
      <c r="S22" s="910"/>
      <c r="T22" s="910"/>
      <c r="U22" s="910"/>
      <c r="V22" s="910"/>
      <c r="W22" s="910"/>
      <c r="X22" s="910"/>
      <c r="Y22" s="910"/>
      <c r="Z22" s="910"/>
      <c r="AA22" s="910"/>
      <c r="AB22" s="910"/>
      <c r="AC22" s="910"/>
      <c r="AD22" s="910"/>
      <c r="AE22" s="910"/>
    </row>
    <row r="23" spans="1:31" s="784" customFormat="1" ht="18" customHeight="1" x14ac:dyDescent="0.3">
      <c r="A23" s="588">
        <v>19</v>
      </c>
      <c r="B23" s="776"/>
      <c r="C23" s="905"/>
      <c r="D23" s="905"/>
      <c r="E23" s="275" t="s">
        <v>745</v>
      </c>
      <c r="F23" s="906"/>
      <c r="G23" s="906"/>
      <c r="H23" s="906"/>
      <c r="I23" s="907"/>
      <c r="J23" s="912">
        <f>SUM(K23:R23)</f>
        <v>312891</v>
      </c>
      <c r="K23" s="913">
        <v>234450</v>
      </c>
      <c r="L23" s="913">
        <v>32707</v>
      </c>
      <c r="M23" s="913">
        <v>45462</v>
      </c>
      <c r="N23" s="118"/>
      <c r="O23" s="118"/>
      <c r="P23" s="913">
        <v>272</v>
      </c>
      <c r="Q23" s="118"/>
      <c r="R23" s="909"/>
      <c r="S23" s="910"/>
      <c r="T23" s="910"/>
      <c r="U23" s="910"/>
      <c r="V23" s="910"/>
      <c r="W23" s="910"/>
      <c r="X23" s="910"/>
      <c r="Y23" s="910"/>
      <c r="Z23" s="910"/>
      <c r="AA23" s="910"/>
      <c r="AB23" s="910"/>
      <c r="AC23" s="910"/>
      <c r="AD23" s="910"/>
      <c r="AE23" s="910"/>
    </row>
    <row r="24" spans="1:31" ht="22.5" customHeight="1" x14ac:dyDescent="0.3">
      <c r="A24" s="588">
        <v>22</v>
      </c>
      <c r="B24" s="770">
        <v>4</v>
      </c>
      <c r="C24" s="901"/>
      <c r="D24" s="119" t="s">
        <v>212</v>
      </c>
      <c r="E24" s="119"/>
      <c r="F24" s="914" t="s">
        <v>23</v>
      </c>
      <c r="G24" s="116">
        <v>457384</v>
      </c>
      <c r="H24" s="116">
        <v>539457</v>
      </c>
      <c r="I24" s="903">
        <v>548244</v>
      </c>
      <c r="J24" s="818"/>
      <c r="K24" s="116"/>
      <c r="L24" s="116"/>
      <c r="M24" s="116"/>
      <c r="N24" s="116"/>
      <c r="O24" s="116"/>
      <c r="P24" s="116"/>
      <c r="Q24" s="116"/>
      <c r="R24" s="904"/>
    </row>
    <row r="25" spans="1:31" ht="18" customHeight="1" x14ac:dyDescent="0.3">
      <c r="A25" s="588">
        <v>23</v>
      </c>
      <c r="B25" s="770"/>
      <c r="C25" s="901"/>
      <c r="D25" s="902" t="s">
        <v>111</v>
      </c>
      <c r="E25" s="902"/>
      <c r="F25" s="116"/>
      <c r="G25" s="116"/>
      <c r="H25" s="116"/>
      <c r="I25" s="903"/>
      <c r="J25" s="818"/>
      <c r="K25" s="116"/>
      <c r="L25" s="116"/>
      <c r="M25" s="116"/>
      <c r="N25" s="116"/>
      <c r="O25" s="116"/>
      <c r="P25" s="116"/>
      <c r="Q25" s="116"/>
      <c r="R25" s="904"/>
    </row>
    <row r="26" spans="1:31" s="784" customFormat="1" ht="18" customHeight="1" x14ac:dyDescent="0.3">
      <c r="A26" s="588">
        <v>24</v>
      </c>
      <c r="B26" s="776"/>
      <c r="C26" s="905"/>
      <c r="D26" s="905"/>
      <c r="E26" s="779" t="s">
        <v>239</v>
      </c>
      <c r="F26" s="906"/>
      <c r="G26" s="906"/>
      <c r="H26" s="906"/>
      <c r="I26" s="907"/>
      <c r="J26" s="908">
        <f>SUM(K26:R26)</f>
        <v>616150</v>
      </c>
      <c r="K26" s="118">
        <v>441525</v>
      </c>
      <c r="L26" s="118">
        <v>66083</v>
      </c>
      <c r="M26" s="118">
        <v>108542</v>
      </c>
      <c r="N26" s="118"/>
      <c r="O26" s="118"/>
      <c r="P26" s="118"/>
      <c r="Q26" s="118"/>
      <c r="R26" s="909"/>
      <c r="S26" s="910"/>
      <c r="T26" s="910"/>
      <c r="U26" s="910"/>
      <c r="V26" s="910"/>
      <c r="W26" s="910"/>
      <c r="X26" s="910"/>
      <c r="Y26" s="910"/>
      <c r="Z26" s="910"/>
      <c r="AA26" s="910"/>
      <c r="AB26" s="910"/>
      <c r="AC26" s="910"/>
      <c r="AD26" s="910"/>
      <c r="AE26" s="910"/>
    </row>
    <row r="27" spans="1:31" s="784" customFormat="1" ht="18" customHeight="1" x14ac:dyDescent="0.3">
      <c r="A27" s="588">
        <v>25</v>
      </c>
      <c r="B27" s="776"/>
      <c r="C27" s="905"/>
      <c r="D27" s="905"/>
      <c r="E27" s="119" t="s">
        <v>702</v>
      </c>
      <c r="F27" s="906"/>
      <c r="G27" s="906"/>
      <c r="H27" s="906"/>
      <c r="I27" s="907"/>
      <c r="J27" s="818">
        <f>SUM(K27:R27)</f>
        <v>638639</v>
      </c>
      <c r="K27" s="911">
        <v>452390</v>
      </c>
      <c r="L27" s="911">
        <v>67584</v>
      </c>
      <c r="M27" s="911">
        <v>115515</v>
      </c>
      <c r="N27" s="911"/>
      <c r="O27" s="911"/>
      <c r="P27" s="911">
        <v>3150</v>
      </c>
      <c r="Q27" s="118"/>
      <c r="R27" s="909"/>
      <c r="S27" s="910"/>
      <c r="T27" s="910"/>
      <c r="U27" s="910"/>
      <c r="V27" s="910"/>
      <c r="W27" s="910"/>
      <c r="X27" s="910"/>
      <c r="Y27" s="910"/>
      <c r="Z27" s="910"/>
      <c r="AA27" s="910"/>
      <c r="AB27" s="910"/>
      <c r="AC27" s="910"/>
      <c r="AD27" s="910"/>
      <c r="AE27" s="910"/>
    </row>
    <row r="28" spans="1:31" s="784" customFormat="1" ht="18" customHeight="1" x14ac:dyDescent="0.3">
      <c r="A28" s="588">
        <v>26</v>
      </c>
      <c r="B28" s="776"/>
      <c r="C28" s="905"/>
      <c r="D28" s="905"/>
      <c r="E28" s="275" t="s">
        <v>745</v>
      </c>
      <c r="F28" s="906"/>
      <c r="G28" s="906"/>
      <c r="H28" s="906"/>
      <c r="I28" s="907"/>
      <c r="J28" s="912">
        <f>SUM(K28:R28)</f>
        <v>306637</v>
      </c>
      <c r="K28" s="913">
        <v>222983</v>
      </c>
      <c r="L28" s="913">
        <v>32920</v>
      </c>
      <c r="M28" s="913">
        <v>50424</v>
      </c>
      <c r="N28" s="913"/>
      <c r="O28" s="913"/>
      <c r="P28" s="913">
        <v>310</v>
      </c>
      <c r="Q28" s="118"/>
      <c r="R28" s="909"/>
      <c r="S28" s="910"/>
      <c r="T28" s="910"/>
      <c r="U28" s="910"/>
      <c r="V28" s="910"/>
      <c r="W28" s="910"/>
      <c r="X28" s="910"/>
      <c r="Y28" s="910"/>
      <c r="Z28" s="910"/>
      <c r="AA28" s="910"/>
      <c r="AB28" s="910"/>
      <c r="AC28" s="910"/>
      <c r="AD28" s="910"/>
      <c r="AE28" s="910"/>
    </row>
    <row r="29" spans="1:31" s="859" customFormat="1" ht="22.5" customHeight="1" x14ac:dyDescent="0.3">
      <c r="A29" s="588">
        <v>29</v>
      </c>
      <c r="B29" s="770">
        <v>5</v>
      </c>
      <c r="C29" s="901"/>
      <c r="D29" s="119" t="s">
        <v>213</v>
      </c>
      <c r="E29" s="119"/>
      <c r="F29" s="914" t="s">
        <v>23</v>
      </c>
      <c r="G29" s="116">
        <v>452652</v>
      </c>
      <c r="H29" s="116">
        <v>579932</v>
      </c>
      <c r="I29" s="903">
        <v>579996</v>
      </c>
      <c r="J29" s="818"/>
      <c r="K29" s="116"/>
      <c r="L29" s="116"/>
      <c r="M29" s="116"/>
      <c r="N29" s="918"/>
      <c r="O29" s="918"/>
      <c r="P29" s="918"/>
      <c r="Q29" s="918"/>
      <c r="R29" s="919"/>
      <c r="S29" s="915"/>
      <c r="T29" s="915"/>
      <c r="U29" s="915"/>
      <c r="V29" s="915"/>
      <c r="W29" s="915"/>
      <c r="X29" s="915"/>
      <c r="Y29" s="915"/>
      <c r="Z29" s="915"/>
      <c r="AA29" s="915"/>
      <c r="AB29" s="915"/>
      <c r="AC29" s="915"/>
      <c r="AD29" s="915"/>
      <c r="AE29" s="915"/>
    </row>
    <row r="30" spans="1:31" ht="18" customHeight="1" x14ac:dyDescent="0.3">
      <c r="A30" s="588">
        <v>30</v>
      </c>
      <c r="B30" s="770"/>
      <c r="C30" s="901"/>
      <c r="D30" s="902" t="s">
        <v>112</v>
      </c>
      <c r="E30" s="902"/>
      <c r="F30" s="116"/>
      <c r="G30" s="116"/>
      <c r="H30" s="116"/>
      <c r="I30" s="903"/>
      <c r="J30" s="818"/>
      <c r="K30" s="116"/>
      <c r="L30" s="116"/>
      <c r="M30" s="116"/>
      <c r="N30" s="918"/>
      <c r="O30" s="918"/>
      <c r="P30" s="918"/>
      <c r="Q30" s="918"/>
      <c r="R30" s="919"/>
    </row>
    <row r="31" spans="1:31" s="799" customFormat="1" ht="18" customHeight="1" x14ac:dyDescent="0.3">
      <c r="A31" s="588">
        <v>31</v>
      </c>
      <c r="B31" s="776"/>
      <c r="C31" s="905"/>
      <c r="D31" s="905"/>
      <c r="E31" s="779" t="s">
        <v>239</v>
      </c>
      <c r="F31" s="906"/>
      <c r="G31" s="906"/>
      <c r="H31" s="906"/>
      <c r="I31" s="907"/>
      <c r="J31" s="908">
        <f t="shared" ref="J31:J33" si="1">SUM(K31:R31)</f>
        <v>658480</v>
      </c>
      <c r="K31" s="118">
        <v>438689</v>
      </c>
      <c r="L31" s="118">
        <v>66509</v>
      </c>
      <c r="M31" s="118">
        <v>153282</v>
      </c>
      <c r="N31" s="118"/>
      <c r="O31" s="118"/>
      <c r="P31" s="118"/>
      <c r="Q31" s="118"/>
      <c r="R31" s="909"/>
      <c r="S31" s="916"/>
      <c r="T31" s="916"/>
      <c r="U31" s="916"/>
      <c r="V31" s="916"/>
      <c r="W31" s="916"/>
      <c r="X31" s="916"/>
      <c r="Y31" s="916"/>
      <c r="Z31" s="916"/>
      <c r="AA31" s="916"/>
      <c r="AB31" s="916"/>
      <c r="AC31" s="916"/>
      <c r="AD31" s="916"/>
      <c r="AE31" s="916"/>
    </row>
    <row r="32" spans="1:31" s="799" customFormat="1" ht="18" customHeight="1" x14ac:dyDescent="0.3">
      <c r="A32" s="588">
        <v>32</v>
      </c>
      <c r="B32" s="776"/>
      <c r="C32" s="905"/>
      <c r="D32" s="905"/>
      <c r="E32" s="119" t="s">
        <v>702</v>
      </c>
      <c r="F32" s="906"/>
      <c r="G32" s="906"/>
      <c r="H32" s="906"/>
      <c r="I32" s="907"/>
      <c r="J32" s="818">
        <f t="shared" si="1"/>
        <v>692601</v>
      </c>
      <c r="K32" s="911">
        <v>447248</v>
      </c>
      <c r="L32" s="911">
        <v>69166</v>
      </c>
      <c r="M32" s="911">
        <v>168687</v>
      </c>
      <c r="N32" s="911"/>
      <c r="O32" s="911"/>
      <c r="P32" s="911">
        <v>7500</v>
      </c>
      <c r="Q32" s="118"/>
      <c r="R32" s="909"/>
      <c r="S32" s="916"/>
      <c r="T32" s="916"/>
      <c r="U32" s="916"/>
      <c r="V32" s="916"/>
      <c r="W32" s="916"/>
      <c r="X32" s="916"/>
      <c r="Y32" s="916"/>
      <c r="Z32" s="916"/>
      <c r="AA32" s="916"/>
      <c r="AB32" s="916"/>
      <c r="AC32" s="916"/>
      <c r="AD32" s="916"/>
      <c r="AE32" s="916"/>
    </row>
    <row r="33" spans="1:31" s="799" customFormat="1" ht="18" customHeight="1" x14ac:dyDescent="0.3">
      <c r="A33" s="588">
        <v>33</v>
      </c>
      <c r="B33" s="776"/>
      <c r="C33" s="905"/>
      <c r="D33" s="905"/>
      <c r="E33" s="275" t="s">
        <v>745</v>
      </c>
      <c r="F33" s="906"/>
      <c r="G33" s="906"/>
      <c r="H33" s="906"/>
      <c r="I33" s="907"/>
      <c r="J33" s="912">
        <f t="shared" si="1"/>
        <v>312610</v>
      </c>
      <c r="K33" s="913">
        <v>213360</v>
      </c>
      <c r="L33" s="913">
        <v>29138</v>
      </c>
      <c r="M33" s="913">
        <v>70112</v>
      </c>
      <c r="N33" s="913"/>
      <c r="O33" s="913"/>
      <c r="P33" s="913">
        <v>0</v>
      </c>
      <c r="Q33" s="118"/>
      <c r="R33" s="909"/>
      <c r="S33" s="916"/>
      <c r="T33" s="916"/>
      <c r="U33" s="916"/>
      <c r="V33" s="916"/>
      <c r="W33" s="916"/>
      <c r="X33" s="916"/>
      <c r="Y33" s="916"/>
      <c r="Z33" s="916"/>
      <c r="AA33" s="916"/>
      <c r="AB33" s="916"/>
      <c r="AC33" s="916"/>
      <c r="AD33" s="916"/>
      <c r="AE33" s="916"/>
    </row>
    <row r="34" spans="1:31" s="857" customFormat="1" ht="22.5" customHeight="1" x14ac:dyDescent="0.3">
      <c r="A34" s="588">
        <v>37</v>
      </c>
      <c r="B34" s="770">
        <v>6</v>
      </c>
      <c r="C34" s="901"/>
      <c r="D34" s="119" t="s">
        <v>214</v>
      </c>
      <c r="E34" s="119"/>
      <c r="F34" s="914" t="s">
        <v>23</v>
      </c>
      <c r="G34" s="116">
        <v>269715</v>
      </c>
      <c r="H34" s="116">
        <v>339398</v>
      </c>
      <c r="I34" s="903">
        <v>341296</v>
      </c>
      <c r="J34" s="818"/>
      <c r="K34" s="116"/>
      <c r="L34" s="116"/>
      <c r="M34" s="116"/>
      <c r="N34" s="918"/>
      <c r="O34" s="918"/>
      <c r="P34" s="918"/>
      <c r="Q34" s="918"/>
      <c r="R34" s="919"/>
      <c r="S34" s="11"/>
      <c r="T34" s="11"/>
      <c r="U34" s="11"/>
      <c r="V34" s="11"/>
      <c r="W34" s="11"/>
      <c r="X34" s="11"/>
      <c r="Y34" s="11"/>
      <c r="Z34" s="11"/>
      <c r="AA34" s="11"/>
      <c r="AB34" s="11"/>
      <c r="AC34" s="11"/>
      <c r="AD34" s="11"/>
      <c r="AE34" s="11"/>
    </row>
    <row r="35" spans="1:31" s="859" customFormat="1" ht="18" customHeight="1" x14ac:dyDescent="0.3">
      <c r="A35" s="588">
        <v>38</v>
      </c>
      <c r="B35" s="770"/>
      <c r="C35" s="901"/>
      <c r="D35" s="902" t="s">
        <v>113</v>
      </c>
      <c r="E35" s="902"/>
      <c r="F35" s="116"/>
      <c r="G35" s="116"/>
      <c r="H35" s="116"/>
      <c r="I35" s="903"/>
      <c r="J35" s="818"/>
      <c r="K35" s="116"/>
      <c r="L35" s="116"/>
      <c r="M35" s="116"/>
      <c r="N35" s="918"/>
      <c r="O35" s="918"/>
      <c r="P35" s="918"/>
      <c r="Q35" s="918"/>
      <c r="R35" s="919"/>
      <c r="S35" s="915"/>
      <c r="T35" s="915"/>
      <c r="U35" s="915"/>
      <c r="V35" s="915"/>
      <c r="W35" s="915"/>
      <c r="X35" s="915"/>
      <c r="Y35" s="915"/>
      <c r="Z35" s="915"/>
      <c r="AA35" s="915"/>
      <c r="AB35" s="915"/>
      <c r="AC35" s="915"/>
      <c r="AD35" s="915"/>
      <c r="AE35" s="915"/>
    </row>
    <row r="36" spans="1:31" s="799" customFormat="1" ht="18" customHeight="1" x14ac:dyDescent="0.3">
      <c r="A36" s="588">
        <v>39</v>
      </c>
      <c r="B36" s="776"/>
      <c r="C36" s="905"/>
      <c r="D36" s="905"/>
      <c r="E36" s="779" t="s">
        <v>239</v>
      </c>
      <c r="F36" s="906"/>
      <c r="G36" s="906"/>
      <c r="H36" s="906"/>
      <c r="I36" s="907"/>
      <c r="J36" s="908">
        <f t="shared" ref="J36:J38" si="2">SUM(K36:R36)</f>
        <v>386867</v>
      </c>
      <c r="K36" s="118">
        <v>255001</v>
      </c>
      <c r="L36" s="118">
        <v>41056</v>
      </c>
      <c r="M36" s="118">
        <v>90810</v>
      </c>
      <c r="N36" s="118"/>
      <c r="O36" s="118"/>
      <c r="P36" s="118"/>
      <c r="Q36" s="118"/>
      <c r="R36" s="909"/>
      <c r="S36" s="916"/>
      <c r="T36" s="916"/>
      <c r="U36" s="916"/>
      <c r="V36" s="916"/>
      <c r="W36" s="916"/>
      <c r="X36" s="916"/>
      <c r="Y36" s="916"/>
      <c r="Z36" s="916"/>
      <c r="AA36" s="916"/>
      <c r="AB36" s="916"/>
      <c r="AC36" s="916"/>
      <c r="AD36" s="916"/>
      <c r="AE36" s="916"/>
    </row>
    <row r="37" spans="1:31" s="799" customFormat="1" ht="18" customHeight="1" x14ac:dyDescent="0.3">
      <c r="A37" s="588">
        <v>40</v>
      </c>
      <c r="B37" s="776"/>
      <c r="C37" s="920"/>
      <c r="D37" s="905"/>
      <c r="E37" s="119" t="s">
        <v>702</v>
      </c>
      <c r="F37" s="921"/>
      <c r="G37" s="921"/>
      <c r="H37" s="921"/>
      <c r="I37" s="922"/>
      <c r="J37" s="818">
        <f t="shared" si="2"/>
        <v>408581</v>
      </c>
      <c r="K37" s="923">
        <v>271532</v>
      </c>
      <c r="L37" s="923">
        <v>42575</v>
      </c>
      <c r="M37" s="923">
        <v>93574</v>
      </c>
      <c r="N37" s="923"/>
      <c r="O37" s="923"/>
      <c r="P37" s="923">
        <v>900</v>
      </c>
      <c r="Q37" s="924"/>
      <c r="R37" s="925"/>
      <c r="S37" s="916"/>
      <c r="T37" s="916"/>
      <c r="U37" s="916"/>
      <c r="V37" s="916"/>
      <c r="W37" s="916"/>
      <c r="X37" s="916"/>
      <c r="Y37" s="916"/>
      <c r="Z37" s="916"/>
      <c r="AA37" s="916"/>
      <c r="AB37" s="916"/>
      <c r="AC37" s="916"/>
      <c r="AD37" s="916"/>
      <c r="AE37" s="916"/>
    </row>
    <row r="38" spans="1:31" s="799" customFormat="1" ht="18" customHeight="1" thickBot="1" x14ac:dyDescent="0.35">
      <c r="A38" s="588">
        <v>41</v>
      </c>
      <c r="B38" s="776"/>
      <c r="C38" s="926"/>
      <c r="D38" s="920"/>
      <c r="E38" s="275" t="s">
        <v>745</v>
      </c>
      <c r="F38" s="921"/>
      <c r="G38" s="921"/>
      <c r="H38" s="921"/>
      <c r="I38" s="922"/>
      <c r="J38" s="912">
        <f t="shared" si="2"/>
        <v>194206</v>
      </c>
      <c r="K38" s="927">
        <v>138695</v>
      </c>
      <c r="L38" s="927">
        <v>20713</v>
      </c>
      <c r="M38" s="927">
        <v>34212</v>
      </c>
      <c r="N38" s="927"/>
      <c r="O38" s="927"/>
      <c r="P38" s="927">
        <v>586</v>
      </c>
      <c r="Q38" s="924"/>
      <c r="R38" s="925"/>
      <c r="S38" s="916"/>
      <c r="T38" s="916"/>
      <c r="U38" s="916"/>
      <c r="V38" s="916"/>
      <c r="W38" s="916"/>
      <c r="X38" s="916"/>
      <c r="Y38" s="916"/>
      <c r="Z38" s="916"/>
      <c r="AA38" s="916"/>
      <c r="AB38" s="916"/>
      <c r="AC38" s="916"/>
      <c r="AD38" s="916"/>
      <c r="AE38" s="916"/>
    </row>
    <row r="39" spans="1:31" s="934" customFormat="1" ht="22.5" customHeight="1" thickTop="1" x14ac:dyDescent="0.2">
      <c r="A39" s="588">
        <v>46</v>
      </c>
      <c r="B39" s="928"/>
      <c r="C39" s="1236" t="s">
        <v>302</v>
      </c>
      <c r="D39" s="1237"/>
      <c r="E39" s="1238"/>
      <c r="F39" s="929"/>
      <c r="G39" s="929">
        <f>SUM(G9:G36)</f>
        <v>2505071</v>
      </c>
      <c r="H39" s="929">
        <f>SUM(H9:H36)</f>
        <v>3061705</v>
      </c>
      <c r="I39" s="930">
        <f>SUM(I9:I36)</f>
        <v>3052842</v>
      </c>
      <c r="J39" s="931"/>
      <c r="K39" s="929"/>
      <c r="L39" s="929"/>
      <c r="M39" s="929"/>
      <c r="N39" s="929"/>
      <c r="O39" s="929"/>
      <c r="P39" s="929"/>
      <c r="Q39" s="929"/>
      <c r="R39" s="932"/>
      <c r="S39" s="933"/>
      <c r="T39" s="933"/>
      <c r="U39" s="933"/>
      <c r="V39" s="933"/>
      <c r="W39" s="933"/>
      <c r="X39" s="933"/>
      <c r="Y39" s="933"/>
      <c r="Z39" s="933"/>
      <c r="AA39" s="933"/>
      <c r="AB39" s="933"/>
      <c r="AC39" s="933"/>
      <c r="AD39" s="933"/>
      <c r="AE39" s="933"/>
    </row>
    <row r="40" spans="1:31" s="784" customFormat="1" ht="18" customHeight="1" x14ac:dyDescent="0.3">
      <c r="A40" s="588">
        <v>47</v>
      </c>
      <c r="B40" s="776"/>
      <c r="C40" s="935"/>
      <c r="D40" s="936"/>
      <c r="E40" s="884" t="s">
        <v>239</v>
      </c>
      <c r="F40" s="937"/>
      <c r="G40" s="937"/>
      <c r="H40" s="937"/>
      <c r="I40" s="938"/>
      <c r="J40" s="939">
        <f>SUM(K40:R40)</f>
        <v>3430041</v>
      </c>
      <c r="K40" s="940">
        <f t="shared" ref="K40:R41" si="3">SUM(K11,K16,K21,K26,K31,K36)</f>
        <v>2369597</v>
      </c>
      <c r="L40" s="940">
        <f t="shared" si="3"/>
        <v>363724</v>
      </c>
      <c r="M40" s="940">
        <f t="shared" si="3"/>
        <v>696434</v>
      </c>
      <c r="N40" s="940">
        <f t="shared" si="3"/>
        <v>0</v>
      </c>
      <c r="O40" s="940">
        <f t="shared" si="3"/>
        <v>0</v>
      </c>
      <c r="P40" s="940">
        <f t="shared" si="3"/>
        <v>286</v>
      </c>
      <c r="Q40" s="940">
        <f t="shared" si="3"/>
        <v>0</v>
      </c>
      <c r="R40" s="941">
        <f t="shared" si="3"/>
        <v>0</v>
      </c>
      <c r="S40" s="910"/>
      <c r="T40" s="910"/>
      <c r="U40" s="910"/>
      <c r="V40" s="910"/>
      <c r="W40" s="910"/>
      <c r="X40" s="910"/>
      <c r="Y40" s="910"/>
      <c r="Z40" s="910"/>
      <c r="AA40" s="910"/>
      <c r="AB40" s="910"/>
      <c r="AC40" s="910"/>
      <c r="AD40" s="910"/>
      <c r="AE40" s="910"/>
    </row>
    <row r="41" spans="1:31" s="784" customFormat="1" ht="18" customHeight="1" x14ac:dyDescent="0.3">
      <c r="A41" s="588">
        <v>48</v>
      </c>
      <c r="B41" s="776"/>
      <c r="C41" s="935"/>
      <c r="D41" s="936"/>
      <c r="E41" s="119" t="s">
        <v>702</v>
      </c>
      <c r="F41" s="937"/>
      <c r="G41" s="937"/>
      <c r="H41" s="937"/>
      <c r="I41" s="938"/>
      <c r="J41" s="942">
        <f>SUM(K41:R41)</f>
        <v>3582144</v>
      </c>
      <c r="K41" s="943">
        <f t="shared" si="3"/>
        <v>2437019</v>
      </c>
      <c r="L41" s="943">
        <f t="shared" si="3"/>
        <v>376603</v>
      </c>
      <c r="M41" s="943">
        <f t="shared" si="3"/>
        <v>742798</v>
      </c>
      <c r="N41" s="943">
        <f t="shared" si="3"/>
        <v>0</v>
      </c>
      <c r="O41" s="943">
        <f t="shared" si="3"/>
        <v>0</v>
      </c>
      <c r="P41" s="943">
        <f t="shared" si="3"/>
        <v>25724</v>
      </c>
      <c r="Q41" s="943">
        <f t="shared" si="3"/>
        <v>0</v>
      </c>
      <c r="R41" s="944">
        <f t="shared" si="3"/>
        <v>0</v>
      </c>
      <c r="S41" s="910"/>
      <c r="T41" s="910"/>
      <c r="U41" s="910"/>
      <c r="V41" s="910"/>
      <c r="W41" s="910"/>
      <c r="X41" s="910"/>
      <c r="Y41" s="910"/>
      <c r="Z41" s="910"/>
      <c r="AA41" s="910"/>
      <c r="AB41" s="910"/>
      <c r="AC41" s="910"/>
      <c r="AD41" s="910"/>
      <c r="AE41" s="910"/>
    </row>
    <row r="42" spans="1:31" s="784" customFormat="1" ht="18" customHeight="1" thickBot="1" x14ac:dyDescent="0.35">
      <c r="A42" s="588">
        <v>49</v>
      </c>
      <c r="B42" s="776"/>
      <c r="C42" s="945"/>
      <c r="D42" s="946"/>
      <c r="E42" s="462" t="s">
        <v>745</v>
      </c>
      <c r="F42" s="947"/>
      <c r="G42" s="947"/>
      <c r="H42" s="947"/>
      <c r="I42" s="948"/>
      <c r="J42" s="949">
        <f>SUM(K42:R42)</f>
        <v>1627178</v>
      </c>
      <c r="K42" s="950">
        <f t="shared" ref="K42:R42" si="4">K38+K33+K28+K23+K18+K13</f>
        <v>1155784</v>
      </c>
      <c r="L42" s="950">
        <f t="shared" si="4"/>
        <v>167434</v>
      </c>
      <c r="M42" s="950">
        <f>M38+M33+M28+M23+M18+M13</f>
        <v>301832</v>
      </c>
      <c r="N42" s="950">
        <f t="shared" si="4"/>
        <v>0</v>
      </c>
      <c r="O42" s="950">
        <f t="shared" si="4"/>
        <v>0</v>
      </c>
      <c r="P42" s="950">
        <f t="shared" si="4"/>
        <v>2128</v>
      </c>
      <c r="Q42" s="950">
        <f t="shared" si="4"/>
        <v>0</v>
      </c>
      <c r="R42" s="951">
        <f t="shared" si="4"/>
        <v>0</v>
      </c>
      <c r="S42" s="910"/>
      <c r="T42" s="910"/>
      <c r="U42" s="910"/>
      <c r="V42" s="910"/>
      <c r="W42" s="910"/>
      <c r="X42" s="910"/>
      <c r="Y42" s="910"/>
      <c r="Z42" s="910"/>
      <c r="AA42" s="910"/>
      <c r="AB42" s="910"/>
      <c r="AC42" s="910"/>
      <c r="AD42" s="910"/>
      <c r="AE42" s="910"/>
    </row>
    <row r="43" spans="1:31" s="857" customFormat="1" ht="22.5" customHeight="1" thickTop="1" x14ac:dyDescent="0.3">
      <c r="A43" s="588">
        <v>51</v>
      </c>
      <c r="B43" s="763">
        <v>7</v>
      </c>
      <c r="C43" s="895"/>
      <c r="D43" s="896" t="s">
        <v>246</v>
      </c>
      <c r="E43" s="952"/>
      <c r="F43" s="897" t="s">
        <v>23</v>
      </c>
      <c r="G43" s="767">
        <v>1703488</v>
      </c>
      <c r="H43" s="767">
        <v>1825483</v>
      </c>
      <c r="I43" s="898">
        <v>1965346</v>
      </c>
      <c r="J43" s="953"/>
      <c r="K43" s="767"/>
      <c r="L43" s="767"/>
      <c r="M43" s="767"/>
      <c r="N43" s="767"/>
      <c r="O43" s="767"/>
      <c r="P43" s="767"/>
      <c r="Q43" s="767"/>
      <c r="R43" s="900"/>
      <c r="S43" s="11"/>
      <c r="T43" s="11"/>
      <c r="U43" s="11"/>
      <c r="V43" s="11"/>
      <c r="W43" s="11"/>
      <c r="X43" s="11"/>
      <c r="Y43" s="11"/>
      <c r="Z43" s="11"/>
      <c r="AA43" s="11"/>
      <c r="AB43" s="11"/>
      <c r="AC43" s="11"/>
      <c r="AD43" s="11"/>
      <c r="AE43" s="11"/>
    </row>
    <row r="44" spans="1:31" s="784" customFormat="1" ht="18" customHeight="1" x14ac:dyDescent="0.3">
      <c r="A44" s="588">
        <v>52</v>
      </c>
      <c r="B44" s="776"/>
      <c r="C44" s="905"/>
      <c r="D44" s="905"/>
      <c r="E44" s="779" t="s">
        <v>239</v>
      </c>
      <c r="F44" s="906"/>
      <c r="G44" s="906"/>
      <c r="H44" s="906"/>
      <c r="I44" s="907"/>
      <c r="J44" s="908">
        <f>SUM(K44:R44)</f>
        <v>1983101</v>
      </c>
      <c r="K44" s="118">
        <v>1459330</v>
      </c>
      <c r="L44" s="118">
        <v>216137</v>
      </c>
      <c r="M44" s="118">
        <v>305300</v>
      </c>
      <c r="N44" s="118"/>
      <c r="O44" s="118"/>
      <c r="P44" s="118">
        <v>2334</v>
      </c>
      <c r="Q44" s="118"/>
      <c r="R44" s="909"/>
      <c r="S44" s="910"/>
      <c r="T44" s="910"/>
      <c r="U44" s="910"/>
      <c r="V44" s="910"/>
      <c r="W44" s="910"/>
      <c r="X44" s="910"/>
      <c r="Y44" s="910"/>
      <c r="Z44" s="910"/>
      <c r="AA44" s="910"/>
      <c r="AB44" s="910"/>
      <c r="AC44" s="910"/>
      <c r="AD44" s="910"/>
      <c r="AE44" s="910"/>
    </row>
    <row r="45" spans="1:31" s="784" customFormat="1" ht="18" customHeight="1" x14ac:dyDescent="0.3">
      <c r="A45" s="588">
        <v>53</v>
      </c>
      <c r="B45" s="776"/>
      <c r="C45" s="905"/>
      <c r="D45" s="905"/>
      <c r="E45" s="119" t="s">
        <v>702</v>
      </c>
      <c r="F45" s="906"/>
      <c r="G45" s="906"/>
      <c r="H45" s="906"/>
      <c r="I45" s="907"/>
      <c r="J45" s="818">
        <f>SUM(K45:R45)</f>
        <v>2067287</v>
      </c>
      <c r="K45" s="911">
        <v>1499424</v>
      </c>
      <c r="L45" s="911">
        <v>222362</v>
      </c>
      <c r="M45" s="911">
        <v>325991</v>
      </c>
      <c r="N45" s="911"/>
      <c r="O45" s="911"/>
      <c r="P45" s="911">
        <v>19510</v>
      </c>
      <c r="Q45" s="118"/>
      <c r="R45" s="909"/>
      <c r="S45" s="910"/>
      <c r="T45" s="910"/>
      <c r="U45" s="910"/>
      <c r="V45" s="910"/>
      <c r="W45" s="910"/>
      <c r="X45" s="910"/>
      <c r="Y45" s="910"/>
      <c r="Z45" s="910"/>
      <c r="AA45" s="910"/>
      <c r="AB45" s="910"/>
      <c r="AC45" s="910"/>
      <c r="AD45" s="910"/>
      <c r="AE45" s="910"/>
    </row>
    <row r="46" spans="1:31" s="784" customFormat="1" ht="18" customHeight="1" x14ac:dyDescent="0.3">
      <c r="A46" s="588">
        <v>54</v>
      </c>
      <c r="B46" s="776"/>
      <c r="C46" s="905"/>
      <c r="D46" s="905"/>
      <c r="E46" s="275" t="s">
        <v>749</v>
      </c>
      <c r="F46" s="906"/>
      <c r="G46" s="906"/>
      <c r="H46" s="906"/>
      <c r="I46" s="907"/>
      <c r="J46" s="912">
        <f>SUM(K46:R46)</f>
        <v>988994</v>
      </c>
      <c r="K46" s="913">
        <v>730821</v>
      </c>
      <c r="L46" s="913">
        <v>101942</v>
      </c>
      <c r="M46" s="913">
        <f>153035-1</f>
        <v>153034</v>
      </c>
      <c r="N46" s="913"/>
      <c r="O46" s="913"/>
      <c r="P46" s="913">
        <v>3197</v>
      </c>
      <c r="Q46" s="118"/>
      <c r="R46" s="909"/>
      <c r="S46" s="910"/>
      <c r="T46" s="910"/>
      <c r="U46" s="910"/>
      <c r="V46" s="910"/>
      <c r="W46" s="910"/>
      <c r="X46" s="910"/>
      <c r="Y46" s="910"/>
      <c r="Z46" s="910"/>
      <c r="AA46" s="910"/>
      <c r="AB46" s="910"/>
      <c r="AC46" s="910"/>
      <c r="AD46" s="910"/>
      <c r="AE46" s="910"/>
    </row>
    <row r="47" spans="1:31" s="859" customFormat="1" ht="22.5" customHeight="1" x14ac:dyDescent="0.3">
      <c r="A47" s="588">
        <v>59</v>
      </c>
      <c r="B47" s="770">
        <v>8</v>
      </c>
      <c r="C47" s="901"/>
      <c r="D47" s="119" t="s">
        <v>94</v>
      </c>
      <c r="E47" s="119"/>
      <c r="F47" s="914" t="s">
        <v>23</v>
      </c>
      <c r="G47" s="116">
        <v>123896</v>
      </c>
      <c r="H47" s="116">
        <v>123176</v>
      </c>
      <c r="I47" s="903">
        <v>144398</v>
      </c>
      <c r="J47" s="954"/>
      <c r="K47" s="116"/>
      <c r="L47" s="116"/>
      <c r="M47" s="116"/>
      <c r="N47" s="116"/>
      <c r="O47" s="116"/>
      <c r="P47" s="116"/>
      <c r="Q47" s="116"/>
      <c r="R47" s="904"/>
      <c r="S47" s="915"/>
      <c r="T47" s="915"/>
      <c r="U47" s="915"/>
      <c r="V47" s="915"/>
      <c r="W47" s="915"/>
      <c r="X47" s="915"/>
      <c r="Y47" s="915"/>
      <c r="Z47" s="915"/>
      <c r="AA47" s="915"/>
      <c r="AB47" s="915"/>
      <c r="AC47" s="915"/>
      <c r="AD47" s="915"/>
      <c r="AE47" s="915"/>
    </row>
    <row r="48" spans="1:31" s="799" customFormat="1" ht="18" customHeight="1" x14ac:dyDescent="0.3">
      <c r="A48" s="588">
        <v>60</v>
      </c>
      <c r="B48" s="955"/>
      <c r="C48" s="956"/>
      <c r="D48" s="956"/>
      <c r="E48" s="779" t="s">
        <v>239</v>
      </c>
      <c r="F48" s="957"/>
      <c r="G48" s="957"/>
      <c r="H48" s="957"/>
      <c r="I48" s="907"/>
      <c r="J48" s="908">
        <f>SUM(K48:R48)</f>
        <v>130030</v>
      </c>
      <c r="K48" s="118">
        <v>76305</v>
      </c>
      <c r="L48" s="118">
        <v>10332</v>
      </c>
      <c r="M48" s="118">
        <v>42193</v>
      </c>
      <c r="N48" s="118"/>
      <c r="O48" s="118"/>
      <c r="P48" s="118">
        <v>1200</v>
      </c>
      <c r="Q48" s="118"/>
      <c r="R48" s="909"/>
      <c r="S48" s="916"/>
      <c r="T48" s="916"/>
      <c r="U48" s="916"/>
      <c r="V48" s="916"/>
      <c r="W48" s="916"/>
      <c r="X48" s="916"/>
      <c r="Y48" s="916"/>
      <c r="Z48" s="916"/>
      <c r="AA48" s="916"/>
      <c r="AB48" s="916"/>
      <c r="AC48" s="916"/>
      <c r="AD48" s="916"/>
      <c r="AE48" s="916"/>
    </row>
    <row r="49" spans="1:31" s="799" customFormat="1" ht="18" customHeight="1" x14ac:dyDescent="0.3">
      <c r="A49" s="588">
        <v>61</v>
      </c>
      <c r="B49" s="955"/>
      <c r="C49" s="956"/>
      <c r="D49" s="956"/>
      <c r="E49" s="119" t="s">
        <v>702</v>
      </c>
      <c r="F49" s="957"/>
      <c r="G49" s="957"/>
      <c r="H49" s="957"/>
      <c r="I49" s="907"/>
      <c r="J49" s="818">
        <f>SUM(K49:R49)</f>
        <v>165018</v>
      </c>
      <c r="K49" s="911">
        <v>102955</v>
      </c>
      <c r="L49" s="911">
        <v>12316</v>
      </c>
      <c r="M49" s="911">
        <v>48047</v>
      </c>
      <c r="N49" s="911"/>
      <c r="O49" s="911"/>
      <c r="P49" s="911">
        <v>1700</v>
      </c>
      <c r="Q49" s="118"/>
      <c r="R49" s="909"/>
      <c r="S49" s="916"/>
      <c r="T49" s="916"/>
      <c r="U49" s="916"/>
      <c r="V49" s="916"/>
      <c r="W49" s="916"/>
      <c r="X49" s="916"/>
      <c r="Y49" s="916"/>
      <c r="Z49" s="916"/>
      <c r="AA49" s="916"/>
      <c r="AB49" s="916"/>
      <c r="AC49" s="916"/>
      <c r="AD49" s="916"/>
      <c r="AE49" s="916"/>
    </row>
    <row r="50" spans="1:31" s="799" customFormat="1" ht="18" customHeight="1" x14ac:dyDescent="0.3">
      <c r="A50" s="588">
        <v>62</v>
      </c>
      <c r="B50" s="955"/>
      <c r="C50" s="956"/>
      <c r="D50" s="956"/>
      <c r="E50" s="275" t="s">
        <v>745</v>
      </c>
      <c r="F50" s="957"/>
      <c r="G50" s="957"/>
      <c r="H50" s="957"/>
      <c r="I50" s="907"/>
      <c r="J50" s="912">
        <f>SUM(K50:R50)</f>
        <v>69106</v>
      </c>
      <c r="K50" s="913">
        <v>45813</v>
      </c>
      <c r="L50" s="913">
        <v>5268</v>
      </c>
      <c r="M50" s="913">
        <v>16888</v>
      </c>
      <c r="N50" s="913"/>
      <c r="O50" s="913"/>
      <c r="P50" s="913">
        <v>1137</v>
      </c>
      <c r="Q50" s="118"/>
      <c r="R50" s="909"/>
      <c r="S50" s="916"/>
      <c r="T50" s="916"/>
      <c r="U50" s="916"/>
      <c r="V50" s="916"/>
      <c r="W50" s="916"/>
      <c r="X50" s="916"/>
      <c r="Y50" s="916"/>
      <c r="Z50" s="916"/>
      <c r="AA50" s="916"/>
      <c r="AB50" s="916"/>
      <c r="AC50" s="916"/>
      <c r="AD50" s="916"/>
      <c r="AE50" s="916"/>
    </row>
    <row r="51" spans="1:31" s="859" customFormat="1" ht="22.5" customHeight="1" x14ac:dyDescent="0.3">
      <c r="A51" s="588">
        <v>65</v>
      </c>
      <c r="B51" s="770">
        <v>9</v>
      </c>
      <c r="C51" s="901"/>
      <c r="D51" s="119" t="s">
        <v>284</v>
      </c>
      <c r="E51" s="119"/>
      <c r="F51" s="914" t="s">
        <v>23</v>
      </c>
      <c r="G51" s="116">
        <v>433330</v>
      </c>
      <c r="H51" s="116">
        <v>411647</v>
      </c>
      <c r="I51" s="903">
        <v>516711</v>
      </c>
      <c r="J51" s="954"/>
      <c r="K51" s="116"/>
      <c r="L51" s="116"/>
      <c r="M51" s="116"/>
      <c r="N51" s="116"/>
      <c r="O51" s="116"/>
      <c r="P51" s="116"/>
      <c r="Q51" s="116"/>
      <c r="R51" s="904"/>
      <c r="S51" s="915"/>
      <c r="T51" s="915"/>
      <c r="U51" s="915"/>
      <c r="V51" s="915"/>
      <c r="W51" s="915"/>
      <c r="X51" s="915"/>
      <c r="Y51" s="915"/>
      <c r="Z51" s="915"/>
      <c r="AA51" s="915"/>
      <c r="AB51" s="915"/>
      <c r="AC51" s="915"/>
      <c r="AD51" s="915"/>
      <c r="AE51" s="915"/>
    </row>
    <row r="52" spans="1:31" s="799" customFormat="1" ht="18" customHeight="1" x14ac:dyDescent="0.3">
      <c r="A52" s="588">
        <v>66</v>
      </c>
      <c r="B52" s="955"/>
      <c r="C52" s="958"/>
      <c r="D52" s="958"/>
      <c r="E52" s="779" t="s">
        <v>239</v>
      </c>
      <c r="F52" s="959"/>
      <c r="G52" s="959"/>
      <c r="H52" s="959"/>
      <c r="I52" s="938"/>
      <c r="J52" s="939">
        <f>SUM(K52:R52)</f>
        <v>454370</v>
      </c>
      <c r="K52" s="940">
        <v>346236</v>
      </c>
      <c r="L52" s="940">
        <v>53765</v>
      </c>
      <c r="M52" s="940">
        <v>52819</v>
      </c>
      <c r="N52" s="940"/>
      <c r="O52" s="940"/>
      <c r="P52" s="940">
        <v>1550</v>
      </c>
      <c r="Q52" s="940"/>
      <c r="R52" s="941"/>
      <c r="S52" s="916"/>
      <c r="T52" s="916"/>
      <c r="U52" s="916"/>
      <c r="V52" s="916"/>
      <c r="W52" s="916"/>
      <c r="X52" s="916"/>
      <c r="Y52" s="916"/>
      <c r="Z52" s="916"/>
      <c r="AA52" s="916"/>
      <c r="AB52" s="916"/>
      <c r="AC52" s="916"/>
      <c r="AD52" s="916"/>
      <c r="AE52" s="916"/>
    </row>
    <row r="53" spans="1:31" s="799" customFormat="1" ht="18" customHeight="1" x14ac:dyDescent="0.3">
      <c r="A53" s="588">
        <v>67</v>
      </c>
      <c r="B53" s="955"/>
      <c r="C53" s="958"/>
      <c r="D53" s="958"/>
      <c r="E53" s="119" t="s">
        <v>702</v>
      </c>
      <c r="F53" s="959"/>
      <c r="G53" s="959"/>
      <c r="H53" s="959"/>
      <c r="I53" s="938"/>
      <c r="J53" s="942">
        <f>SUM(K53:R53)</f>
        <v>532793</v>
      </c>
      <c r="K53" s="943">
        <v>400092</v>
      </c>
      <c r="L53" s="943">
        <v>62727</v>
      </c>
      <c r="M53" s="943">
        <v>65974</v>
      </c>
      <c r="N53" s="943"/>
      <c r="O53" s="943"/>
      <c r="P53" s="943">
        <v>2500</v>
      </c>
      <c r="Q53" s="943">
        <v>1500</v>
      </c>
      <c r="R53" s="941"/>
      <c r="S53" s="916"/>
      <c r="T53" s="916"/>
      <c r="U53" s="916"/>
      <c r="V53" s="916"/>
      <c r="W53" s="916"/>
      <c r="X53" s="916"/>
      <c r="Y53" s="916"/>
      <c r="Z53" s="916"/>
      <c r="AA53" s="916"/>
      <c r="AB53" s="916"/>
      <c r="AC53" s="916"/>
      <c r="AD53" s="916"/>
      <c r="AE53" s="916"/>
    </row>
    <row r="54" spans="1:31" s="799" customFormat="1" ht="18" customHeight="1" x14ac:dyDescent="0.3">
      <c r="A54" s="588">
        <v>68</v>
      </c>
      <c r="B54" s="955"/>
      <c r="C54" s="958"/>
      <c r="D54" s="958"/>
      <c r="E54" s="275" t="s">
        <v>749</v>
      </c>
      <c r="F54" s="959"/>
      <c r="G54" s="959"/>
      <c r="H54" s="959"/>
      <c r="I54" s="938"/>
      <c r="J54" s="912">
        <f>SUM(K54:R54)</f>
        <v>263356</v>
      </c>
      <c r="K54" s="960">
        <v>209359</v>
      </c>
      <c r="L54" s="960">
        <v>28187</v>
      </c>
      <c r="M54" s="960">
        <v>24205</v>
      </c>
      <c r="N54" s="960"/>
      <c r="O54" s="960"/>
      <c r="P54" s="960">
        <v>105</v>
      </c>
      <c r="Q54" s="960">
        <v>1500</v>
      </c>
      <c r="R54" s="941"/>
      <c r="S54" s="916"/>
      <c r="T54" s="916"/>
      <c r="U54" s="916"/>
      <c r="V54" s="916"/>
      <c r="W54" s="916"/>
      <c r="X54" s="916"/>
      <c r="Y54" s="916"/>
      <c r="Z54" s="916"/>
      <c r="AA54" s="916"/>
      <c r="AB54" s="916"/>
      <c r="AC54" s="916"/>
      <c r="AD54" s="916"/>
      <c r="AE54" s="916"/>
    </row>
    <row r="55" spans="1:31" s="859" customFormat="1" ht="23.1" customHeight="1" x14ac:dyDescent="0.3">
      <c r="A55" s="588">
        <v>73</v>
      </c>
      <c r="B55" s="961"/>
      <c r="C55" s="901">
        <v>2</v>
      </c>
      <c r="D55" s="962" t="s">
        <v>376</v>
      </c>
      <c r="E55" s="962"/>
      <c r="F55" s="963"/>
      <c r="G55" s="116">
        <v>21263</v>
      </c>
      <c r="H55" s="116">
        <v>5948</v>
      </c>
      <c r="I55" s="903">
        <v>13792</v>
      </c>
      <c r="J55" s="954"/>
      <c r="K55" s="918"/>
      <c r="L55" s="918"/>
      <c r="M55" s="918"/>
      <c r="N55" s="913"/>
      <c r="O55" s="913"/>
      <c r="P55" s="913"/>
      <c r="Q55" s="913"/>
      <c r="R55" s="964"/>
      <c r="S55" s="915"/>
      <c r="T55" s="915"/>
      <c r="U55" s="915"/>
      <c r="V55" s="915"/>
      <c r="W55" s="915"/>
      <c r="X55" s="915"/>
      <c r="Y55" s="915"/>
      <c r="Z55" s="915"/>
      <c r="AA55" s="915"/>
      <c r="AB55" s="915"/>
      <c r="AC55" s="915"/>
      <c r="AD55" s="915"/>
      <c r="AE55" s="915"/>
    </row>
    <row r="56" spans="1:31" s="859" customFormat="1" ht="18" customHeight="1" x14ac:dyDescent="0.3">
      <c r="A56" s="588">
        <v>74</v>
      </c>
      <c r="B56" s="961"/>
      <c r="C56" s="965"/>
      <c r="D56" s="966"/>
      <c r="E56" s="779" t="s">
        <v>239</v>
      </c>
      <c r="F56" s="967"/>
      <c r="G56" s="767"/>
      <c r="H56" s="767"/>
      <c r="I56" s="898"/>
      <c r="J56" s="939">
        <f>SUM(K56:R56)</f>
        <v>5656</v>
      </c>
      <c r="K56" s="940"/>
      <c r="L56" s="940"/>
      <c r="M56" s="940">
        <v>5656</v>
      </c>
      <c r="N56" s="940"/>
      <c r="O56" s="940"/>
      <c r="P56" s="940"/>
      <c r="Q56" s="940"/>
      <c r="R56" s="941"/>
      <c r="S56" s="915"/>
      <c r="T56" s="915"/>
      <c r="U56" s="915"/>
      <c r="V56" s="915"/>
      <c r="W56" s="915"/>
      <c r="X56" s="915"/>
      <c r="Y56" s="915"/>
      <c r="Z56" s="915"/>
      <c r="AA56" s="915"/>
      <c r="AB56" s="915"/>
      <c r="AC56" s="915"/>
      <c r="AD56" s="915"/>
      <c r="AE56" s="915"/>
    </row>
    <row r="57" spans="1:31" s="859" customFormat="1" ht="18" customHeight="1" x14ac:dyDescent="0.3">
      <c r="A57" s="588">
        <v>75</v>
      </c>
      <c r="B57" s="961"/>
      <c r="C57" s="965"/>
      <c r="D57" s="966"/>
      <c r="E57" s="119" t="s">
        <v>702</v>
      </c>
      <c r="F57" s="967"/>
      <c r="G57" s="767"/>
      <c r="H57" s="767"/>
      <c r="I57" s="898"/>
      <c r="J57" s="942">
        <f>SUM(K57:R57)</f>
        <v>7656</v>
      </c>
      <c r="K57" s="943"/>
      <c r="L57" s="943"/>
      <c r="M57" s="943">
        <v>7656</v>
      </c>
      <c r="N57" s="940"/>
      <c r="O57" s="940"/>
      <c r="P57" s="940"/>
      <c r="Q57" s="940"/>
      <c r="R57" s="941"/>
      <c r="S57" s="915"/>
      <c r="T57" s="915"/>
      <c r="U57" s="915"/>
      <c r="V57" s="915"/>
      <c r="W57" s="915"/>
      <c r="X57" s="915"/>
      <c r="Y57" s="915"/>
      <c r="Z57" s="915"/>
      <c r="AA57" s="915"/>
      <c r="AB57" s="915"/>
      <c r="AC57" s="915"/>
      <c r="AD57" s="915"/>
      <c r="AE57" s="915"/>
    </row>
    <row r="58" spans="1:31" s="859" customFormat="1" ht="18" customHeight="1" thickBot="1" x14ac:dyDescent="0.35">
      <c r="A58" s="588">
        <v>76</v>
      </c>
      <c r="B58" s="961"/>
      <c r="C58" s="965"/>
      <c r="D58" s="962"/>
      <c r="E58" s="275" t="s">
        <v>746</v>
      </c>
      <c r="F58" s="967"/>
      <c r="G58" s="767"/>
      <c r="H58" s="767"/>
      <c r="I58" s="898"/>
      <c r="J58" s="912">
        <f>SUM(K58:R58)</f>
        <v>4048</v>
      </c>
      <c r="K58" s="118"/>
      <c r="L58" s="118"/>
      <c r="M58" s="913">
        <v>4048</v>
      </c>
      <c r="N58" s="118"/>
      <c r="O58" s="118"/>
      <c r="P58" s="118"/>
      <c r="Q58" s="118"/>
      <c r="R58" s="909"/>
      <c r="S58" s="915"/>
      <c r="T58" s="915"/>
      <c r="U58" s="915"/>
      <c r="V58" s="915"/>
      <c r="W58" s="915"/>
      <c r="X58" s="915"/>
      <c r="Y58" s="915"/>
      <c r="Z58" s="915"/>
      <c r="AA58" s="915"/>
      <c r="AB58" s="915"/>
      <c r="AC58" s="915"/>
      <c r="AD58" s="915"/>
      <c r="AE58" s="915"/>
    </row>
    <row r="59" spans="1:31" s="972" customFormat="1" ht="22.5" customHeight="1" thickTop="1" x14ac:dyDescent="0.2">
      <c r="A59" s="588">
        <v>78</v>
      </c>
      <c r="B59" s="928"/>
      <c r="C59" s="1236" t="s">
        <v>303</v>
      </c>
      <c r="D59" s="1237"/>
      <c r="E59" s="1238"/>
      <c r="F59" s="968"/>
      <c r="G59" s="929">
        <f>SUM(G43:G56)</f>
        <v>2281977</v>
      </c>
      <c r="H59" s="929">
        <f>SUM(H43:H56)</f>
        <v>2366254</v>
      </c>
      <c r="I59" s="930">
        <f>SUM(I43:I56)</f>
        <v>2640247</v>
      </c>
      <c r="J59" s="931"/>
      <c r="K59" s="969"/>
      <c r="L59" s="969"/>
      <c r="M59" s="969"/>
      <c r="N59" s="969"/>
      <c r="O59" s="969"/>
      <c r="P59" s="969"/>
      <c r="Q59" s="969"/>
      <c r="R59" s="970"/>
      <c r="S59" s="933"/>
      <c r="T59" s="971"/>
      <c r="U59" s="971"/>
      <c r="V59" s="971"/>
      <c r="W59" s="971"/>
      <c r="X59" s="971"/>
      <c r="Y59" s="971"/>
      <c r="Z59" s="971"/>
      <c r="AA59" s="971"/>
      <c r="AB59" s="971"/>
      <c r="AC59" s="971"/>
      <c r="AD59" s="971"/>
      <c r="AE59" s="971"/>
    </row>
    <row r="60" spans="1:31" s="799" customFormat="1" ht="18" customHeight="1" x14ac:dyDescent="0.3">
      <c r="A60" s="588">
        <v>79</v>
      </c>
      <c r="B60" s="955"/>
      <c r="C60" s="973"/>
      <c r="D60" s="958"/>
      <c r="E60" s="863" t="s">
        <v>239</v>
      </c>
      <c r="F60" s="959"/>
      <c r="G60" s="959"/>
      <c r="H60" s="959"/>
      <c r="I60" s="938"/>
      <c r="J60" s="939">
        <f>SUM(K60:R60)</f>
        <v>2573157</v>
      </c>
      <c r="K60" s="940">
        <f t="shared" ref="K60:R61" si="5">SUM(K44,K48,K52,K56)</f>
        <v>1881871</v>
      </c>
      <c r="L60" s="940">
        <f t="shared" si="5"/>
        <v>280234</v>
      </c>
      <c r="M60" s="940">
        <f t="shared" si="5"/>
        <v>405968</v>
      </c>
      <c r="N60" s="940">
        <f t="shared" si="5"/>
        <v>0</v>
      </c>
      <c r="O60" s="940">
        <f t="shared" si="5"/>
        <v>0</v>
      </c>
      <c r="P60" s="940">
        <f t="shared" si="5"/>
        <v>5084</v>
      </c>
      <c r="Q60" s="940">
        <f t="shared" si="5"/>
        <v>0</v>
      </c>
      <c r="R60" s="941">
        <f t="shared" si="5"/>
        <v>0</v>
      </c>
      <c r="S60" s="916"/>
      <c r="T60" s="916"/>
      <c r="U60" s="916"/>
      <c r="V60" s="916"/>
      <c r="W60" s="916"/>
      <c r="X60" s="916"/>
      <c r="Y60" s="916"/>
      <c r="Z60" s="916"/>
      <c r="AA60" s="916"/>
      <c r="AB60" s="916"/>
      <c r="AC60" s="916"/>
      <c r="AD60" s="916"/>
      <c r="AE60" s="916"/>
    </row>
    <row r="61" spans="1:31" s="799" customFormat="1" ht="18" customHeight="1" x14ac:dyDescent="0.3">
      <c r="A61" s="588">
        <v>80</v>
      </c>
      <c r="B61" s="974"/>
      <c r="C61" s="973"/>
      <c r="D61" s="958"/>
      <c r="E61" s="119" t="s">
        <v>702</v>
      </c>
      <c r="F61" s="959"/>
      <c r="G61" s="959"/>
      <c r="H61" s="959"/>
      <c r="I61" s="938"/>
      <c r="J61" s="942">
        <f>SUM(K61:R61)</f>
        <v>2772754</v>
      </c>
      <c r="K61" s="943">
        <f t="shared" si="5"/>
        <v>2002471</v>
      </c>
      <c r="L61" s="943">
        <f t="shared" si="5"/>
        <v>297405</v>
      </c>
      <c r="M61" s="943">
        <f t="shared" si="5"/>
        <v>447668</v>
      </c>
      <c r="N61" s="943">
        <f t="shared" si="5"/>
        <v>0</v>
      </c>
      <c r="O61" s="943">
        <f t="shared" si="5"/>
        <v>0</v>
      </c>
      <c r="P61" s="943">
        <f t="shared" si="5"/>
        <v>23710</v>
      </c>
      <c r="Q61" s="943">
        <f t="shared" si="5"/>
        <v>1500</v>
      </c>
      <c r="R61" s="944">
        <f t="shared" si="5"/>
        <v>0</v>
      </c>
      <c r="S61" s="916"/>
      <c r="T61" s="916"/>
      <c r="U61" s="916"/>
      <c r="V61" s="916"/>
      <c r="W61" s="916"/>
      <c r="X61" s="916"/>
      <c r="Y61" s="916"/>
      <c r="Z61" s="916"/>
      <c r="AA61" s="916"/>
      <c r="AB61" s="916"/>
      <c r="AC61" s="916"/>
      <c r="AD61" s="916"/>
      <c r="AE61" s="916"/>
    </row>
    <row r="62" spans="1:31" s="799" customFormat="1" ht="18" customHeight="1" thickBot="1" x14ac:dyDescent="0.35">
      <c r="A62" s="588">
        <v>81</v>
      </c>
      <c r="B62" s="974"/>
      <c r="C62" s="975"/>
      <c r="D62" s="976"/>
      <c r="E62" s="462" t="s">
        <v>745</v>
      </c>
      <c r="F62" s="977"/>
      <c r="G62" s="977"/>
      <c r="H62" s="977"/>
      <c r="I62" s="948"/>
      <c r="J62" s="949">
        <f>SUM(K62:R62)</f>
        <v>1325504</v>
      </c>
      <c r="K62" s="950">
        <f t="shared" ref="K62:R62" si="6">K58+K54+K50+K46</f>
        <v>985993</v>
      </c>
      <c r="L62" s="950">
        <f t="shared" si="6"/>
        <v>135397</v>
      </c>
      <c r="M62" s="950">
        <f t="shared" si="6"/>
        <v>198175</v>
      </c>
      <c r="N62" s="950">
        <f t="shared" si="6"/>
        <v>0</v>
      </c>
      <c r="O62" s="950">
        <f t="shared" si="6"/>
        <v>0</v>
      </c>
      <c r="P62" s="950">
        <f t="shared" si="6"/>
        <v>4439</v>
      </c>
      <c r="Q62" s="950">
        <f t="shared" si="6"/>
        <v>1500</v>
      </c>
      <c r="R62" s="951">
        <f t="shared" si="6"/>
        <v>0</v>
      </c>
      <c r="S62" s="916"/>
      <c r="T62" s="916"/>
      <c r="U62" s="916"/>
      <c r="V62" s="916"/>
      <c r="W62" s="916"/>
      <c r="X62" s="916"/>
      <c r="Y62" s="916"/>
      <c r="Z62" s="916"/>
      <c r="AA62" s="916"/>
      <c r="AB62" s="916"/>
      <c r="AC62" s="916"/>
      <c r="AD62" s="916"/>
      <c r="AE62" s="916"/>
    </row>
    <row r="63" spans="1:31" s="760" customFormat="1" ht="22.5" customHeight="1" thickTop="1" x14ac:dyDescent="0.3">
      <c r="A63" s="588">
        <v>83</v>
      </c>
      <c r="B63" s="763">
        <v>10</v>
      </c>
      <c r="C63" s="895"/>
      <c r="D63" s="896" t="s">
        <v>285</v>
      </c>
      <c r="E63" s="952"/>
      <c r="F63" s="897" t="s">
        <v>23</v>
      </c>
      <c r="G63" s="767">
        <v>499778</v>
      </c>
      <c r="H63" s="767">
        <v>421845</v>
      </c>
      <c r="I63" s="898">
        <v>411069</v>
      </c>
      <c r="J63" s="953"/>
      <c r="K63" s="767"/>
      <c r="L63" s="767"/>
      <c r="M63" s="767"/>
      <c r="N63" s="767"/>
      <c r="O63" s="767"/>
      <c r="P63" s="767"/>
      <c r="Q63" s="767"/>
      <c r="R63" s="900"/>
      <c r="S63" s="917"/>
      <c r="T63" s="917"/>
      <c r="U63" s="917"/>
      <c r="V63" s="917"/>
      <c r="W63" s="917"/>
      <c r="X63" s="917"/>
      <c r="Y63" s="917"/>
      <c r="Z63" s="917"/>
      <c r="AA63" s="917"/>
      <c r="AB63" s="917"/>
      <c r="AC63" s="917"/>
      <c r="AD63" s="917"/>
      <c r="AE63" s="917"/>
    </row>
    <row r="64" spans="1:31" s="799" customFormat="1" ht="18" customHeight="1" x14ac:dyDescent="0.3">
      <c r="A64" s="588">
        <v>84</v>
      </c>
      <c r="B64" s="955"/>
      <c r="C64" s="956"/>
      <c r="D64" s="956"/>
      <c r="E64" s="779" t="s">
        <v>239</v>
      </c>
      <c r="F64" s="957"/>
      <c r="G64" s="957"/>
      <c r="H64" s="957"/>
      <c r="I64" s="907"/>
      <c r="J64" s="908">
        <f>SUM(K64:R64)</f>
        <v>388211</v>
      </c>
      <c r="K64" s="118">
        <v>160958</v>
      </c>
      <c r="L64" s="118">
        <v>22098</v>
      </c>
      <c r="M64" s="118">
        <v>205155</v>
      </c>
      <c r="N64" s="118"/>
      <c r="O64" s="118"/>
      <c r="P64" s="118"/>
      <c r="Q64" s="118"/>
      <c r="R64" s="909"/>
      <c r="S64" s="916"/>
      <c r="T64" s="916"/>
      <c r="U64" s="916"/>
      <c r="V64" s="916"/>
      <c r="W64" s="916"/>
      <c r="X64" s="916"/>
      <c r="Y64" s="916"/>
      <c r="Z64" s="916"/>
      <c r="AA64" s="916"/>
      <c r="AB64" s="916"/>
      <c r="AC64" s="916"/>
      <c r="AD64" s="916"/>
      <c r="AE64" s="916"/>
    </row>
    <row r="65" spans="1:31" s="799" customFormat="1" ht="18" customHeight="1" x14ac:dyDescent="0.3">
      <c r="A65" s="588">
        <v>85</v>
      </c>
      <c r="B65" s="955"/>
      <c r="C65" s="956"/>
      <c r="D65" s="978"/>
      <c r="E65" s="119" t="s">
        <v>702</v>
      </c>
      <c r="F65" s="957"/>
      <c r="G65" s="957"/>
      <c r="H65" s="957"/>
      <c r="I65" s="907"/>
      <c r="J65" s="818">
        <f>SUM(K65:R65)</f>
        <v>520251</v>
      </c>
      <c r="K65" s="911">
        <v>191600</v>
      </c>
      <c r="L65" s="911">
        <v>26787</v>
      </c>
      <c r="M65" s="911">
        <v>282664</v>
      </c>
      <c r="N65" s="911"/>
      <c r="O65" s="911"/>
      <c r="P65" s="911">
        <v>19200</v>
      </c>
      <c r="Q65" s="118"/>
      <c r="R65" s="909"/>
      <c r="S65" s="916"/>
      <c r="T65" s="916"/>
      <c r="U65" s="916"/>
      <c r="V65" s="916"/>
      <c r="W65" s="916"/>
      <c r="X65" s="916"/>
      <c r="Y65" s="916"/>
      <c r="Z65" s="916"/>
      <c r="AA65" s="916"/>
      <c r="AB65" s="916"/>
      <c r="AC65" s="916"/>
      <c r="AD65" s="916"/>
      <c r="AE65" s="916"/>
    </row>
    <row r="66" spans="1:31" s="799" customFormat="1" ht="18" customHeight="1" x14ac:dyDescent="0.3">
      <c r="A66" s="588">
        <v>86</v>
      </c>
      <c r="B66" s="955"/>
      <c r="C66" s="956"/>
      <c r="D66" s="978"/>
      <c r="E66" s="275" t="s">
        <v>745</v>
      </c>
      <c r="F66" s="957"/>
      <c r="G66" s="957"/>
      <c r="H66" s="957"/>
      <c r="I66" s="907"/>
      <c r="J66" s="912">
        <f>SUM(K66:R66)</f>
        <v>187538</v>
      </c>
      <c r="K66" s="913">
        <v>71399</v>
      </c>
      <c r="L66" s="913">
        <v>9356</v>
      </c>
      <c r="M66" s="913">
        <v>103272</v>
      </c>
      <c r="N66" s="913"/>
      <c r="O66" s="913"/>
      <c r="P66" s="913">
        <v>3511</v>
      </c>
      <c r="Q66" s="118"/>
      <c r="R66" s="909"/>
      <c r="S66" s="916"/>
      <c r="T66" s="916"/>
      <c r="U66" s="916"/>
      <c r="V66" s="916"/>
      <c r="W66" s="916"/>
      <c r="X66" s="916"/>
      <c r="Y66" s="916"/>
      <c r="Z66" s="916"/>
      <c r="AA66" s="916"/>
      <c r="AB66" s="916"/>
      <c r="AC66" s="916"/>
      <c r="AD66" s="916"/>
      <c r="AE66" s="916"/>
    </row>
    <row r="67" spans="1:31" s="760" customFormat="1" ht="29.25" customHeight="1" x14ac:dyDescent="0.3">
      <c r="A67" s="588">
        <v>89</v>
      </c>
      <c r="B67" s="961"/>
      <c r="C67" s="979">
        <v>1</v>
      </c>
      <c r="D67" s="1239" t="s">
        <v>300</v>
      </c>
      <c r="E67" s="1240"/>
      <c r="F67" s="963"/>
      <c r="G67" s="116">
        <v>38465</v>
      </c>
      <c r="H67" s="116"/>
      <c r="I67" s="903"/>
      <c r="J67" s="954"/>
      <c r="K67" s="918"/>
      <c r="L67" s="918"/>
      <c r="M67" s="918"/>
      <c r="N67" s="913"/>
      <c r="O67" s="913"/>
      <c r="P67" s="913"/>
      <c r="Q67" s="913"/>
      <c r="R67" s="964"/>
      <c r="S67" s="917"/>
      <c r="T67" s="917"/>
      <c r="U67" s="917"/>
      <c r="V67" s="917"/>
      <c r="W67" s="917"/>
      <c r="X67" s="917"/>
      <c r="Y67" s="917"/>
      <c r="Z67" s="917"/>
      <c r="AA67" s="917"/>
      <c r="AB67" s="917"/>
      <c r="AC67" s="917"/>
      <c r="AD67" s="917"/>
      <c r="AE67" s="917"/>
    </row>
    <row r="68" spans="1:31" s="857" customFormat="1" ht="22.5" customHeight="1" x14ac:dyDescent="0.3">
      <c r="A68" s="588">
        <v>90</v>
      </c>
      <c r="B68" s="770">
        <v>11</v>
      </c>
      <c r="C68" s="901"/>
      <c r="D68" s="119" t="s">
        <v>282</v>
      </c>
      <c r="E68" s="119"/>
      <c r="F68" s="914" t="s">
        <v>23</v>
      </c>
      <c r="G68" s="116">
        <v>631182</v>
      </c>
      <c r="H68" s="116">
        <v>275654</v>
      </c>
      <c r="I68" s="903">
        <v>344063</v>
      </c>
      <c r="J68" s="954"/>
      <c r="K68" s="116"/>
      <c r="L68" s="116"/>
      <c r="M68" s="116"/>
      <c r="N68" s="116"/>
      <c r="O68" s="116"/>
      <c r="P68" s="116"/>
      <c r="Q68" s="116"/>
      <c r="R68" s="904"/>
      <c r="S68" s="11"/>
      <c r="T68" s="11"/>
      <c r="U68" s="11"/>
      <c r="V68" s="11"/>
      <c r="W68" s="11"/>
      <c r="X68" s="11"/>
      <c r="Y68" s="11"/>
      <c r="Z68" s="11"/>
      <c r="AA68" s="11"/>
      <c r="AB68" s="11"/>
      <c r="AC68" s="11"/>
      <c r="AD68" s="11"/>
      <c r="AE68" s="11"/>
    </row>
    <row r="69" spans="1:31" s="866" customFormat="1" ht="18" customHeight="1" x14ac:dyDescent="0.3">
      <c r="A69" s="588">
        <v>91</v>
      </c>
      <c r="B69" s="955"/>
      <c r="C69" s="956"/>
      <c r="D69" s="956"/>
      <c r="E69" s="779" t="s">
        <v>239</v>
      </c>
      <c r="F69" s="957"/>
      <c r="G69" s="957"/>
      <c r="H69" s="957"/>
      <c r="I69" s="907"/>
      <c r="J69" s="908">
        <f>SUM(K69:R69)</f>
        <v>345036</v>
      </c>
      <c r="K69" s="118">
        <v>148399</v>
      </c>
      <c r="L69" s="118">
        <v>20249</v>
      </c>
      <c r="M69" s="118">
        <v>174288</v>
      </c>
      <c r="N69" s="118"/>
      <c r="O69" s="118"/>
      <c r="P69" s="118">
        <v>2100</v>
      </c>
      <c r="Q69" s="118"/>
      <c r="R69" s="909"/>
      <c r="S69" s="980"/>
      <c r="T69" s="980"/>
      <c r="U69" s="980"/>
      <c r="V69" s="980"/>
      <c r="W69" s="980"/>
      <c r="X69" s="980"/>
      <c r="Y69" s="980"/>
      <c r="Z69" s="980"/>
      <c r="AA69" s="980"/>
      <c r="AB69" s="980"/>
      <c r="AC69" s="980"/>
      <c r="AD69" s="980"/>
      <c r="AE69" s="980"/>
    </row>
    <row r="70" spans="1:31" s="866" customFormat="1" ht="18" customHeight="1" x14ac:dyDescent="0.3">
      <c r="A70" s="588">
        <v>92</v>
      </c>
      <c r="B70" s="955"/>
      <c r="C70" s="956"/>
      <c r="D70" s="956"/>
      <c r="E70" s="119" t="s">
        <v>702</v>
      </c>
      <c r="F70" s="957"/>
      <c r="G70" s="957"/>
      <c r="H70" s="957"/>
      <c r="I70" s="907"/>
      <c r="J70" s="818">
        <f>SUM(K70:R70)</f>
        <v>377972</v>
      </c>
      <c r="K70" s="911">
        <v>161586</v>
      </c>
      <c r="L70" s="911">
        <v>21964</v>
      </c>
      <c r="M70" s="911">
        <v>191122</v>
      </c>
      <c r="N70" s="911"/>
      <c r="O70" s="911"/>
      <c r="P70" s="911">
        <v>3300</v>
      </c>
      <c r="Q70" s="118"/>
      <c r="R70" s="909"/>
      <c r="S70" s="980"/>
      <c r="T70" s="980"/>
      <c r="U70" s="980"/>
      <c r="V70" s="980"/>
      <c r="W70" s="980"/>
      <c r="X70" s="980"/>
      <c r="Y70" s="980"/>
      <c r="Z70" s="980"/>
      <c r="AA70" s="980"/>
      <c r="AB70" s="980"/>
      <c r="AC70" s="980"/>
      <c r="AD70" s="980"/>
      <c r="AE70" s="980"/>
    </row>
    <row r="71" spans="1:31" s="866" customFormat="1" ht="18" customHeight="1" x14ac:dyDescent="0.3">
      <c r="A71" s="588">
        <v>93</v>
      </c>
      <c r="B71" s="955"/>
      <c r="C71" s="956"/>
      <c r="D71" s="956"/>
      <c r="E71" s="275" t="s">
        <v>745</v>
      </c>
      <c r="F71" s="957"/>
      <c r="G71" s="957"/>
      <c r="H71" s="957"/>
      <c r="I71" s="907"/>
      <c r="J71" s="912">
        <f>SUM(K71:R71)</f>
        <v>158339</v>
      </c>
      <c r="K71" s="913">
        <v>73922</v>
      </c>
      <c r="L71" s="913">
        <v>8886</v>
      </c>
      <c r="M71" s="913">
        <v>73722</v>
      </c>
      <c r="N71" s="118"/>
      <c r="O71" s="118"/>
      <c r="P71" s="913">
        <f>1810-1</f>
        <v>1809</v>
      </c>
      <c r="Q71" s="118"/>
      <c r="R71" s="909"/>
      <c r="S71" s="980"/>
      <c r="T71" s="980"/>
      <c r="U71" s="980"/>
      <c r="V71" s="980"/>
      <c r="W71" s="980"/>
      <c r="X71" s="980"/>
      <c r="Y71" s="980"/>
      <c r="Z71" s="980"/>
      <c r="AA71" s="980"/>
      <c r="AB71" s="980"/>
      <c r="AC71" s="980"/>
      <c r="AD71" s="980"/>
      <c r="AE71" s="980"/>
    </row>
    <row r="72" spans="1:31" s="857" customFormat="1" ht="22.5" customHeight="1" x14ac:dyDescent="0.3">
      <c r="A72" s="588">
        <v>95</v>
      </c>
      <c r="B72" s="770">
        <v>12</v>
      </c>
      <c r="C72" s="901"/>
      <c r="D72" s="119" t="s">
        <v>620</v>
      </c>
      <c r="E72" s="119"/>
      <c r="F72" s="914" t="s">
        <v>23</v>
      </c>
      <c r="G72" s="116">
        <v>656144</v>
      </c>
      <c r="H72" s="116">
        <v>671116</v>
      </c>
      <c r="I72" s="903">
        <v>675848</v>
      </c>
      <c r="J72" s="954"/>
      <c r="K72" s="116"/>
      <c r="L72" s="116"/>
      <c r="M72" s="116"/>
      <c r="N72" s="116"/>
      <c r="O72" s="116"/>
      <c r="P72" s="116"/>
      <c r="Q72" s="116"/>
      <c r="R72" s="904"/>
      <c r="S72" s="11"/>
      <c r="T72" s="11"/>
      <c r="U72" s="11"/>
      <c r="V72" s="11"/>
      <c r="W72" s="11"/>
      <c r="X72" s="11"/>
      <c r="Y72" s="11"/>
      <c r="Z72" s="11"/>
      <c r="AA72" s="11"/>
      <c r="AB72" s="11"/>
      <c r="AC72" s="11"/>
      <c r="AD72" s="11"/>
      <c r="AE72" s="11"/>
    </row>
    <row r="73" spans="1:31" s="866" customFormat="1" ht="18" customHeight="1" x14ac:dyDescent="0.3">
      <c r="A73" s="588">
        <v>96</v>
      </c>
      <c r="B73" s="955"/>
      <c r="C73" s="956"/>
      <c r="D73" s="956"/>
      <c r="E73" s="779" t="s">
        <v>239</v>
      </c>
      <c r="F73" s="957"/>
      <c r="G73" s="957"/>
      <c r="H73" s="957"/>
      <c r="I73" s="907"/>
      <c r="J73" s="908">
        <f t="shared" ref="J73:J75" si="7">SUM(K73:R73)</f>
        <v>701280</v>
      </c>
      <c r="K73" s="118">
        <v>337524</v>
      </c>
      <c r="L73" s="118">
        <v>50352</v>
      </c>
      <c r="M73" s="118">
        <v>242816</v>
      </c>
      <c r="N73" s="118"/>
      <c r="O73" s="118"/>
      <c r="P73" s="118">
        <v>70588</v>
      </c>
      <c r="Q73" s="118"/>
      <c r="R73" s="909"/>
      <c r="S73" s="980"/>
      <c r="T73" s="980"/>
      <c r="U73" s="980"/>
      <c r="V73" s="980"/>
      <c r="W73" s="980"/>
      <c r="X73" s="980"/>
      <c r="Y73" s="980"/>
      <c r="Z73" s="980"/>
      <c r="AA73" s="980"/>
      <c r="AB73" s="980"/>
      <c r="AC73" s="980"/>
      <c r="AD73" s="980"/>
      <c r="AE73" s="980"/>
    </row>
    <row r="74" spans="1:31" s="866" customFormat="1" ht="18" customHeight="1" x14ac:dyDescent="0.3">
      <c r="A74" s="588">
        <v>97</v>
      </c>
      <c r="B74" s="955"/>
      <c r="C74" s="956"/>
      <c r="D74" s="956"/>
      <c r="E74" s="119" t="s">
        <v>702</v>
      </c>
      <c r="F74" s="957"/>
      <c r="G74" s="957"/>
      <c r="H74" s="957"/>
      <c r="I74" s="907"/>
      <c r="J74" s="818">
        <f t="shared" si="7"/>
        <v>771437</v>
      </c>
      <c r="K74" s="911">
        <v>354649</v>
      </c>
      <c r="L74" s="911">
        <v>52543</v>
      </c>
      <c r="M74" s="911">
        <v>276965</v>
      </c>
      <c r="N74" s="911"/>
      <c r="O74" s="911"/>
      <c r="P74" s="911">
        <v>87280</v>
      </c>
      <c r="Q74" s="118"/>
      <c r="R74" s="909"/>
      <c r="S74" s="980"/>
      <c r="T74" s="980"/>
      <c r="U74" s="980"/>
      <c r="V74" s="980"/>
      <c r="W74" s="980"/>
      <c r="X74" s="980"/>
      <c r="Y74" s="980"/>
      <c r="Z74" s="980"/>
      <c r="AA74" s="980"/>
      <c r="AB74" s="980"/>
      <c r="AC74" s="980"/>
      <c r="AD74" s="980"/>
      <c r="AE74" s="980"/>
    </row>
    <row r="75" spans="1:31" s="866" customFormat="1" ht="18" customHeight="1" x14ac:dyDescent="0.3">
      <c r="A75" s="588">
        <v>98</v>
      </c>
      <c r="B75" s="955"/>
      <c r="C75" s="956"/>
      <c r="D75" s="956"/>
      <c r="E75" s="275" t="s">
        <v>745</v>
      </c>
      <c r="F75" s="957"/>
      <c r="G75" s="957"/>
      <c r="H75" s="957"/>
      <c r="I75" s="907"/>
      <c r="J75" s="912">
        <f t="shared" si="7"/>
        <v>330987</v>
      </c>
      <c r="K75" s="913">
        <v>165057</v>
      </c>
      <c r="L75" s="913">
        <v>22643</v>
      </c>
      <c r="M75" s="913">
        <f>102984+1</f>
        <v>102985</v>
      </c>
      <c r="N75" s="913"/>
      <c r="O75" s="913"/>
      <c r="P75" s="913">
        <v>40302</v>
      </c>
      <c r="Q75" s="118"/>
      <c r="R75" s="909"/>
      <c r="S75" s="980"/>
      <c r="T75" s="980"/>
      <c r="U75" s="980"/>
      <c r="V75" s="980"/>
      <c r="W75" s="980"/>
      <c r="X75" s="980"/>
      <c r="Y75" s="980"/>
      <c r="Z75" s="980"/>
      <c r="AA75" s="980"/>
      <c r="AB75" s="980"/>
      <c r="AC75" s="980"/>
      <c r="AD75" s="980"/>
      <c r="AE75" s="980"/>
    </row>
    <row r="76" spans="1:31" s="760" customFormat="1" ht="18" customHeight="1" x14ac:dyDescent="0.3">
      <c r="A76" s="588">
        <v>100</v>
      </c>
      <c r="B76" s="961"/>
      <c r="C76" s="901">
        <v>1</v>
      </c>
      <c r="D76" s="962" t="s">
        <v>300</v>
      </c>
      <c r="E76" s="962"/>
      <c r="F76" s="963"/>
      <c r="G76" s="116">
        <v>15125</v>
      </c>
      <c r="H76" s="116"/>
      <c r="I76" s="903"/>
      <c r="J76" s="954"/>
      <c r="K76" s="918"/>
      <c r="L76" s="918"/>
      <c r="M76" s="918"/>
      <c r="N76" s="913"/>
      <c r="O76" s="913"/>
      <c r="P76" s="913"/>
      <c r="Q76" s="913"/>
      <c r="R76" s="964"/>
      <c r="S76" s="917"/>
      <c r="T76" s="917"/>
      <c r="U76" s="917"/>
      <c r="V76" s="917"/>
      <c r="W76" s="917"/>
      <c r="X76" s="917"/>
      <c r="Y76" s="917"/>
      <c r="Z76" s="917"/>
      <c r="AA76" s="917"/>
      <c r="AB76" s="917"/>
      <c r="AC76" s="917"/>
      <c r="AD76" s="917"/>
      <c r="AE76" s="917"/>
    </row>
    <row r="77" spans="1:31" s="760" customFormat="1" ht="22.5" customHeight="1" x14ac:dyDescent="0.3">
      <c r="A77" s="588">
        <v>101</v>
      </c>
      <c r="B77" s="770">
        <v>13</v>
      </c>
      <c r="C77" s="901"/>
      <c r="D77" s="119" t="s">
        <v>30</v>
      </c>
      <c r="E77" s="119"/>
      <c r="F77" s="914" t="s">
        <v>23</v>
      </c>
      <c r="G77" s="116">
        <v>544167</v>
      </c>
      <c r="H77" s="116">
        <v>689496</v>
      </c>
      <c r="I77" s="903">
        <v>753405</v>
      </c>
      <c r="J77" s="954"/>
      <c r="K77" s="116"/>
      <c r="L77" s="116"/>
      <c r="M77" s="116"/>
      <c r="N77" s="116"/>
      <c r="O77" s="116"/>
      <c r="P77" s="116"/>
      <c r="Q77" s="116"/>
      <c r="R77" s="904"/>
      <c r="S77" s="917"/>
      <c r="T77" s="917"/>
      <c r="U77" s="917"/>
      <c r="V77" s="917"/>
      <c r="W77" s="917"/>
      <c r="X77" s="917"/>
      <c r="Y77" s="917"/>
      <c r="Z77" s="917"/>
      <c r="AA77" s="917"/>
      <c r="AB77" s="917"/>
      <c r="AC77" s="917"/>
      <c r="AD77" s="917"/>
      <c r="AE77" s="917"/>
    </row>
    <row r="78" spans="1:31" s="866" customFormat="1" ht="18" customHeight="1" x14ac:dyDescent="0.3">
      <c r="A78" s="588">
        <v>102</v>
      </c>
      <c r="B78" s="955"/>
      <c r="C78" s="956"/>
      <c r="D78" s="956"/>
      <c r="E78" s="779" t="s">
        <v>239</v>
      </c>
      <c r="F78" s="957"/>
      <c r="G78" s="957"/>
      <c r="H78" s="957"/>
      <c r="I78" s="907"/>
      <c r="J78" s="908">
        <f>SUM(K78:R78)</f>
        <v>567474</v>
      </c>
      <c r="K78" s="118">
        <v>341800</v>
      </c>
      <c r="L78" s="118">
        <v>53420</v>
      </c>
      <c r="M78" s="118">
        <v>164854</v>
      </c>
      <c r="N78" s="118"/>
      <c r="O78" s="118"/>
      <c r="P78" s="118">
        <v>7400</v>
      </c>
      <c r="Q78" s="118"/>
      <c r="R78" s="909"/>
      <c r="S78" s="980"/>
      <c r="T78" s="980"/>
      <c r="U78" s="980"/>
      <c r="V78" s="980"/>
      <c r="W78" s="980"/>
      <c r="X78" s="980"/>
      <c r="Y78" s="980"/>
      <c r="Z78" s="980"/>
      <c r="AA78" s="980"/>
      <c r="AB78" s="980"/>
      <c r="AC78" s="980"/>
      <c r="AD78" s="980"/>
      <c r="AE78" s="980"/>
    </row>
    <row r="79" spans="1:31" s="866" customFormat="1" ht="18" customHeight="1" x14ac:dyDescent="0.3">
      <c r="A79" s="588">
        <v>103</v>
      </c>
      <c r="B79" s="955"/>
      <c r="C79" s="956"/>
      <c r="D79" s="956"/>
      <c r="E79" s="119" t="s">
        <v>702</v>
      </c>
      <c r="F79" s="957"/>
      <c r="G79" s="957"/>
      <c r="H79" s="957"/>
      <c r="I79" s="907"/>
      <c r="J79" s="818">
        <f>SUM(K79:R79)</f>
        <v>606482</v>
      </c>
      <c r="K79" s="911">
        <v>355389</v>
      </c>
      <c r="L79" s="911">
        <v>55186</v>
      </c>
      <c r="M79" s="911">
        <v>179967</v>
      </c>
      <c r="N79" s="911"/>
      <c r="O79" s="911"/>
      <c r="P79" s="911">
        <v>15940</v>
      </c>
      <c r="Q79" s="118"/>
      <c r="R79" s="909"/>
      <c r="S79" s="980"/>
      <c r="T79" s="980"/>
      <c r="U79" s="980"/>
      <c r="V79" s="980"/>
      <c r="W79" s="980"/>
      <c r="X79" s="980"/>
      <c r="Y79" s="980"/>
      <c r="Z79" s="980"/>
      <c r="AA79" s="980"/>
      <c r="AB79" s="980"/>
      <c r="AC79" s="980"/>
      <c r="AD79" s="980"/>
      <c r="AE79" s="980"/>
    </row>
    <row r="80" spans="1:31" s="866" customFormat="1" ht="18" customHeight="1" x14ac:dyDescent="0.3">
      <c r="A80" s="588">
        <v>104</v>
      </c>
      <c r="B80" s="955"/>
      <c r="C80" s="956"/>
      <c r="D80" s="956"/>
      <c r="E80" s="275" t="s">
        <v>745</v>
      </c>
      <c r="F80" s="957"/>
      <c r="G80" s="957"/>
      <c r="H80" s="957"/>
      <c r="I80" s="907"/>
      <c r="J80" s="912">
        <f>SUM(K80:R80)</f>
        <v>259157</v>
      </c>
      <c r="K80" s="913">
        <v>153799</v>
      </c>
      <c r="L80" s="913">
        <v>23012</v>
      </c>
      <c r="M80" s="913">
        <v>82079</v>
      </c>
      <c r="N80" s="913"/>
      <c r="O80" s="913"/>
      <c r="P80" s="913">
        <v>267</v>
      </c>
      <c r="Q80" s="118"/>
      <c r="R80" s="909"/>
      <c r="S80" s="980"/>
      <c r="T80" s="980"/>
      <c r="U80" s="980"/>
      <c r="V80" s="980"/>
      <c r="W80" s="980"/>
      <c r="X80" s="980"/>
      <c r="Y80" s="980"/>
      <c r="Z80" s="980"/>
      <c r="AA80" s="980"/>
      <c r="AB80" s="980"/>
      <c r="AC80" s="980"/>
      <c r="AD80" s="980"/>
      <c r="AE80" s="980"/>
    </row>
    <row r="81" spans="1:31" s="857" customFormat="1" ht="18" customHeight="1" x14ac:dyDescent="0.3">
      <c r="A81" s="588">
        <v>106</v>
      </c>
      <c r="B81" s="981"/>
      <c r="C81" s="901">
        <v>1</v>
      </c>
      <c r="D81" s="119" t="s">
        <v>331</v>
      </c>
      <c r="E81" s="982"/>
      <c r="F81" s="983"/>
      <c r="G81" s="116">
        <v>9796</v>
      </c>
      <c r="H81" s="116"/>
      <c r="I81" s="984"/>
      <c r="J81" s="954"/>
      <c r="K81" s="913"/>
      <c r="L81" s="913"/>
      <c r="M81" s="913"/>
      <c r="N81" s="913"/>
      <c r="O81" s="913"/>
      <c r="P81" s="913"/>
      <c r="Q81" s="913"/>
      <c r="R81" s="964"/>
      <c r="S81" s="11"/>
      <c r="T81" s="11"/>
      <c r="U81" s="11"/>
      <c r="V81" s="11"/>
      <c r="W81" s="11"/>
      <c r="X81" s="11"/>
      <c r="Y81" s="11"/>
      <c r="Z81" s="11"/>
      <c r="AA81" s="11"/>
      <c r="AB81" s="11"/>
      <c r="AC81" s="11"/>
      <c r="AD81" s="11"/>
      <c r="AE81" s="11"/>
    </row>
    <row r="82" spans="1:31" s="760" customFormat="1" ht="29.65" customHeight="1" x14ac:dyDescent="0.3">
      <c r="A82" s="588">
        <v>107</v>
      </c>
      <c r="B82" s="961"/>
      <c r="C82" s="979">
        <v>2</v>
      </c>
      <c r="D82" s="1244" t="s">
        <v>352</v>
      </c>
      <c r="E82" s="1245"/>
      <c r="F82" s="963"/>
      <c r="G82" s="116">
        <v>2110</v>
      </c>
      <c r="H82" s="116"/>
      <c r="I82" s="903"/>
      <c r="J82" s="954"/>
      <c r="K82" s="918"/>
      <c r="L82" s="918"/>
      <c r="M82" s="918"/>
      <c r="N82" s="913"/>
      <c r="O82" s="913"/>
      <c r="P82" s="913"/>
      <c r="Q82" s="913"/>
      <c r="R82" s="964"/>
      <c r="S82" s="917"/>
      <c r="T82" s="917"/>
      <c r="U82" s="917"/>
      <c r="V82" s="917"/>
      <c r="W82" s="917"/>
      <c r="X82" s="917"/>
      <c r="Y82" s="917"/>
      <c r="Z82" s="917"/>
      <c r="AA82" s="917"/>
      <c r="AB82" s="917"/>
      <c r="AC82" s="917"/>
      <c r="AD82" s="917"/>
      <c r="AE82" s="917"/>
    </row>
    <row r="83" spans="1:31" s="760" customFormat="1" ht="18" customHeight="1" x14ac:dyDescent="0.3">
      <c r="A83" s="588">
        <v>108</v>
      </c>
      <c r="B83" s="961"/>
      <c r="C83" s="901">
        <v>3</v>
      </c>
      <c r="D83" s="1239" t="s">
        <v>375</v>
      </c>
      <c r="E83" s="1240"/>
      <c r="F83" s="963"/>
      <c r="G83" s="116">
        <v>7179</v>
      </c>
      <c r="H83" s="116"/>
      <c r="I83" s="903"/>
      <c r="J83" s="954"/>
      <c r="K83" s="918"/>
      <c r="L83" s="918"/>
      <c r="M83" s="918"/>
      <c r="N83" s="913"/>
      <c r="O83" s="913"/>
      <c r="P83" s="913"/>
      <c r="Q83" s="913"/>
      <c r="R83" s="964"/>
      <c r="S83" s="917"/>
      <c r="T83" s="917"/>
      <c r="U83" s="917"/>
      <c r="V83" s="917"/>
      <c r="W83" s="917"/>
      <c r="X83" s="917"/>
      <c r="Y83" s="917"/>
      <c r="Z83" s="917"/>
      <c r="AA83" s="917"/>
      <c r="AB83" s="917"/>
      <c r="AC83" s="917"/>
      <c r="AD83" s="917"/>
      <c r="AE83" s="917"/>
    </row>
    <row r="84" spans="1:31" s="760" customFormat="1" ht="22.5" customHeight="1" x14ac:dyDescent="0.3">
      <c r="A84" s="588">
        <v>109</v>
      </c>
      <c r="B84" s="770">
        <v>14</v>
      </c>
      <c r="C84" s="901"/>
      <c r="D84" s="119" t="s">
        <v>283</v>
      </c>
      <c r="E84" s="119"/>
      <c r="F84" s="914" t="s">
        <v>24</v>
      </c>
      <c r="G84" s="116">
        <v>396829</v>
      </c>
      <c r="H84" s="116">
        <v>265743</v>
      </c>
      <c r="I84" s="903">
        <v>325347</v>
      </c>
      <c r="J84" s="954"/>
      <c r="K84" s="116"/>
      <c r="L84" s="116"/>
      <c r="M84" s="116"/>
      <c r="N84" s="116"/>
      <c r="O84" s="116"/>
      <c r="P84" s="116"/>
      <c r="Q84" s="116"/>
      <c r="R84" s="904"/>
      <c r="S84" s="917"/>
      <c r="T84" s="917"/>
      <c r="U84" s="917"/>
      <c r="V84" s="917"/>
      <c r="W84" s="917"/>
      <c r="X84" s="917"/>
      <c r="Y84" s="917"/>
      <c r="Z84" s="917"/>
      <c r="AA84" s="917"/>
      <c r="AB84" s="917"/>
      <c r="AC84" s="917"/>
      <c r="AD84" s="917"/>
      <c r="AE84" s="917"/>
    </row>
    <row r="85" spans="1:31" s="784" customFormat="1" ht="18" customHeight="1" x14ac:dyDescent="0.3">
      <c r="A85" s="588">
        <v>110</v>
      </c>
      <c r="B85" s="955"/>
      <c r="C85" s="956"/>
      <c r="D85" s="956"/>
      <c r="E85" s="779" t="s">
        <v>239</v>
      </c>
      <c r="F85" s="957"/>
      <c r="G85" s="957"/>
      <c r="H85" s="957"/>
      <c r="I85" s="907"/>
      <c r="J85" s="908">
        <f>SUM(K85:R85)</f>
        <v>417855</v>
      </c>
      <c r="K85" s="118">
        <v>191298</v>
      </c>
      <c r="L85" s="118">
        <v>30077</v>
      </c>
      <c r="M85" s="118">
        <v>180646</v>
      </c>
      <c r="N85" s="118"/>
      <c r="O85" s="118"/>
      <c r="P85" s="118">
        <v>15834</v>
      </c>
      <c r="Q85" s="118"/>
      <c r="R85" s="909"/>
      <c r="S85" s="910"/>
      <c r="T85" s="910"/>
      <c r="U85" s="910"/>
      <c r="V85" s="910"/>
      <c r="W85" s="910"/>
      <c r="X85" s="910"/>
      <c r="Y85" s="910"/>
      <c r="Z85" s="910"/>
      <c r="AA85" s="910"/>
      <c r="AB85" s="910"/>
      <c r="AC85" s="910"/>
      <c r="AD85" s="910"/>
      <c r="AE85" s="910"/>
    </row>
    <row r="86" spans="1:31" s="784" customFormat="1" ht="18" customHeight="1" x14ac:dyDescent="0.3">
      <c r="A86" s="588">
        <v>111</v>
      </c>
      <c r="B86" s="955"/>
      <c r="C86" s="956"/>
      <c r="D86" s="956"/>
      <c r="E86" s="119" t="s">
        <v>702</v>
      </c>
      <c r="F86" s="957"/>
      <c r="G86" s="957"/>
      <c r="H86" s="957"/>
      <c r="I86" s="907"/>
      <c r="J86" s="818">
        <f>SUM(K86:R86)</f>
        <v>437024</v>
      </c>
      <c r="K86" s="911">
        <v>193180</v>
      </c>
      <c r="L86" s="911">
        <v>31295</v>
      </c>
      <c r="M86" s="911">
        <v>186315</v>
      </c>
      <c r="N86" s="911"/>
      <c r="O86" s="911"/>
      <c r="P86" s="911">
        <v>26234</v>
      </c>
      <c r="Q86" s="118"/>
      <c r="R86" s="909"/>
      <c r="S86" s="910"/>
      <c r="T86" s="910"/>
      <c r="U86" s="910"/>
      <c r="V86" s="910"/>
      <c r="W86" s="910"/>
      <c r="X86" s="910"/>
      <c r="Y86" s="910"/>
      <c r="Z86" s="910"/>
      <c r="AA86" s="910"/>
      <c r="AB86" s="910"/>
      <c r="AC86" s="910"/>
      <c r="AD86" s="910"/>
      <c r="AE86" s="910"/>
    </row>
    <row r="87" spans="1:31" s="784" customFormat="1" ht="18" customHeight="1" x14ac:dyDescent="0.3">
      <c r="A87" s="588">
        <v>112</v>
      </c>
      <c r="B87" s="955"/>
      <c r="C87" s="956"/>
      <c r="D87" s="956"/>
      <c r="E87" s="275" t="s">
        <v>745</v>
      </c>
      <c r="F87" s="957"/>
      <c r="G87" s="957"/>
      <c r="H87" s="957"/>
      <c r="I87" s="907"/>
      <c r="J87" s="912">
        <f>SUM(K87:R87)</f>
        <v>233523</v>
      </c>
      <c r="K87" s="913">
        <v>88220</v>
      </c>
      <c r="L87" s="913">
        <v>10413</v>
      </c>
      <c r="M87" s="913">
        <v>112492</v>
      </c>
      <c r="N87" s="913"/>
      <c r="O87" s="913"/>
      <c r="P87" s="913">
        <v>22398</v>
      </c>
      <c r="Q87" s="118"/>
      <c r="R87" s="909"/>
      <c r="S87" s="910"/>
      <c r="T87" s="910"/>
      <c r="U87" s="910"/>
      <c r="V87" s="910"/>
      <c r="W87" s="910"/>
      <c r="X87" s="910"/>
      <c r="Y87" s="910"/>
      <c r="Z87" s="910"/>
      <c r="AA87" s="910"/>
      <c r="AB87" s="910"/>
      <c r="AC87" s="910"/>
      <c r="AD87" s="910"/>
      <c r="AE87" s="910"/>
    </row>
    <row r="88" spans="1:31" ht="22.5" customHeight="1" x14ac:dyDescent="0.3">
      <c r="A88" s="588">
        <v>116</v>
      </c>
      <c r="B88" s="770">
        <v>15</v>
      </c>
      <c r="C88" s="901"/>
      <c r="D88" s="119" t="s">
        <v>114</v>
      </c>
      <c r="E88" s="119"/>
      <c r="F88" s="914" t="s">
        <v>24</v>
      </c>
      <c r="G88" s="116">
        <v>1218027</v>
      </c>
      <c r="H88" s="116">
        <v>950477</v>
      </c>
      <c r="I88" s="903">
        <v>1194197</v>
      </c>
      <c r="J88" s="954"/>
      <c r="K88" s="116"/>
      <c r="L88" s="116"/>
      <c r="M88" s="116"/>
      <c r="N88" s="116"/>
      <c r="O88" s="116"/>
      <c r="P88" s="116"/>
      <c r="Q88" s="116"/>
      <c r="R88" s="904"/>
    </row>
    <row r="89" spans="1:31" s="784" customFormat="1" ht="18" customHeight="1" x14ac:dyDescent="0.3">
      <c r="A89" s="588">
        <v>117</v>
      </c>
      <c r="B89" s="955"/>
      <c r="C89" s="958"/>
      <c r="D89" s="958"/>
      <c r="E89" s="863" t="s">
        <v>239</v>
      </c>
      <c r="F89" s="959"/>
      <c r="G89" s="959"/>
      <c r="H89" s="959"/>
      <c r="I89" s="938"/>
      <c r="J89" s="939">
        <f>SUM(K89:R89)</f>
        <v>1005749</v>
      </c>
      <c r="K89" s="940">
        <v>582717</v>
      </c>
      <c r="L89" s="940">
        <v>56556</v>
      </c>
      <c r="M89" s="940">
        <v>362124</v>
      </c>
      <c r="N89" s="940"/>
      <c r="O89" s="940"/>
      <c r="P89" s="940">
        <v>4352</v>
      </c>
      <c r="Q89" s="940"/>
      <c r="R89" s="941"/>
      <c r="S89" s="910"/>
      <c r="T89" s="910"/>
      <c r="U89" s="910"/>
      <c r="V89" s="910"/>
      <c r="W89" s="910"/>
      <c r="X89" s="910"/>
      <c r="Y89" s="910"/>
      <c r="Z89" s="910"/>
      <c r="AA89" s="910"/>
      <c r="AB89" s="910"/>
      <c r="AC89" s="910"/>
      <c r="AD89" s="910"/>
      <c r="AE89" s="910"/>
    </row>
    <row r="90" spans="1:31" s="784" customFormat="1" ht="18" customHeight="1" x14ac:dyDescent="0.3">
      <c r="A90" s="588">
        <v>118</v>
      </c>
      <c r="B90" s="955"/>
      <c r="C90" s="958"/>
      <c r="D90" s="958"/>
      <c r="E90" s="119" t="s">
        <v>702</v>
      </c>
      <c r="F90" s="959"/>
      <c r="G90" s="959"/>
      <c r="H90" s="959"/>
      <c r="I90" s="938"/>
      <c r="J90" s="942">
        <f>SUM(K90:R90)</f>
        <v>1077172</v>
      </c>
      <c r="K90" s="943">
        <v>605322</v>
      </c>
      <c r="L90" s="943">
        <v>56835</v>
      </c>
      <c r="M90" s="943">
        <v>401663</v>
      </c>
      <c r="N90" s="943"/>
      <c r="O90" s="943"/>
      <c r="P90" s="943">
        <v>13352</v>
      </c>
      <c r="Q90" s="940"/>
      <c r="R90" s="941"/>
      <c r="S90" s="910"/>
      <c r="T90" s="910"/>
      <c r="U90" s="910"/>
      <c r="V90" s="910"/>
      <c r="W90" s="910"/>
      <c r="X90" s="910"/>
      <c r="Y90" s="910"/>
      <c r="Z90" s="910"/>
      <c r="AA90" s="910"/>
      <c r="AB90" s="910"/>
      <c r="AC90" s="910"/>
      <c r="AD90" s="910"/>
      <c r="AE90" s="910"/>
    </row>
    <row r="91" spans="1:31" s="784" customFormat="1" ht="18" customHeight="1" thickBot="1" x14ac:dyDescent="0.35">
      <c r="A91" s="588">
        <v>119</v>
      </c>
      <c r="B91" s="955"/>
      <c r="C91" s="985"/>
      <c r="D91" s="985"/>
      <c r="E91" s="275" t="s">
        <v>745</v>
      </c>
      <c r="F91" s="957"/>
      <c r="G91" s="957"/>
      <c r="H91" s="957"/>
      <c r="I91" s="986"/>
      <c r="J91" s="912">
        <f>SUM(K91:R91)</f>
        <v>586876</v>
      </c>
      <c r="K91" s="913">
        <v>291070</v>
      </c>
      <c r="L91" s="913">
        <v>27788</v>
      </c>
      <c r="M91" s="913">
        <v>262574</v>
      </c>
      <c r="N91" s="913"/>
      <c r="O91" s="913"/>
      <c r="P91" s="913">
        <v>5444</v>
      </c>
      <c r="Q91" s="118"/>
      <c r="R91" s="909"/>
      <c r="S91" s="910"/>
      <c r="T91" s="910"/>
      <c r="U91" s="910"/>
      <c r="V91" s="910"/>
      <c r="W91" s="910"/>
      <c r="X91" s="910"/>
      <c r="Y91" s="910"/>
      <c r="Z91" s="910"/>
      <c r="AA91" s="910"/>
      <c r="AB91" s="910"/>
      <c r="AC91" s="910"/>
      <c r="AD91" s="910"/>
      <c r="AE91" s="910"/>
    </row>
    <row r="92" spans="1:31" s="972" customFormat="1" ht="22.5" customHeight="1" thickTop="1" x14ac:dyDescent="0.2">
      <c r="A92" s="588">
        <v>121</v>
      </c>
      <c r="B92" s="928"/>
      <c r="C92" s="1294" t="s">
        <v>304</v>
      </c>
      <c r="D92" s="1295"/>
      <c r="E92" s="1296"/>
      <c r="F92" s="987"/>
      <c r="G92" s="929">
        <f>SUM(G63:G89)</f>
        <v>4018802</v>
      </c>
      <c r="H92" s="929">
        <f>SUM(H63:H89)</f>
        <v>3274331</v>
      </c>
      <c r="I92" s="988">
        <f>SUM(I63:I89)</f>
        <v>3703929</v>
      </c>
      <c r="J92" s="989"/>
      <c r="K92" s="969"/>
      <c r="L92" s="969"/>
      <c r="M92" s="969"/>
      <c r="N92" s="969"/>
      <c r="O92" s="969"/>
      <c r="P92" s="969"/>
      <c r="Q92" s="969"/>
      <c r="R92" s="970"/>
      <c r="S92" s="971"/>
      <c r="T92" s="971"/>
      <c r="U92" s="971"/>
      <c r="V92" s="971"/>
      <c r="W92" s="971"/>
      <c r="X92" s="971"/>
      <c r="Y92" s="971"/>
      <c r="Z92" s="971"/>
      <c r="AA92" s="971"/>
      <c r="AB92" s="971"/>
      <c r="AC92" s="971"/>
      <c r="AD92" s="971"/>
      <c r="AE92" s="971"/>
    </row>
    <row r="93" spans="1:31" s="784" customFormat="1" ht="18" customHeight="1" x14ac:dyDescent="0.3">
      <c r="A93" s="588">
        <v>122</v>
      </c>
      <c r="B93" s="955"/>
      <c r="C93" s="973"/>
      <c r="D93" s="958"/>
      <c r="E93" s="863" t="s">
        <v>239</v>
      </c>
      <c r="F93" s="959"/>
      <c r="G93" s="959"/>
      <c r="H93" s="959"/>
      <c r="I93" s="938"/>
      <c r="J93" s="939">
        <f t="shared" ref="J93:R93" si="8">SUM(J64,J69,J73,J78,J85,J89)</f>
        <v>3425605</v>
      </c>
      <c r="K93" s="940">
        <f t="shared" si="8"/>
        <v>1762696</v>
      </c>
      <c r="L93" s="940">
        <f t="shared" si="8"/>
        <v>232752</v>
      </c>
      <c r="M93" s="940">
        <f t="shared" si="8"/>
        <v>1329883</v>
      </c>
      <c r="N93" s="940">
        <f t="shared" si="8"/>
        <v>0</v>
      </c>
      <c r="O93" s="940">
        <f t="shared" si="8"/>
        <v>0</v>
      </c>
      <c r="P93" s="940">
        <f t="shared" si="8"/>
        <v>100274</v>
      </c>
      <c r="Q93" s="940">
        <f t="shared" si="8"/>
        <v>0</v>
      </c>
      <c r="R93" s="941">
        <f t="shared" si="8"/>
        <v>0</v>
      </c>
      <c r="S93" s="910"/>
      <c r="T93" s="910"/>
      <c r="U93" s="910"/>
      <c r="V93" s="910"/>
      <c r="W93" s="910"/>
      <c r="X93" s="910"/>
      <c r="Y93" s="910"/>
      <c r="Z93" s="910"/>
      <c r="AA93" s="910"/>
      <c r="AB93" s="910"/>
      <c r="AC93" s="910"/>
      <c r="AD93" s="910"/>
      <c r="AE93" s="910"/>
    </row>
    <row r="94" spans="1:31" s="784" customFormat="1" ht="18" customHeight="1" x14ac:dyDescent="0.3">
      <c r="A94" s="588">
        <v>123</v>
      </c>
      <c r="B94" s="974"/>
      <c r="C94" s="973"/>
      <c r="D94" s="958"/>
      <c r="E94" s="119" t="s">
        <v>702</v>
      </c>
      <c r="F94" s="959"/>
      <c r="G94" s="959"/>
      <c r="H94" s="959"/>
      <c r="I94" s="938"/>
      <c r="J94" s="942">
        <f t="shared" ref="J94:R94" si="9">SUM(J65,J70,J74,J79,J86,J90)</f>
        <v>3790338</v>
      </c>
      <c r="K94" s="943">
        <f t="shared" si="9"/>
        <v>1861726</v>
      </c>
      <c r="L94" s="943">
        <f t="shared" si="9"/>
        <v>244610</v>
      </c>
      <c r="M94" s="943">
        <f t="shared" si="9"/>
        <v>1518696</v>
      </c>
      <c r="N94" s="943">
        <f t="shared" si="9"/>
        <v>0</v>
      </c>
      <c r="O94" s="943">
        <f t="shared" si="9"/>
        <v>0</v>
      </c>
      <c r="P94" s="943">
        <f t="shared" si="9"/>
        <v>165306</v>
      </c>
      <c r="Q94" s="943">
        <f t="shared" si="9"/>
        <v>0</v>
      </c>
      <c r="R94" s="944">
        <f t="shared" si="9"/>
        <v>0</v>
      </c>
      <c r="S94" s="910"/>
      <c r="T94" s="910"/>
      <c r="U94" s="910"/>
      <c r="V94" s="910"/>
      <c r="W94" s="910"/>
      <c r="X94" s="910"/>
      <c r="Y94" s="910"/>
      <c r="Z94" s="910"/>
      <c r="AA94" s="910"/>
      <c r="AB94" s="910"/>
      <c r="AC94" s="910"/>
      <c r="AD94" s="910"/>
      <c r="AE94" s="910"/>
    </row>
    <row r="95" spans="1:31" s="784" customFormat="1" ht="18" customHeight="1" thickBot="1" x14ac:dyDescent="0.35">
      <c r="A95" s="588">
        <v>124</v>
      </c>
      <c r="B95" s="974"/>
      <c r="C95" s="975"/>
      <c r="D95" s="976"/>
      <c r="E95" s="462" t="s">
        <v>745</v>
      </c>
      <c r="F95" s="977"/>
      <c r="G95" s="977"/>
      <c r="H95" s="977"/>
      <c r="I95" s="948"/>
      <c r="J95" s="949">
        <f>SUM(K95:R95)</f>
        <v>1756420</v>
      </c>
      <c r="K95" s="950">
        <f t="shared" ref="K95:R95" si="10">K91+K87+K80+K75+K71+K66</f>
        <v>843467</v>
      </c>
      <c r="L95" s="950">
        <f t="shared" si="10"/>
        <v>102098</v>
      </c>
      <c r="M95" s="950">
        <f t="shared" si="10"/>
        <v>737124</v>
      </c>
      <c r="N95" s="950">
        <f t="shared" si="10"/>
        <v>0</v>
      </c>
      <c r="O95" s="950">
        <f t="shared" si="10"/>
        <v>0</v>
      </c>
      <c r="P95" s="950">
        <f t="shared" si="10"/>
        <v>73731</v>
      </c>
      <c r="Q95" s="950">
        <f t="shared" si="10"/>
        <v>0</v>
      </c>
      <c r="R95" s="951">
        <f t="shared" si="10"/>
        <v>0</v>
      </c>
      <c r="S95" s="910"/>
      <c r="T95" s="910"/>
      <c r="U95" s="910"/>
      <c r="V95" s="910"/>
      <c r="W95" s="910"/>
      <c r="X95" s="910"/>
      <c r="Y95" s="910"/>
      <c r="Z95" s="910"/>
      <c r="AA95" s="910"/>
      <c r="AB95" s="910"/>
      <c r="AC95" s="910"/>
      <c r="AD95" s="910"/>
      <c r="AE95" s="910"/>
    </row>
    <row r="96" spans="1:31" s="859" customFormat="1" ht="22.5" customHeight="1" thickTop="1" x14ac:dyDescent="0.3">
      <c r="A96" s="588">
        <v>126</v>
      </c>
      <c r="B96" s="763">
        <v>16</v>
      </c>
      <c r="C96" s="895"/>
      <c r="D96" s="990" t="s">
        <v>215</v>
      </c>
      <c r="E96" s="990"/>
      <c r="F96" s="897" t="s">
        <v>23</v>
      </c>
      <c r="G96" s="767">
        <v>1410376</v>
      </c>
      <c r="H96" s="767">
        <v>1824602</v>
      </c>
      <c r="I96" s="898">
        <v>1734625</v>
      </c>
      <c r="J96" s="953"/>
      <c r="K96" s="767"/>
      <c r="L96" s="767"/>
      <c r="M96" s="767"/>
      <c r="N96" s="767"/>
      <c r="O96" s="767"/>
      <c r="P96" s="767"/>
      <c r="Q96" s="767"/>
      <c r="R96" s="900"/>
      <c r="S96" s="915"/>
      <c r="T96" s="915"/>
      <c r="U96" s="915"/>
      <c r="V96" s="915"/>
      <c r="W96" s="915"/>
      <c r="X96" s="915"/>
      <c r="Y96" s="915"/>
      <c r="Z96" s="915"/>
      <c r="AA96" s="915"/>
      <c r="AB96" s="915"/>
      <c r="AC96" s="915"/>
      <c r="AD96" s="915"/>
      <c r="AE96" s="915"/>
    </row>
    <row r="97" spans="1:31" s="799" customFormat="1" ht="18" customHeight="1" x14ac:dyDescent="0.3">
      <c r="A97" s="588">
        <v>127</v>
      </c>
      <c r="B97" s="991"/>
      <c r="C97" s="958"/>
      <c r="D97" s="958"/>
      <c r="E97" s="863" t="s">
        <v>239</v>
      </c>
      <c r="F97" s="959"/>
      <c r="G97" s="959"/>
      <c r="H97" s="959"/>
      <c r="I97" s="938"/>
      <c r="J97" s="939">
        <f>SUM(K97:R97)</f>
        <v>1911546</v>
      </c>
      <c r="K97" s="940">
        <v>340732</v>
      </c>
      <c r="L97" s="940">
        <v>51260</v>
      </c>
      <c r="M97" s="940">
        <v>1508451</v>
      </c>
      <c r="N97" s="940"/>
      <c r="O97" s="940"/>
      <c r="P97" s="940">
        <v>11103</v>
      </c>
      <c r="Q97" s="940"/>
      <c r="R97" s="941"/>
      <c r="S97" s="916"/>
      <c r="T97" s="916"/>
      <c r="U97" s="916"/>
      <c r="V97" s="916"/>
      <c r="W97" s="916"/>
      <c r="X97" s="916"/>
      <c r="Y97" s="916"/>
      <c r="Z97" s="916"/>
      <c r="AA97" s="916"/>
      <c r="AB97" s="916"/>
      <c r="AC97" s="916"/>
      <c r="AD97" s="916"/>
      <c r="AE97" s="916"/>
    </row>
    <row r="98" spans="1:31" s="799" customFormat="1" ht="18" customHeight="1" x14ac:dyDescent="0.3">
      <c r="A98" s="588">
        <v>128</v>
      </c>
      <c r="B98" s="992"/>
      <c r="C98" s="958"/>
      <c r="D98" s="958"/>
      <c r="E98" s="119" t="s">
        <v>702</v>
      </c>
      <c r="F98" s="959"/>
      <c r="G98" s="959"/>
      <c r="H98" s="959"/>
      <c r="I98" s="938"/>
      <c r="J98" s="942">
        <f>SUM(K98:R98)</f>
        <v>2125636</v>
      </c>
      <c r="K98" s="943">
        <v>355732</v>
      </c>
      <c r="L98" s="943">
        <v>53210</v>
      </c>
      <c r="M98" s="943">
        <v>1700591</v>
      </c>
      <c r="N98" s="943"/>
      <c r="O98" s="943"/>
      <c r="P98" s="943">
        <v>16103</v>
      </c>
      <c r="Q98" s="940"/>
      <c r="R98" s="941"/>
      <c r="S98" s="916"/>
      <c r="T98" s="916"/>
      <c r="U98" s="916"/>
      <c r="V98" s="916"/>
      <c r="W98" s="916"/>
      <c r="X98" s="916"/>
      <c r="Y98" s="916"/>
      <c r="Z98" s="916"/>
      <c r="AA98" s="916"/>
      <c r="AB98" s="916"/>
      <c r="AC98" s="916"/>
      <c r="AD98" s="916"/>
      <c r="AE98" s="916"/>
    </row>
    <row r="99" spans="1:31" s="799" customFormat="1" ht="18" customHeight="1" thickBot="1" x14ac:dyDescent="0.35">
      <c r="A99" s="588">
        <v>129</v>
      </c>
      <c r="B99" s="993"/>
      <c r="C99" s="985"/>
      <c r="D99" s="985"/>
      <c r="E99" s="275" t="s">
        <v>745</v>
      </c>
      <c r="F99" s="957"/>
      <c r="G99" s="957"/>
      <c r="H99" s="957"/>
      <c r="I99" s="907"/>
      <c r="J99" s="994">
        <f>SUM(K99:R99)</f>
        <v>1009239</v>
      </c>
      <c r="K99" s="913">
        <v>130255</v>
      </c>
      <c r="L99" s="913">
        <f>18751+1</f>
        <v>18752</v>
      </c>
      <c r="M99" s="913">
        <v>860140</v>
      </c>
      <c r="N99" s="913"/>
      <c r="O99" s="913"/>
      <c r="P99" s="913">
        <v>92</v>
      </c>
      <c r="Q99" s="118"/>
      <c r="R99" s="909"/>
      <c r="S99" s="916"/>
      <c r="T99" s="916"/>
      <c r="U99" s="916"/>
      <c r="V99" s="916"/>
      <c r="W99" s="916"/>
      <c r="X99" s="916"/>
      <c r="Y99" s="916"/>
      <c r="Z99" s="916"/>
      <c r="AA99" s="916"/>
      <c r="AB99" s="916"/>
      <c r="AC99" s="916"/>
      <c r="AD99" s="916"/>
      <c r="AE99" s="916"/>
    </row>
    <row r="100" spans="1:31" s="791" customFormat="1" ht="36" customHeight="1" x14ac:dyDescent="0.3">
      <c r="A100" s="588">
        <v>131</v>
      </c>
      <c r="B100" s="1241" t="s">
        <v>115</v>
      </c>
      <c r="C100" s="1242"/>
      <c r="D100" s="1242"/>
      <c r="E100" s="1243"/>
      <c r="F100" s="995"/>
      <c r="G100" s="996">
        <f>SUM(G96,G92,G59,G39)</f>
        <v>10216226</v>
      </c>
      <c r="H100" s="996">
        <f>SUM(H96,H92,H59,H39)</f>
        <v>10526892</v>
      </c>
      <c r="I100" s="997">
        <f>SUM(I96,I92,I59,I39)</f>
        <v>11131643</v>
      </c>
      <c r="J100" s="998"/>
      <c r="K100" s="999"/>
      <c r="L100" s="999"/>
      <c r="M100" s="999"/>
      <c r="N100" s="999"/>
      <c r="O100" s="999"/>
      <c r="P100" s="999"/>
      <c r="Q100" s="999"/>
      <c r="R100" s="1000"/>
      <c r="S100" s="1001"/>
      <c r="T100" s="1001"/>
      <c r="U100" s="1001"/>
      <c r="V100" s="1001"/>
      <c r="W100" s="1001"/>
      <c r="X100" s="1001"/>
      <c r="Y100" s="1001"/>
      <c r="Z100" s="1001"/>
      <c r="AA100" s="1001"/>
      <c r="AB100" s="1001"/>
      <c r="AC100" s="1001"/>
      <c r="AD100" s="1001"/>
      <c r="AE100" s="1001"/>
    </row>
    <row r="101" spans="1:31" s="784" customFormat="1" ht="18" customHeight="1" x14ac:dyDescent="0.3">
      <c r="A101" s="588">
        <v>132</v>
      </c>
      <c r="B101" s="991"/>
      <c r="C101" s="958"/>
      <c r="D101" s="958"/>
      <c r="E101" s="863" t="s">
        <v>239</v>
      </c>
      <c r="F101" s="959"/>
      <c r="G101" s="959"/>
      <c r="H101" s="959"/>
      <c r="I101" s="938"/>
      <c r="J101" s="939">
        <f>SUM(K101:R101)</f>
        <v>11340349</v>
      </c>
      <c r="K101" s="940">
        <f t="shared" ref="K101:R102" si="11">SUM(K97,K93,K60,K40)</f>
        <v>6354896</v>
      </c>
      <c r="L101" s="940">
        <f t="shared" si="11"/>
        <v>927970</v>
      </c>
      <c r="M101" s="940">
        <f t="shared" si="11"/>
        <v>3940736</v>
      </c>
      <c r="N101" s="940">
        <f t="shared" si="11"/>
        <v>0</v>
      </c>
      <c r="O101" s="940">
        <f t="shared" si="11"/>
        <v>0</v>
      </c>
      <c r="P101" s="940">
        <f t="shared" si="11"/>
        <v>116747</v>
      </c>
      <c r="Q101" s="940">
        <f t="shared" si="11"/>
        <v>0</v>
      </c>
      <c r="R101" s="941">
        <f t="shared" si="11"/>
        <v>0</v>
      </c>
      <c r="S101" s="910"/>
      <c r="T101" s="910"/>
      <c r="U101" s="910"/>
      <c r="V101" s="910"/>
      <c r="W101" s="910"/>
      <c r="X101" s="910"/>
      <c r="Y101" s="910"/>
      <c r="Z101" s="910"/>
      <c r="AA101" s="910"/>
      <c r="AB101" s="910"/>
      <c r="AC101" s="910"/>
      <c r="AD101" s="910"/>
      <c r="AE101" s="910"/>
    </row>
    <row r="102" spans="1:31" s="784" customFormat="1" ht="18" customHeight="1" x14ac:dyDescent="0.3">
      <c r="A102" s="588">
        <v>133</v>
      </c>
      <c r="B102" s="991"/>
      <c r="C102" s="958"/>
      <c r="D102" s="1002"/>
      <c r="E102" s="119" t="s">
        <v>702</v>
      </c>
      <c r="F102" s="959"/>
      <c r="G102" s="959"/>
      <c r="H102" s="959"/>
      <c r="I102" s="938"/>
      <c r="J102" s="942">
        <f>SUM(K102:R102)</f>
        <v>12270872</v>
      </c>
      <c r="K102" s="943">
        <f t="shared" si="11"/>
        <v>6656948</v>
      </c>
      <c r="L102" s="943">
        <f t="shared" si="11"/>
        <v>971828</v>
      </c>
      <c r="M102" s="943">
        <f t="shared" si="11"/>
        <v>4409753</v>
      </c>
      <c r="N102" s="943">
        <f t="shared" si="11"/>
        <v>0</v>
      </c>
      <c r="O102" s="943">
        <f t="shared" si="11"/>
        <v>0</v>
      </c>
      <c r="P102" s="943">
        <f t="shared" si="11"/>
        <v>230843</v>
      </c>
      <c r="Q102" s="943">
        <f t="shared" si="11"/>
        <v>1500</v>
      </c>
      <c r="R102" s="944">
        <f t="shared" si="11"/>
        <v>0</v>
      </c>
      <c r="S102" s="910"/>
      <c r="T102" s="910"/>
      <c r="U102" s="910"/>
      <c r="V102" s="910"/>
      <c r="W102" s="910"/>
      <c r="X102" s="910"/>
      <c r="Y102" s="910"/>
      <c r="Z102" s="910"/>
      <c r="AA102" s="910"/>
      <c r="AB102" s="910"/>
      <c r="AC102" s="910"/>
      <c r="AD102" s="910"/>
      <c r="AE102" s="910"/>
    </row>
    <row r="103" spans="1:31" s="784" customFormat="1" ht="18" customHeight="1" thickBot="1" x14ac:dyDescent="0.35">
      <c r="A103" s="588">
        <v>134</v>
      </c>
      <c r="B103" s="955"/>
      <c r="C103" s="956"/>
      <c r="D103" s="978"/>
      <c r="E103" s="275" t="s">
        <v>745</v>
      </c>
      <c r="F103" s="957"/>
      <c r="G103" s="957"/>
      <c r="H103" s="957"/>
      <c r="I103" s="907"/>
      <c r="J103" s="912">
        <f>SUM(K103:R103)</f>
        <v>5718341</v>
      </c>
      <c r="K103" s="913">
        <f t="shared" ref="K103:R103" si="12">K99+K95+K62+K42</f>
        <v>3115499</v>
      </c>
      <c r="L103" s="913">
        <f t="shared" si="12"/>
        <v>423681</v>
      </c>
      <c r="M103" s="913">
        <f t="shared" si="12"/>
        <v>2097271</v>
      </c>
      <c r="N103" s="913">
        <f t="shared" si="12"/>
        <v>0</v>
      </c>
      <c r="O103" s="913">
        <f t="shared" si="12"/>
        <v>0</v>
      </c>
      <c r="P103" s="913">
        <f t="shared" si="12"/>
        <v>80390</v>
      </c>
      <c r="Q103" s="913">
        <f t="shared" si="12"/>
        <v>1500</v>
      </c>
      <c r="R103" s="964">
        <f t="shared" si="12"/>
        <v>0</v>
      </c>
      <c r="S103" s="910"/>
      <c r="T103" s="910"/>
      <c r="U103" s="910"/>
      <c r="V103" s="910"/>
      <c r="W103" s="910"/>
      <c r="X103" s="910"/>
      <c r="Y103" s="910"/>
      <c r="Z103" s="910"/>
      <c r="AA103" s="910"/>
      <c r="AB103" s="910"/>
      <c r="AC103" s="910"/>
      <c r="AD103" s="910"/>
      <c r="AE103" s="910"/>
    </row>
    <row r="104" spans="1:31" s="859" customFormat="1" ht="22.5" customHeight="1" x14ac:dyDescent="0.3">
      <c r="A104" s="588">
        <v>136</v>
      </c>
      <c r="B104" s="1003">
        <v>17</v>
      </c>
      <c r="C104" s="1004"/>
      <c r="D104" s="1005" t="s">
        <v>153</v>
      </c>
      <c r="E104" s="1006"/>
      <c r="F104" s="877" t="s">
        <v>23</v>
      </c>
      <c r="G104" s="1007"/>
      <c r="H104" s="1007"/>
      <c r="I104" s="1008"/>
      <c r="J104" s="1009"/>
      <c r="K104" s="1007"/>
      <c r="L104" s="1007"/>
      <c r="M104" s="1007"/>
      <c r="N104" s="1007"/>
      <c r="O104" s="1007"/>
      <c r="P104" s="1007"/>
      <c r="Q104" s="1007"/>
      <c r="R104" s="1010"/>
      <c r="S104" s="915"/>
      <c r="T104" s="915"/>
      <c r="U104" s="915"/>
      <c r="V104" s="915"/>
      <c r="W104" s="915"/>
      <c r="X104" s="915"/>
      <c r="Y104" s="915"/>
      <c r="Z104" s="915"/>
      <c r="AA104" s="915"/>
      <c r="AB104" s="915"/>
      <c r="AC104" s="915"/>
      <c r="AD104" s="915"/>
      <c r="AE104" s="915"/>
    </row>
    <row r="105" spans="1:31" s="1012" customFormat="1" ht="19.5" customHeight="1" x14ac:dyDescent="0.3">
      <c r="A105" s="588">
        <v>137</v>
      </c>
      <c r="B105" s="770"/>
      <c r="C105" s="771">
        <v>1</v>
      </c>
      <c r="D105" s="1011" t="s">
        <v>122</v>
      </c>
      <c r="E105" s="1011"/>
      <c r="F105" s="914"/>
      <c r="G105" s="116">
        <v>1695683</v>
      </c>
      <c r="H105" s="116">
        <v>2049705</v>
      </c>
      <c r="I105" s="903">
        <v>1966442</v>
      </c>
      <c r="J105" s="954"/>
      <c r="K105" s="116"/>
      <c r="L105" s="116"/>
      <c r="M105" s="116"/>
      <c r="N105" s="116"/>
      <c r="O105" s="116"/>
      <c r="P105" s="116"/>
      <c r="Q105" s="116"/>
      <c r="R105" s="904"/>
      <c r="S105" s="893"/>
      <c r="T105" s="893"/>
      <c r="U105" s="893"/>
      <c r="V105" s="893"/>
      <c r="W105" s="893"/>
      <c r="X105" s="893"/>
      <c r="Y105" s="893"/>
      <c r="Z105" s="893"/>
      <c r="AA105" s="893"/>
      <c r="AB105" s="893"/>
      <c r="AC105" s="893"/>
      <c r="AD105" s="893"/>
    </row>
    <row r="106" spans="1:31" s="799" customFormat="1" ht="18" customHeight="1" x14ac:dyDescent="0.3">
      <c r="A106" s="588">
        <v>138</v>
      </c>
      <c r="B106" s="955"/>
      <c r="C106" s="1013"/>
      <c r="D106" s="956"/>
      <c r="E106" s="1014" t="s">
        <v>239</v>
      </c>
      <c r="F106" s="120"/>
      <c r="G106" s="120"/>
      <c r="H106" s="120"/>
      <c r="I106" s="1015"/>
      <c r="J106" s="908">
        <f>SUM(K106:R106)</f>
        <v>2249354</v>
      </c>
      <c r="K106" s="118">
        <v>1930110</v>
      </c>
      <c r="L106" s="118">
        <v>286184</v>
      </c>
      <c r="M106" s="118">
        <v>33060</v>
      </c>
      <c r="N106" s="118"/>
      <c r="O106" s="118"/>
      <c r="P106" s="118"/>
      <c r="Q106" s="118"/>
      <c r="R106" s="909"/>
      <c r="S106" s="916"/>
      <c r="T106" s="916"/>
      <c r="U106" s="916"/>
      <c r="V106" s="916"/>
      <c r="W106" s="916"/>
      <c r="X106" s="916"/>
      <c r="Y106" s="916"/>
      <c r="Z106" s="916"/>
      <c r="AA106" s="916"/>
      <c r="AB106" s="916"/>
      <c r="AC106" s="916"/>
      <c r="AD106" s="916"/>
    </row>
    <row r="107" spans="1:31" s="799" customFormat="1" ht="18" customHeight="1" x14ac:dyDescent="0.3">
      <c r="A107" s="588">
        <v>139</v>
      </c>
      <c r="B107" s="955"/>
      <c r="C107" s="1013"/>
      <c r="D107" s="978"/>
      <c r="E107" s="119" t="s">
        <v>702</v>
      </c>
      <c r="F107" s="120"/>
      <c r="G107" s="120"/>
      <c r="H107" s="120"/>
      <c r="I107" s="1015"/>
      <c r="J107" s="818">
        <f>SUM(K107:R107)</f>
        <v>2718539</v>
      </c>
      <c r="K107" s="911">
        <v>2279030</v>
      </c>
      <c r="L107" s="911">
        <v>335251</v>
      </c>
      <c r="M107" s="911">
        <v>104258</v>
      </c>
      <c r="N107" s="118"/>
      <c r="O107" s="118"/>
      <c r="P107" s="118"/>
      <c r="Q107" s="118"/>
      <c r="R107" s="909"/>
      <c r="S107" s="916"/>
      <c r="T107" s="916"/>
      <c r="U107" s="916"/>
      <c r="V107" s="916"/>
      <c r="W107" s="916"/>
      <c r="X107" s="916"/>
      <c r="Y107" s="916"/>
      <c r="Z107" s="916"/>
      <c r="AA107" s="916"/>
      <c r="AB107" s="916"/>
      <c r="AC107" s="916"/>
      <c r="AD107" s="916"/>
    </row>
    <row r="108" spans="1:31" s="799" customFormat="1" ht="18" customHeight="1" x14ac:dyDescent="0.3">
      <c r="A108" s="588">
        <v>140</v>
      </c>
      <c r="B108" s="955"/>
      <c r="C108" s="1013"/>
      <c r="D108" s="978"/>
      <c r="E108" s="275" t="s">
        <v>745</v>
      </c>
      <c r="F108" s="120"/>
      <c r="G108" s="120"/>
      <c r="H108" s="120"/>
      <c r="I108" s="1015"/>
      <c r="J108" s="912">
        <f>SUM(K108:R108)</f>
        <v>1055940</v>
      </c>
      <c r="K108" s="913">
        <v>908856</v>
      </c>
      <c r="L108" s="913">
        <f>136555-1</f>
        <v>136554</v>
      </c>
      <c r="M108" s="913">
        <f>10531-1</f>
        <v>10530</v>
      </c>
      <c r="N108" s="118"/>
      <c r="O108" s="118"/>
      <c r="P108" s="118"/>
      <c r="Q108" s="118"/>
      <c r="R108" s="909"/>
      <c r="S108" s="916"/>
      <c r="T108" s="916"/>
      <c r="U108" s="916"/>
      <c r="V108" s="916"/>
      <c r="W108" s="916"/>
      <c r="X108" s="916"/>
      <c r="Y108" s="916"/>
      <c r="Z108" s="916"/>
      <c r="AA108" s="916"/>
      <c r="AB108" s="916"/>
      <c r="AC108" s="916"/>
      <c r="AD108" s="916"/>
    </row>
    <row r="109" spans="1:31" s="1020" customFormat="1" ht="19.5" customHeight="1" x14ac:dyDescent="0.3">
      <c r="A109" s="588">
        <v>142</v>
      </c>
      <c r="B109" s="1016"/>
      <c r="C109" s="1017"/>
      <c r="D109" s="1302" t="s">
        <v>353</v>
      </c>
      <c r="E109" s="1303"/>
      <c r="F109" s="1018"/>
      <c r="G109" s="117">
        <v>5127</v>
      </c>
      <c r="H109" s="117"/>
      <c r="I109" s="984"/>
      <c r="J109" s="954"/>
      <c r="K109" s="117"/>
      <c r="L109" s="117"/>
      <c r="M109" s="117"/>
      <c r="N109" s="117"/>
      <c r="O109" s="117"/>
      <c r="P109" s="117"/>
      <c r="Q109" s="117"/>
      <c r="R109" s="121"/>
      <c r="S109" s="1019"/>
      <c r="T109" s="1019"/>
      <c r="U109" s="1019"/>
      <c r="V109" s="1019"/>
      <c r="W109" s="1019"/>
      <c r="X109" s="1019"/>
      <c r="Y109" s="1019"/>
      <c r="Z109" s="1019"/>
      <c r="AA109" s="1019"/>
      <c r="AB109" s="1019"/>
      <c r="AC109" s="1019"/>
      <c r="AD109" s="1019"/>
    </row>
    <row r="110" spans="1:31" s="859" customFormat="1" ht="20.100000000000001" customHeight="1" x14ac:dyDescent="0.3">
      <c r="A110" s="588">
        <v>143</v>
      </c>
      <c r="B110" s="770"/>
      <c r="C110" s="771">
        <v>2</v>
      </c>
      <c r="D110" s="1011" t="s">
        <v>123</v>
      </c>
      <c r="E110" s="1011"/>
      <c r="F110" s="914"/>
      <c r="G110" s="116">
        <v>229634</v>
      </c>
      <c r="H110" s="116">
        <v>372333</v>
      </c>
      <c r="I110" s="903">
        <v>220802</v>
      </c>
      <c r="J110" s="954"/>
      <c r="K110" s="116"/>
      <c r="L110" s="116"/>
      <c r="M110" s="116"/>
      <c r="N110" s="116"/>
      <c r="O110" s="116"/>
      <c r="P110" s="116"/>
      <c r="Q110" s="116"/>
      <c r="R110" s="904"/>
      <c r="S110" s="915"/>
      <c r="T110" s="915"/>
      <c r="U110" s="915"/>
      <c r="V110" s="915"/>
      <c r="W110" s="915"/>
      <c r="X110" s="915"/>
      <c r="Y110" s="915"/>
      <c r="Z110" s="915"/>
      <c r="AA110" s="915"/>
      <c r="AB110" s="915"/>
      <c r="AC110" s="915"/>
      <c r="AD110" s="915"/>
    </row>
    <row r="111" spans="1:31" s="799" customFormat="1" ht="18" customHeight="1" x14ac:dyDescent="0.3">
      <c r="A111" s="588">
        <v>144</v>
      </c>
      <c r="B111" s="955"/>
      <c r="C111" s="1013"/>
      <c r="D111" s="956"/>
      <c r="E111" s="1014" t="s">
        <v>239</v>
      </c>
      <c r="F111" s="120"/>
      <c r="G111" s="120"/>
      <c r="H111" s="120"/>
      <c r="I111" s="1015"/>
      <c r="J111" s="908">
        <f t="shared" ref="J111:J113" si="13">SUM(K111:R111)</f>
        <v>429853</v>
      </c>
      <c r="K111" s="118">
        <v>15300</v>
      </c>
      <c r="L111" s="118">
        <v>6130</v>
      </c>
      <c r="M111" s="118">
        <v>302376</v>
      </c>
      <c r="N111" s="118"/>
      <c r="O111" s="118"/>
      <c r="P111" s="118">
        <v>106047</v>
      </c>
      <c r="Q111" s="118"/>
      <c r="R111" s="909"/>
      <c r="S111" s="916"/>
      <c r="T111" s="916"/>
      <c r="U111" s="916"/>
      <c r="V111" s="916"/>
      <c r="W111" s="916"/>
      <c r="X111" s="916"/>
      <c r="Y111" s="916"/>
      <c r="Z111" s="916"/>
      <c r="AA111" s="916"/>
      <c r="AB111" s="916"/>
      <c r="AC111" s="916"/>
      <c r="AD111" s="916"/>
    </row>
    <row r="112" spans="1:31" s="799" customFormat="1" ht="18" customHeight="1" x14ac:dyDescent="0.3">
      <c r="A112" s="588">
        <v>145</v>
      </c>
      <c r="B112" s="955"/>
      <c r="C112" s="1013"/>
      <c r="D112" s="978"/>
      <c r="E112" s="119" t="s">
        <v>702</v>
      </c>
      <c r="F112" s="120"/>
      <c r="G112" s="120"/>
      <c r="H112" s="120"/>
      <c r="I112" s="1015"/>
      <c r="J112" s="818">
        <f t="shared" si="13"/>
        <v>735030</v>
      </c>
      <c r="K112" s="911">
        <v>16128</v>
      </c>
      <c r="L112" s="911">
        <v>6661</v>
      </c>
      <c r="M112" s="911">
        <v>541877</v>
      </c>
      <c r="N112" s="911"/>
      <c r="O112" s="911"/>
      <c r="P112" s="911">
        <v>170364</v>
      </c>
      <c r="Q112" s="118"/>
      <c r="R112" s="909"/>
      <c r="S112" s="916"/>
      <c r="T112" s="916"/>
      <c r="U112" s="916"/>
      <c r="V112" s="916"/>
      <c r="W112" s="916"/>
      <c r="X112" s="916"/>
      <c r="Y112" s="916"/>
      <c r="Z112" s="916"/>
      <c r="AA112" s="916"/>
      <c r="AB112" s="916"/>
      <c r="AC112" s="916"/>
      <c r="AD112" s="916"/>
    </row>
    <row r="113" spans="1:30" s="799" customFormat="1" ht="18" customHeight="1" x14ac:dyDescent="0.3">
      <c r="A113" s="588">
        <v>146</v>
      </c>
      <c r="B113" s="955"/>
      <c r="C113" s="1013"/>
      <c r="D113" s="978"/>
      <c r="E113" s="275" t="s">
        <v>745</v>
      </c>
      <c r="F113" s="120"/>
      <c r="G113" s="120"/>
      <c r="H113" s="120"/>
      <c r="I113" s="1015"/>
      <c r="J113" s="912">
        <f t="shared" si="13"/>
        <v>187440</v>
      </c>
      <c r="K113" s="913">
        <f>2536-1</f>
        <v>2535</v>
      </c>
      <c r="L113" s="913">
        <v>1605</v>
      </c>
      <c r="M113" s="913">
        <f>131628+509+196</f>
        <v>132333</v>
      </c>
      <c r="N113" s="913"/>
      <c r="O113" s="913"/>
      <c r="P113" s="913">
        <v>50967</v>
      </c>
      <c r="Q113" s="913"/>
      <c r="R113" s="964"/>
      <c r="S113" s="916"/>
      <c r="T113" s="916"/>
      <c r="U113" s="916"/>
      <c r="V113" s="916"/>
      <c r="W113" s="916"/>
      <c r="X113" s="916"/>
      <c r="Y113" s="916"/>
      <c r="Z113" s="916"/>
      <c r="AA113" s="916"/>
      <c r="AB113" s="916"/>
      <c r="AC113" s="916"/>
      <c r="AD113" s="916"/>
    </row>
    <row r="114" spans="1:30" s="859" customFormat="1" ht="20.100000000000001" customHeight="1" x14ac:dyDescent="0.3">
      <c r="A114" s="588">
        <v>148</v>
      </c>
      <c r="B114" s="770"/>
      <c r="C114" s="771">
        <v>3</v>
      </c>
      <c r="D114" s="1011" t="s">
        <v>31</v>
      </c>
      <c r="E114" s="1011"/>
      <c r="F114" s="914"/>
      <c r="G114" s="116">
        <v>91156</v>
      </c>
      <c r="H114" s="116">
        <v>147522</v>
      </c>
      <c r="I114" s="903">
        <v>106296</v>
      </c>
      <c r="J114" s="954"/>
      <c r="K114" s="116"/>
      <c r="L114" s="116"/>
      <c r="M114" s="116"/>
      <c r="N114" s="116"/>
      <c r="O114" s="116"/>
      <c r="P114" s="116"/>
      <c r="Q114" s="116"/>
      <c r="R114" s="904"/>
      <c r="S114" s="915"/>
      <c r="T114" s="915"/>
      <c r="U114" s="915"/>
      <c r="V114" s="915"/>
      <c r="W114" s="915"/>
      <c r="X114" s="915"/>
      <c r="Y114" s="915"/>
      <c r="Z114" s="915"/>
      <c r="AA114" s="915"/>
      <c r="AB114" s="915"/>
      <c r="AC114" s="915"/>
      <c r="AD114" s="915"/>
    </row>
    <row r="115" spans="1:30" s="799" customFormat="1" ht="18" customHeight="1" x14ac:dyDescent="0.3">
      <c r="A115" s="588">
        <v>149</v>
      </c>
      <c r="B115" s="955"/>
      <c r="C115" s="1013"/>
      <c r="D115" s="956"/>
      <c r="E115" s="1014" t="s">
        <v>239</v>
      </c>
      <c r="F115" s="120"/>
      <c r="G115" s="120"/>
      <c r="H115" s="120"/>
      <c r="I115" s="1015"/>
      <c r="J115" s="908">
        <f>SUM(K115:R115)</f>
        <v>170923</v>
      </c>
      <c r="K115" s="118"/>
      <c r="L115" s="118"/>
      <c r="M115" s="118">
        <v>146023</v>
      </c>
      <c r="N115" s="118"/>
      <c r="O115" s="118"/>
      <c r="P115" s="118">
        <v>24900</v>
      </c>
      <c r="Q115" s="118"/>
      <c r="R115" s="909"/>
      <c r="S115" s="916"/>
      <c r="T115" s="916"/>
      <c r="U115" s="916"/>
      <c r="V115" s="916"/>
      <c r="W115" s="916"/>
      <c r="X115" s="916"/>
      <c r="Y115" s="916"/>
      <c r="Z115" s="916"/>
      <c r="AA115" s="916"/>
      <c r="AB115" s="916"/>
      <c r="AC115" s="916"/>
      <c r="AD115" s="916"/>
    </row>
    <row r="116" spans="1:30" s="799" customFormat="1" ht="18" customHeight="1" x14ac:dyDescent="0.3">
      <c r="A116" s="588">
        <v>150</v>
      </c>
      <c r="B116" s="991"/>
      <c r="C116" s="1013"/>
      <c r="D116" s="978"/>
      <c r="E116" s="119" t="s">
        <v>702</v>
      </c>
      <c r="F116" s="805"/>
      <c r="G116" s="805"/>
      <c r="H116" s="805"/>
      <c r="I116" s="1021"/>
      <c r="J116" s="818">
        <f>SUM(K116:R116)</f>
        <v>257434</v>
      </c>
      <c r="K116" s="923"/>
      <c r="L116" s="923"/>
      <c r="M116" s="923">
        <v>207151</v>
      </c>
      <c r="N116" s="923"/>
      <c r="O116" s="923"/>
      <c r="P116" s="923">
        <v>50283</v>
      </c>
      <c r="Q116" s="924"/>
      <c r="R116" s="925"/>
      <c r="S116" s="916"/>
      <c r="T116" s="916"/>
      <c r="U116" s="916"/>
      <c r="V116" s="916"/>
      <c r="W116" s="916"/>
      <c r="X116" s="916"/>
      <c r="Y116" s="916"/>
      <c r="Z116" s="916"/>
      <c r="AA116" s="916"/>
      <c r="AB116" s="916"/>
      <c r="AC116" s="916"/>
      <c r="AD116" s="916"/>
    </row>
    <row r="117" spans="1:30" s="799" customFormat="1" ht="18" customHeight="1" x14ac:dyDescent="0.3">
      <c r="A117" s="588">
        <v>151</v>
      </c>
      <c r="B117" s="991"/>
      <c r="C117" s="1013"/>
      <c r="D117" s="978"/>
      <c r="E117" s="275" t="s">
        <v>745</v>
      </c>
      <c r="F117" s="805"/>
      <c r="G117" s="805"/>
      <c r="H117" s="805"/>
      <c r="I117" s="1021"/>
      <c r="J117" s="912">
        <f>SUM(K117:R117)</f>
        <v>40345</v>
      </c>
      <c r="K117" s="927"/>
      <c r="L117" s="927"/>
      <c r="M117" s="927">
        <v>38836</v>
      </c>
      <c r="N117" s="927"/>
      <c r="O117" s="927"/>
      <c r="P117" s="927">
        <v>1509</v>
      </c>
      <c r="Q117" s="927"/>
      <c r="R117" s="1022"/>
      <c r="S117" s="916"/>
      <c r="T117" s="916"/>
      <c r="U117" s="916"/>
      <c r="V117" s="916"/>
      <c r="W117" s="916"/>
      <c r="X117" s="916"/>
      <c r="Y117" s="916"/>
      <c r="Z117" s="916"/>
      <c r="AA117" s="916"/>
      <c r="AB117" s="916"/>
      <c r="AC117" s="916"/>
      <c r="AD117" s="916"/>
    </row>
    <row r="118" spans="1:30" s="1029" customFormat="1" ht="44.25" customHeight="1" x14ac:dyDescent="0.3">
      <c r="A118" s="588">
        <v>153</v>
      </c>
      <c r="B118" s="865"/>
      <c r="C118" s="858">
        <v>76</v>
      </c>
      <c r="D118" s="1304" t="s">
        <v>396</v>
      </c>
      <c r="E118" s="1305"/>
      <c r="F118" s="1024"/>
      <c r="G118" s="767">
        <v>1366</v>
      </c>
      <c r="H118" s="767">
        <v>329</v>
      </c>
      <c r="I118" s="898">
        <v>2981</v>
      </c>
      <c r="J118" s="1025"/>
      <c r="K118" s="1026"/>
      <c r="L118" s="1026"/>
      <c r="M118" s="1026"/>
      <c r="N118" s="1026"/>
      <c r="O118" s="1026"/>
      <c r="P118" s="1026"/>
      <c r="Q118" s="1026"/>
      <c r="R118" s="1027"/>
      <c r="S118" s="1028"/>
      <c r="T118" s="1028"/>
      <c r="U118" s="1028"/>
      <c r="V118" s="1028"/>
      <c r="W118" s="1028"/>
      <c r="X118" s="1028"/>
      <c r="Y118" s="1028"/>
      <c r="Z118" s="1028"/>
      <c r="AA118" s="1028"/>
      <c r="AB118" s="1028"/>
      <c r="AC118" s="1028"/>
      <c r="AD118" s="1028"/>
    </row>
    <row r="119" spans="1:30" s="1029" customFormat="1" ht="19.5" customHeight="1" x14ac:dyDescent="0.3">
      <c r="A119" s="588">
        <v>154</v>
      </c>
      <c r="B119" s="865"/>
      <c r="C119" s="771"/>
      <c r="D119" s="1030"/>
      <c r="E119" s="1014" t="s">
        <v>239</v>
      </c>
      <c r="F119" s="1024"/>
      <c r="G119" s="767"/>
      <c r="H119" s="767"/>
      <c r="I119" s="898"/>
      <c r="J119" s="908">
        <f>SUM(K119:R119)</f>
        <v>348</v>
      </c>
      <c r="K119" s="1026">
        <v>308</v>
      </c>
      <c r="L119" s="1026">
        <v>40</v>
      </c>
      <c r="M119" s="1026"/>
      <c r="N119" s="1026"/>
      <c r="O119" s="1026"/>
      <c r="P119" s="1026"/>
      <c r="Q119" s="1026"/>
      <c r="R119" s="1027"/>
      <c r="S119" s="1028"/>
      <c r="T119" s="1028"/>
      <c r="U119" s="1028"/>
      <c r="V119" s="1028"/>
      <c r="W119" s="1028"/>
      <c r="X119" s="1028"/>
      <c r="Y119" s="1028"/>
      <c r="Z119" s="1028"/>
      <c r="AA119" s="1028"/>
      <c r="AB119" s="1028"/>
      <c r="AC119" s="1028"/>
      <c r="AD119" s="1028"/>
    </row>
    <row r="120" spans="1:30" s="1029" customFormat="1" ht="18" customHeight="1" x14ac:dyDescent="0.3">
      <c r="A120" s="588">
        <v>155</v>
      </c>
      <c r="B120" s="865"/>
      <c r="C120" s="771"/>
      <c r="D120" s="1030"/>
      <c r="E120" s="119" t="s">
        <v>702</v>
      </c>
      <c r="F120" s="1024"/>
      <c r="G120" s="767"/>
      <c r="H120" s="767"/>
      <c r="I120" s="898"/>
      <c r="J120" s="818">
        <f>SUM(K120:R120)</f>
        <v>4224</v>
      </c>
      <c r="K120" s="923">
        <v>3738</v>
      </c>
      <c r="L120" s="923">
        <v>486</v>
      </c>
      <c r="M120" s="1026"/>
      <c r="N120" s="1026"/>
      <c r="O120" s="1026"/>
      <c r="P120" s="1026"/>
      <c r="Q120" s="1026"/>
      <c r="R120" s="1027"/>
      <c r="S120" s="1028"/>
      <c r="T120" s="1028"/>
      <c r="U120" s="1028"/>
      <c r="V120" s="1028"/>
      <c r="W120" s="1028"/>
      <c r="X120" s="1028"/>
      <c r="Y120" s="1028"/>
      <c r="Z120" s="1028"/>
      <c r="AA120" s="1028"/>
      <c r="AB120" s="1028"/>
      <c r="AC120" s="1028"/>
      <c r="AD120" s="1028"/>
    </row>
    <row r="121" spans="1:30" s="1029" customFormat="1" ht="19.5" customHeight="1" x14ac:dyDescent="0.3">
      <c r="A121" s="588">
        <v>156</v>
      </c>
      <c r="B121" s="865"/>
      <c r="C121" s="771"/>
      <c r="D121" s="1030"/>
      <c r="E121" s="275" t="s">
        <v>745</v>
      </c>
      <c r="F121" s="1024"/>
      <c r="G121" s="767"/>
      <c r="H121" s="767"/>
      <c r="I121" s="898"/>
      <c r="J121" s="912">
        <f>SUM(K121:R121)</f>
        <v>1866</v>
      </c>
      <c r="K121" s="806">
        <v>1651</v>
      </c>
      <c r="L121" s="806">
        <v>215</v>
      </c>
      <c r="M121" s="1026"/>
      <c r="N121" s="1026"/>
      <c r="O121" s="1026"/>
      <c r="P121" s="1026"/>
      <c r="Q121" s="1026"/>
      <c r="R121" s="1027"/>
      <c r="S121" s="1028"/>
      <c r="T121" s="1028"/>
      <c r="U121" s="1028"/>
      <c r="V121" s="1028"/>
      <c r="W121" s="1028"/>
      <c r="X121" s="1028"/>
      <c r="Y121" s="1028"/>
      <c r="Z121" s="1028"/>
      <c r="AA121" s="1028"/>
      <c r="AB121" s="1028"/>
      <c r="AC121" s="1028"/>
      <c r="AD121" s="1028"/>
    </row>
    <row r="122" spans="1:30" s="1029" customFormat="1" ht="60" customHeight="1" x14ac:dyDescent="0.3">
      <c r="A122" s="588">
        <v>158</v>
      </c>
      <c r="B122" s="865"/>
      <c r="C122" s="858">
        <v>77</v>
      </c>
      <c r="D122" s="1287" t="s">
        <v>397</v>
      </c>
      <c r="E122" s="1287"/>
      <c r="F122" s="1024"/>
      <c r="G122" s="767">
        <v>1302</v>
      </c>
      <c r="H122" s="767">
        <v>258</v>
      </c>
      <c r="I122" s="898">
        <v>3757</v>
      </c>
      <c r="J122" s="1025"/>
      <c r="K122" s="1026"/>
      <c r="L122" s="1026"/>
      <c r="M122" s="1026"/>
      <c r="N122" s="1026"/>
      <c r="O122" s="1026"/>
      <c r="P122" s="1026"/>
      <c r="Q122" s="1026"/>
      <c r="R122" s="1027"/>
      <c r="S122" s="1028"/>
      <c r="T122" s="1028"/>
      <c r="U122" s="1028"/>
      <c r="V122" s="1028"/>
      <c r="W122" s="1028"/>
      <c r="X122" s="1028"/>
      <c r="Y122" s="1028"/>
      <c r="Z122" s="1028"/>
      <c r="AA122" s="1028"/>
      <c r="AB122" s="1028"/>
      <c r="AC122" s="1028"/>
      <c r="AD122" s="1028"/>
    </row>
    <row r="123" spans="1:30" s="1029" customFormat="1" ht="19.5" customHeight="1" x14ac:dyDescent="0.3">
      <c r="A123" s="588">
        <v>159</v>
      </c>
      <c r="B123" s="865"/>
      <c r="C123" s="1031"/>
      <c r="D123" s="1030"/>
      <c r="E123" s="1014" t="s">
        <v>239</v>
      </c>
      <c r="F123" s="1024"/>
      <c r="G123" s="767"/>
      <c r="H123" s="767"/>
      <c r="I123" s="898"/>
      <c r="J123" s="908">
        <f>SUM(K123:R123)</f>
        <v>501</v>
      </c>
      <c r="K123" s="1026">
        <v>443</v>
      </c>
      <c r="L123" s="1026">
        <v>58</v>
      </c>
      <c r="M123" s="1026"/>
      <c r="N123" s="1026"/>
      <c r="O123" s="1026"/>
      <c r="P123" s="1026"/>
      <c r="Q123" s="1026"/>
      <c r="R123" s="1027"/>
      <c r="S123" s="1028"/>
      <c r="T123" s="1028"/>
      <c r="U123" s="1028"/>
      <c r="V123" s="1028"/>
      <c r="W123" s="1028"/>
      <c r="X123" s="1028"/>
      <c r="Y123" s="1028"/>
      <c r="Z123" s="1028"/>
      <c r="AA123" s="1028"/>
      <c r="AB123" s="1028"/>
      <c r="AC123" s="1028"/>
      <c r="AD123" s="1028"/>
    </row>
    <row r="124" spans="1:30" s="1029" customFormat="1" ht="18" customHeight="1" x14ac:dyDescent="0.3">
      <c r="A124" s="588">
        <v>160</v>
      </c>
      <c r="B124" s="865"/>
      <c r="C124" s="1031"/>
      <c r="D124" s="1030"/>
      <c r="E124" s="119" t="s">
        <v>702</v>
      </c>
      <c r="F124" s="1024"/>
      <c r="G124" s="767"/>
      <c r="H124" s="767"/>
      <c r="I124" s="898"/>
      <c r="J124" s="818">
        <f>SUM(K124:R124)</f>
        <v>3769</v>
      </c>
      <c r="K124" s="1032">
        <v>3335</v>
      </c>
      <c r="L124" s="1032">
        <v>434</v>
      </c>
      <c r="M124" s="1026"/>
      <c r="N124" s="1026"/>
      <c r="O124" s="1026"/>
      <c r="P124" s="1026"/>
      <c r="Q124" s="1026"/>
      <c r="R124" s="1027"/>
      <c r="S124" s="1028"/>
      <c r="T124" s="1028"/>
      <c r="U124" s="1028"/>
      <c r="V124" s="1028"/>
      <c r="W124" s="1028"/>
      <c r="X124" s="1028"/>
      <c r="Y124" s="1028"/>
      <c r="Z124" s="1028"/>
      <c r="AA124" s="1028"/>
      <c r="AB124" s="1028"/>
      <c r="AC124" s="1028"/>
      <c r="AD124" s="1028"/>
    </row>
    <row r="125" spans="1:30" s="1029" customFormat="1" ht="19.5" customHeight="1" x14ac:dyDescent="0.3">
      <c r="A125" s="588">
        <v>161</v>
      </c>
      <c r="B125" s="865"/>
      <c r="C125" s="1031"/>
      <c r="D125" s="1030"/>
      <c r="E125" s="275" t="s">
        <v>745</v>
      </c>
      <c r="F125" s="1024"/>
      <c r="G125" s="767"/>
      <c r="H125" s="767"/>
      <c r="I125" s="898"/>
      <c r="J125" s="912">
        <f>SUM(K125:R125)</f>
        <v>1634</v>
      </c>
      <c r="K125" s="806">
        <v>1446</v>
      </c>
      <c r="L125" s="806">
        <v>188</v>
      </c>
      <c r="M125" s="1026"/>
      <c r="N125" s="1026"/>
      <c r="O125" s="1026"/>
      <c r="P125" s="1026"/>
      <c r="Q125" s="1026"/>
      <c r="R125" s="1027"/>
      <c r="S125" s="1028"/>
      <c r="T125" s="1028"/>
      <c r="U125" s="1028"/>
      <c r="V125" s="1028"/>
      <c r="W125" s="1028"/>
      <c r="X125" s="1028"/>
      <c r="Y125" s="1028"/>
      <c r="Z125" s="1028"/>
      <c r="AA125" s="1028"/>
      <c r="AB125" s="1028"/>
      <c r="AC125" s="1028"/>
      <c r="AD125" s="1028"/>
    </row>
    <row r="126" spans="1:30" s="1029" customFormat="1" ht="30" customHeight="1" x14ac:dyDescent="0.3">
      <c r="A126" s="588">
        <v>163</v>
      </c>
      <c r="B126" s="865"/>
      <c r="C126" s="858">
        <v>80</v>
      </c>
      <c r="D126" s="1287" t="s">
        <v>807</v>
      </c>
      <c r="E126" s="1287"/>
      <c r="F126" s="1024"/>
      <c r="G126" s="767"/>
      <c r="H126" s="767">
        <v>4550</v>
      </c>
      <c r="I126" s="898">
        <v>39173</v>
      </c>
      <c r="J126" s="1025"/>
      <c r="K126" s="1026"/>
      <c r="L126" s="1026"/>
      <c r="M126" s="1026"/>
      <c r="N126" s="1026"/>
      <c r="O126" s="1026"/>
      <c r="P126" s="1026"/>
      <c r="Q126" s="1026"/>
      <c r="R126" s="1027"/>
      <c r="S126" s="1028"/>
      <c r="T126" s="1028"/>
      <c r="U126" s="1028"/>
      <c r="V126" s="1028"/>
      <c r="W126" s="1028"/>
      <c r="X126" s="1028"/>
      <c r="Y126" s="1028"/>
      <c r="Z126" s="1028"/>
      <c r="AA126" s="1028"/>
      <c r="AB126" s="1028"/>
      <c r="AC126" s="1028"/>
      <c r="AD126" s="1028"/>
    </row>
    <row r="127" spans="1:30" s="1029" customFormat="1" ht="19.5" customHeight="1" x14ac:dyDescent="0.3">
      <c r="A127" s="588">
        <v>164</v>
      </c>
      <c r="B127" s="865"/>
      <c r="C127" s="1031"/>
      <c r="D127" s="1030"/>
      <c r="E127" s="1014" t="s">
        <v>239</v>
      </c>
      <c r="F127" s="1024"/>
      <c r="G127" s="767"/>
      <c r="H127" s="767"/>
      <c r="I127" s="898"/>
      <c r="J127" s="908">
        <f>SUM(K127:R127)</f>
        <v>3569</v>
      </c>
      <c r="K127" s="1026">
        <v>2725</v>
      </c>
      <c r="L127" s="1026">
        <v>419</v>
      </c>
      <c r="M127" s="1026">
        <v>425</v>
      </c>
      <c r="N127" s="1026"/>
      <c r="O127" s="1026"/>
      <c r="P127" s="1026"/>
      <c r="Q127" s="1026"/>
      <c r="R127" s="1027"/>
      <c r="S127" s="1028"/>
      <c r="T127" s="1028"/>
      <c r="U127" s="1028"/>
      <c r="V127" s="1028"/>
      <c r="W127" s="1028"/>
      <c r="X127" s="1028"/>
      <c r="Y127" s="1028"/>
      <c r="Z127" s="1028"/>
      <c r="AA127" s="1028"/>
      <c r="AB127" s="1028"/>
      <c r="AC127" s="1028"/>
      <c r="AD127" s="1028"/>
    </row>
    <row r="128" spans="1:30" s="1029" customFormat="1" ht="18" customHeight="1" x14ac:dyDescent="0.3">
      <c r="A128" s="588">
        <v>165</v>
      </c>
      <c r="B128" s="865"/>
      <c r="C128" s="1031"/>
      <c r="D128" s="1030"/>
      <c r="E128" s="119" t="s">
        <v>702</v>
      </c>
      <c r="F128" s="1024"/>
      <c r="G128" s="767"/>
      <c r="H128" s="767"/>
      <c r="I128" s="898"/>
      <c r="J128" s="1033">
        <f>SUM(K128:R128)</f>
        <v>3569</v>
      </c>
      <c r="K128" s="1032">
        <v>2725</v>
      </c>
      <c r="L128" s="1032">
        <v>419</v>
      </c>
      <c r="M128" s="1032">
        <v>425</v>
      </c>
      <c r="N128" s="1026"/>
      <c r="O128" s="1026"/>
      <c r="P128" s="1026"/>
      <c r="Q128" s="1026"/>
      <c r="R128" s="1027"/>
      <c r="S128" s="1028"/>
      <c r="T128" s="1028"/>
      <c r="U128" s="1028"/>
      <c r="V128" s="1028"/>
      <c r="W128" s="1028"/>
      <c r="X128" s="1028"/>
      <c r="Y128" s="1028"/>
      <c r="Z128" s="1028"/>
      <c r="AA128" s="1028"/>
      <c r="AB128" s="1028"/>
      <c r="AC128" s="1028"/>
      <c r="AD128" s="1028"/>
    </row>
    <row r="129" spans="1:30" s="1029" customFormat="1" ht="19.5" customHeight="1" x14ac:dyDescent="0.3">
      <c r="A129" s="588">
        <v>166</v>
      </c>
      <c r="B129" s="865"/>
      <c r="C129" s="1031"/>
      <c r="D129" s="1030"/>
      <c r="E129" s="275" t="s">
        <v>745</v>
      </c>
      <c r="F129" s="1024"/>
      <c r="G129" s="767"/>
      <c r="H129" s="767"/>
      <c r="I129" s="898"/>
      <c r="J129" s="912">
        <f>SUM(K129:R129)</f>
        <v>3526</v>
      </c>
      <c r="K129" s="1034">
        <v>2725</v>
      </c>
      <c r="L129" s="1034">
        <v>419</v>
      </c>
      <c r="M129" s="1034">
        <v>382</v>
      </c>
      <c r="N129" s="1026"/>
      <c r="O129" s="1026"/>
      <c r="P129" s="1026"/>
      <c r="Q129" s="1026"/>
      <c r="R129" s="1027"/>
      <c r="S129" s="1028"/>
      <c r="T129" s="1028"/>
      <c r="U129" s="1028"/>
      <c r="V129" s="1028"/>
      <c r="W129" s="1028"/>
      <c r="X129" s="1028"/>
      <c r="Y129" s="1028"/>
      <c r="Z129" s="1028"/>
      <c r="AA129" s="1028"/>
      <c r="AB129" s="1028"/>
      <c r="AC129" s="1028"/>
      <c r="AD129" s="1028"/>
    </row>
    <row r="130" spans="1:30" s="1029" customFormat="1" ht="19.5" customHeight="1" x14ac:dyDescent="0.3">
      <c r="A130" s="588">
        <v>168</v>
      </c>
      <c r="B130" s="865"/>
      <c r="C130" s="771">
        <v>81</v>
      </c>
      <c r="D130" s="1287" t="s">
        <v>401</v>
      </c>
      <c r="E130" s="1287"/>
      <c r="F130" s="1024"/>
      <c r="G130" s="767"/>
      <c r="H130" s="767"/>
      <c r="I130" s="898">
        <v>12196</v>
      </c>
      <c r="J130" s="1025"/>
      <c r="K130" s="1026"/>
      <c r="L130" s="1026"/>
      <c r="M130" s="1026"/>
      <c r="N130" s="1026"/>
      <c r="O130" s="1026"/>
      <c r="P130" s="1026"/>
      <c r="Q130" s="1026"/>
      <c r="R130" s="1027"/>
      <c r="S130" s="1028"/>
      <c r="T130" s="1028"/>
      <c r="U130" s="1028"/>
      <c r="V130" s="1028"/>
      <c r="W130" s="1028"/>
      <c r="X130" s="1028"/>
      <c r="Y130" s="1028"/>
      <c r="Z130" s="1028"/>
      <c r="AA130" s="1028"/>
      <c r="AB130" s="1028"/>
      <c r="AC130" s="1028"/>
      <c r="AD130" s="1028"/>
    </row>
    <row r="131" spans="1:30" s="1029" customFormat="1" ht="19.5" customHeight="1" x14ac:dyDescent="0.3">
      <c r="A131" s="588">
        <v>169</v>
      </c>
      <c r="B131" s="776"/>
      <c r="C131" s="1031"/>
      <c r="D131" s="1030"/>
      <c r="E131" s="1014" t="s">
        <v>239</v>
      </c>
      <c r="F131" s="1024"/>
      <c r="G131" s="767"/>
      <c r="H131" s="767"/>
      <c r="I131" s="898"/>
      <c r="J131" s="908">
        <f>SUM(K131:R131)</f>
        <v>1021</v>
      </c>
      <c r="K131" s="1026">
        <v>904</v>
      </c>
      <c r="L131" s="1026">
        <v>117</v>
      </c>
      <c r="M131" s="1026"/>
      <c r="N131" s="1026"/>
      <c r="O131" s="1026"/>
      <c r="P131" s="1026"/>
      <c r="Q131" s="1026"/>
      <c r="R131" s="1027"/>
      <c r="S131" s="1028"/>
      <c r="T131" s="1028"/>
      <c r="U131" s="1028"/>
      <c r="V131" s="1028"/>
      <c r="W131" s="1028"/>
      <c r="X131" s="1028"/>
      <c r="Y131" s="1028"/>
      <c r="Z131" s="1028"/>
      <c r="AA131" s="1028"/>
      <c r="AB131" s="1028"/>
      <c r="AC131" s="1028"/>
      <c r="AD131" s="1028"/>
    </row>
    <row r="132" spans="1:30" s="1029" customFormat="1" ht="19.5" customHeight="1" x14ac:dyDescent="0.3">
      <c r="A132" s="588">
        <v>170</v>
      </c>
      <c r="B132" s="865"/>
      <c r="C132" s="1031"/>
      <c r="D132" s="1030"/>
      <c r="E132" s="119" t="s">
        <v>702</v>
      </c>
      <c r="F132" s="1024"/>
      <c r="G132" s="767"/>
      <c r="H132" s="767"/>
      <c r="I132" s="898"/>
      <c r="J132" s="818">
        <f>SUM(K132:R132)</f>
        <v>17355</v>
      </c>
      <c r="K132" s="1032">
        <v>15355</v>
      </c>
      <c r="L132" s="1032">
        <v>2000</v>
      </c>
      <c r="M132" s="1026"/>
      <c r="N132" s="1026"/>
      <c r="O132" s="1026"/>
      <c r="P132" s="1026"/>
      <c r="Q132" s="1026"/>
      <c r="R132" s="1027"/>
      <c r="S132" s="1028"/>
      <c r="T132" s="1028"/>
      <c r="U132" s="1028"/>
      <c r="V132" s="1028"/>
      <c r="W132" s="1028"/>
      <c r="X132" s="1028"/>
      <c r="Y132" s="1028"/>
      <c r="Z132" s="1028"/>
      <c r="AA132" s="1028"/>
      <c r="AB132" s="1028"/>
      <c r="AC132" s="1028"/>
      <c r="AD132" s="1028"/>
    </row>
    <row r="133" spans="1:30" s="1029" customFormat="1" ht="19.5" customHeight="1" x14ac:dyDescent="0.3">
      <c r="A133" s="588">
        <v>171</v>
      </c>
      <c r="B133" s="865"/>
      <c r="C133" s="1031"/>
      <c r="D133" s="1030"/>
      <c r="E133" s="275" t="s">
        <v>745</v>
      </c>
      <c r="F133" s="1024"/>
      <c r="G133" s="767"/>
      <c r="H133" s="767"/>
      <c r="I133" s="898"/>
      <c r="J133" s="912">
        <f>SUM(K133:R133)</f>
        <v>8338</v>
      </c>
      <c r="K133" s="927">
        <v>7379</v>
      </c>
      <c r="L133" s="927">
        <v>959</v>
      </c>
      <c r="M133" s="1026"/>
      <c r="N133" s="1026"/>
      <c r="O133" s="1026"/>
      <c r="P133" s="1026"/>
      <c r="Q133" s="1026"/>
      <c r="R133" s="1027"/>
      <c r="S133" s="1028"/>
      <c r="T133" s="1028"/>
      <c r="U133" s="1028"/>
      <c r="V133" s="1028"/>
      <c r="W133" s="1028"/>
      <c r="X133" s="1028"/>
      <c r="Y133" s="1028"/>
      <c r="Z133" s="1028"/>
      <c r="AA133" s="1028"/>
      <c r="AB133" s="1028"/>
      <c r="AC133" s="1028"/>
      <c r="AD133" s="1028"/>
    </row>
    <row r="134" spans="1:30" s="1029" customFormat="1" ht="19.5" customHeight="1" x14ac:dyDescent="0.3">
      <c r="A134" s="588">
        <v>173</v>
      </c>
      <c r="B134" s="865"/>
      <c r="C134" s="771">
        <v>82</v>
      </c>
      <c r="D134" s="1287" t="s">
        <v>402</v>
      </c>
      <c r="E134" s="1287"/>
      <c r="F134" s="1024"/>
      <c r="G134" s="767"/>
      <c r="H134" s="767"/>
      <c r="I134" s="898">
        <v>8206</v>
      </c>
      <c r="J134" s="1025"/>
      <c r="K134" s="1026"/>
      <c r="L134" s="1026"/>
      <c r="M134" s="1026"/>
      <c r="N134" s="1026"/>
      <c r="O134" s="1026"/>
      <c r="P134" s="1026"/>
      <c r="Q134" s="1026"/>
      <c r="R134" s="1027"/>
      <c r="S134" s="1028"/>
      <c r="T134" s="1028"/>
      <c r="U134" s="1028"/>
      <c r="V134" s="1028"/>
      <c r="W134" s="1028"/>
      <c r="X134" s="1028"/>
      <c r="Y134" s="1028"/>
      <c r="Z134" s="1028"/>
      <c r="AA134" s="1028"/>
      <c r="AB134" s="1028"/>
      <c r="AC134" s="1028"/>
      <c r="AD134" s="1028"/>
    </row>
    <row r="135" spans="1:30" s="1029" customFormat="1" ht="19.5" customHeight="1" x14ac:dyDescent="0.3">
      <c r="A135" s="588">
        <v>174</v>
      </c>
      <c r="B135" s="865"/>
      <c r="C135" s="1031"/>
      <c r="D135" s="1030"/>
      <c r="E135" s="1014" t="s">
        <v>239</v>
      </c>
      <c r="F135" s="1024"/>
      <c r="G135" s="767"/>
      <c r="H135" s="767"/>
      <c r="I135" s="898"/>
      <c r="J135" s="908">
        <f>SUM(K135:R135)</f>
        <v>1064</v>
      </c>
      <c r="K135" s="1026">
        <v>942</v>
      </c>
      <c r="L135" s="1026">
        <v>122</v>
      </c>
      <c r="M135" s="1026"/>
      <c r="N135" s="1026"/>
      <c r="O135" s="1026"/>
      <c r="P135" s="1026"/>
      <c r="Q135" s="1026"/>
      <c r="R135" s="1027"/>
      <c r="S135" s="1028"/>
      <c r="T135" s="1028"/>
      <c r="U135" s="1028"/>
      <c r="V135" s="1028"/>
      <c r="W135" s="1028"/>
      <c r="X135" s="1028"/>
      <c r="Y135" s="1028"/>
      <c r="Z135" s="1028"/>
      <c r="AA135" s="1028"/>
      <c r="AB135" s="1028"/>
      <c r="AC135" s="1028"/>
      <c r="AD135" s="1028"/>
    </row>
    <row r="136" spans="1:30" s="1029" customFormat="1" ht="18" customHeight="1" x14ac:dyDescent="0.3">
      <c r="A136" s="588">
        <v>175</v>
      </c>
      <c r="B136" s="865"/>
      <c r="C136" s="1031"/>
      <c r="D136" s="1030"/>
      <c r="E136" s="119" t="s">
        <v>702</v>
      </c>
      <c r="F136" s="1024"/>
      <c r="G136" s="767"/>
      <c r="H136" s="767"/>
      <c r="I136" s="898"/>
      <c r="J136" s="818">
        <f>SUM(K136:R136)</f>
        <v>15076</v>
      </c>
      <c r="K136" s="1032">
        <v>13342</v>
      </c>
      <c r="L136" s="1032">
        <v>1734</v>
      </c>
      <c r="M136" s="1026"/>
      <c r="N136" s="1026"/>
      <c r="O136" s="1026"/>
      <c r="P136" s="1026"/>
      <c r="Q136" s="1026"/>
      <c r="R136" s="1027"/>
      <c r="S136" s="1028"/>
      <c r="T136" s="1028"/>
      <c r="U136" s="1028"/>
      <c r="V136" s="1028"/>
      <c r="W136" s="1028"/>
      <c r="X136" s="1028"/>
      <c r="Y136" s="1028"/>
      <c r="Z136" s="1028"/>
      <c r="AA136" s="1028"/>
      <c r="AB136" s="1028"/>
      <c r="AC136" s="1028"/>
      <c r="AD136" s="1028"/>
    </row>
    <row r="137" spans="1:30" s="1029" customFormat="1" ht="19.5" customHeight="1" x14ac:dyDescent="0.3">
      <c r="A137" s="588">
        <v>176</v>
      </c>
      <c r="B137" s="865"/>
      <c r="C137" s="1031"/>
      <c r="D137" s="1030"/>
      <c r="E137" s="275" t="s">
        <v>745</v>
      </c>
      <c r="F137" s="1024"/>
      <c r="G137" s="767"/>
      <c r="H137" s="767"/>
      <c r="I137" s="898"/>
      <c r="J137" s="912">
        <f>SUM(K137:R137)</f>
        <v>6667</v>
      </c>
      <c r="K137" s="927">
        <v>5900</v>
      </c>
      <c r="L137" s="927">
        <v>767</v>
      </c>
      <c r="M137" s="1026"/>
      <c r="N137" s="1026"/>
      <c r="O137" s="1026"/>
      <c r="P137" s="1026"/>
      <c r="Q137" s="1026"/>
      <c r="R137" s="1027"/>
      <c r="S137" s="1028"/>
      <c r="T137" s="1028"/>
      <c r="U137" s="1028"/>
      <c r="V137" s="1028"/>
      <c r="W137" s="1028"/>
      <c r="X137" s="1028"/>
      <c r="Y137" s="1028"/>
      <c r="Z137" s="1028"/>
      <c r="AA137" s="1028"/>
      <c r="AB137" s="1028"/>
      <c r="AC137" s="1028"/>
      <c r="AD137" s="1028"/>
    </row>
    <row r="138" spans="1:30" s="1029" customFormat="1" ht="19.5" customHeight="1" x14ac:dyDescent="0.3">
      <c r="A138" s="588">
        <v>178</v>
      </c>
      <c r="B138" s="865"/>
      <c r="C138" s="1035">
        <v>84</v>
      </c>
      <c r="D138" s="1287" t="s">
        <v>403</v>
      </c>
      <c r="E138" s="1287"/>
      <c r="F138" s="1024"/>
      <c r="G138" s="767"/>
      <c r="H138" s="767"/>
      <c r="I138" s="898"/>
      <c r="J138" s="818"/>
      <c r="K138" s="1032"/>
      <c r="L138" s="1032"/>
      <c r="M138" s="1026"/>
      <c r="N138" s="1026"/>
      <c r="O138" s="1026"/>
      <c r="P138" s="1026"/>
      <c r="Q138" s="1026"/>
      <c r="R138" s="1027"/>
      <c r="S138" s="1028"/>
      <c r="T138" s="1028"/>
      <c r="U138" s="1028"/>
      <c r="V138" s="1028"/>
      <c r="W138" s="1028"/>
      <c r="X138" s="1028"/>
      <c r="Y138" s="1028"/>
      <c r="Z138" s="1028"/>
      <c r="AA138" s="1028"/>
      <c r="AB138" s="1028"/>
      <c r="AC138" s="1028"/>
      <c r="AD138" s="1028"/>
    </row>
    <row r="139" spans="1:30" s="1029" customFormat="1" ht="18" customHeight="1" x14ac:dyDescent="0.3">
      <c r="A139" s="588">
        <v>179</v>
      </c>
      <c r="B139" s="865"/>
      <c r="C139" s="1035"/>
      <c r="D139" s="1023"/>
      <c r="E139" s="119" t="s">
        <v>702</v>
      </c>
      <c r="F139" s="1024"/>
      <c r="G139" s="767"/>
      <c r="H139" s="767"/>
      <c r="I139" s="898"/>
      <c r="J139" s="818">
        <f>SUM(K139:R139)</f>
        <v>3579</v>
      </c>
      <c r="K139" s="1032">
        <v>3167</v>
      </c>
      <c r="L139" s="1032">
        <v>412</v>
      </c>
      <c r="M139" s="1026"/>
      <c r="N139" s="1026"/>
      <c r="O139" s="1026"/>
      <c r="P139" s="1026"/>
      <c r="Q139" s="1026"/>
      <c r="R139" s="1027"/>
      <c r="S139" s="1028"/>
      <c r="T139" s="1028"/>
      <c r="U139" s="1028"/>
      <c r="V139" s="1028"/>
      <c r="W139" s="1028"/>
      <c r="X139" s="1028"/>
      <c r="Y139" s="1028"/>
      <c r="Z139" s="1028"/>
      <c r="AA139" s="1028"/>
      <c r="AB139" s="1028"/>
      <c r="AC139" s="1028"/>
      <c r="AD139" s="1028"/>
    </row>
    <row r="140" spans="1:30" s="1029" customFormat="1" ht="19.5" customHeight="1" x14ac:dyDescent="0.3">
      <c r="A140" s="588">
        <v>180</v>
      </c>
      <c r="B140" s="865"/>
      <c r="C140" s="1031"/>
      <c r="D140" s="1030"/>
      <c r="E140" s="275" t="s">
        <v>745</v>
      </c>
      <c r="F140" s="1024"/>
      <c r="G140" s="767"/>
      <c r="H140" s="767"/>
      <c r="I140" s="898"/>
      <c r="J140" s="912">
        <f>SUM(K140:R140)</f>
        <v>1492</v>
      </c>
      <c r="K140" s="927">
        <v>1320</v>
      </c>
      <c r="L140" s="927">
        <v>172</v>
      </c>
      <c r="M140" s="1026"/>
      <c r="N140" s="1026"/>
      <c r="O140" s="1026"/>
      <c r="P140" s="1026"/>
      <c r="Q140" s="1026"/>
      <c r="R140" s="1027"/>
      <c r="S140" s="1028"/>
      <c r="T140" s="1028"/>
      <c r="U140" s="1028"/>
      <c r="V140" s="1028"/>
      <c r="W140" s="1028"/>
      <c r="X140" s="1028"/>
      <c r="Y140" s="1028"/>
      <c r="Z140" s="1028"/>
      <c r="AA140" s="1028"/>
      <c r="AB140" s="1028"/>
      <c r="AC140" s="1028"/>
      <c r="AD140" s="1028"/>
    </row>
    <row r="141" spans="1:30" s="1029" customFormat="1" ht="19.5" customHeight="1" x14ac:dyDescent="0.3">
      <c r="A141" s="588">
        <v>182</v>
      </c>
      <c r="B141" s="865"/>
      <c r="C141" s="1036">
        <v>85</v>
      </c>
      <c r="D141" s="1306" t="s">
        <v>516</v>
      </c>
      <c r="E141" s="1307"/>
      <c r="F141" s="1024"/>
      <c r="G141" s="767"/>
      <c r="H141" s="767"/>
      <c r="I141" s="898"/>
      <c r="J141" s="818"/>
      <c r="K141" s="923"/>
      <c r="L141" s="923"/>
      <c r="M141" s="1026"/>
      <c r="N141" s="1026"/>
      <c r="O141" s="1026"/>
      <c r="P141" s="1026"/>
      <c r="Q141" s="1026"/>
      <c r="R141" s="1027"/>
      <c r="S141" s="1028"/>
      <c r="T141" s="1028"/>
      <c r="U141" s="1028"/>
      <c r="V141" s="1028"/>
      <c r="W141" s="1028"/>
      <c r="X141" s="1028"/>
      <c r="Y141" s="1028"/>
      <c r="Z141" s="1028"/>
      <c r="AA141" s="1028"/>
      <c r="AB141" s="1028"/>
      <c r="AC141" s="1028"/>
      <c r="AD141" s="1028"/>
    </row>
    <row r="142" spans="1:30" s="1029" customFormat="1" ht="19.5" customHeight="1" x14ac:dyDescent="0.3">
      <c r="A142" s="588">
        <v>183</v>
      </c>
      <c r="B142" s="865"/>
      <c r="C142" s="1036"/>
      <c r="D142" s="1037"/>
      <c r="E142" s="119" t="s">
        <v>702</v>
      </c>
      <c r="F142" s="1024"/>
      <c r="G142" s="767"/>
      <c r="H142" s="767"/>
      <c r="I142" s="898"/>
      <c r="J142" s="818">
        <f>SUM(K142:R142)</f>
        <v>1600</v>
      </c>
      <c r="K142" s="923">
        <v>1416</v>
      </c>
      <c r="L142" s="923">
        <v>184</v>
      </c>
      <c r="M142" s="1026"/>
      <c r="N142" s="1026"/>
      <c r="O142" s="1026"/>
      <c r="P142" s="1026"/>
      <c r="Q142" s="1026"/>
      <c r="R142" s="1027"/>
      <c r="S142" s="1028"/>
      <c r="T142" s="1028"/>
      <c r="U142" s="1028"/>
      <c r="V142" s="1028"/>
      <c r="W142" s="1028"/>
      <c r="X142" s="1028"/>
      <c r="Y142" s="1028"/>
      <c r="Z142" s="1028"/>
      <c r="AA142" s="1028"/>
      <c r="AB142" s="1028"/>
      <c r="AC142" s="1028"/>
      <c r="AD142" s="1028"/>
    </row>
    <row r="143" spans="1:30" s="1029" customFormat="1" ht="19.5" customHeight="1" x14ac:dyDescent="0.3">
      <c r="A143" s="588">
        <v>184</v>
      </c>
      <c r="B143" s="865"/>
      <c r="C143" s="1031"/>
      <c r="D143" s="1030"/>
      <c r="E143" s="275" t="s">
        <v>745</v>
      </c>
      <c r="F143" s="1024"/>
      <c r="G143" s="767"/>
      <c r="H143" s="767"/>
      <c r="I143" s="898"/>
      <c r="J143" s="912">
        <f>SUM(K143:R143)</f>
        <v>0</v>
      </c>
      <c r="K143" s="927"/>
      <c r="L143" s="927"/>
      <c r="M143" s="1026"/>
      <c r="N143" s="1026"/>
      <c r="O143" s="1026"/>
      <c r="P143" s="1026"/>
      <c r="Q143" s="1026"/>
      <c r="R143" s="1027"/>
      <c r="S143" s="1028"/>
      <c r="T143" s="1028"/>
      <c r="U143" s="1028"/>
      <c r="V143" s="1028"/>
      <c r="W143" s="1028"/>
      <c r="X143" s="1028"/>
      <c r="Y143" s="1028"/>
      <c r="Z143" s="1028"/>
      <c r="AA143" s="1028"/>
      <c r="AB143" s="1028"/>
      <c r="AC143" s="1028"/>
      <c r="AD143" s="1028"/>
    </row>
    <row r="144" spans="1:30" s="760" customFormat="1" ht="19.5" customHeight="1" x14ac:dyDescent="0.3">
      <c r="A144" s="588">
        <v>186</v>
      </c>
      <c r="B144" s="955"/>
      <c r="C144" s="771">
        <v>19</v>
      </c>
      <c r="D144" s="1011" t="s">
        <v>496</v>
      </c>
      <c r="E144" s="1038"/>
      <c r="F144" s="1039"/>
      <c r="G144" s="116">
        <v>472</v>
      </c>
      <c r="H144" s="116"/>
      <c r="I144" s="903"/>
      <c r="J144" s="818"/>
      <c r="K144" s="1040"/>
      <c r="L144" s="1040"/>
      <c r="M144" s="1040"/>
      <c r="N144" s="1040"/>
      <c r="O144" s="1040"/>
      <c r="P144" s="1040"/>
      <c r="Q144" s="1040"/>
      <c r="R144" s="1041"/>
      <c r="S144" s="917"/>
      <c r="T144" s="917"/>
      <c r="U144" s="917"/>
      <c r="V144" s="917"/>
      <c r="W144" s="917"/>
      <c r="X144" s="917"/>
      <c r="Y144" s="917"/>
      <c r="Z144" s="917"/>
      <c r="AA144" s="917"/>
      <c r="AB144" s="917"/>
      <c r="AC144" s="917"/>
      <c r="AD144" s="917"/>
    </row>
    <row r="145" spans="1:31" s="760" customFormat="1" ht="19.5" customHeight="1" x14ac:dyDescent="0.3">
      <c r="A145" s="588">
        <v>187</v>
      </c>
      <c r="B145" s="955"/>
      <c r="C145" s="771">
        <v>20</v>
      </c>
      <c r="D145" s="1011" t="s">
        <v>337</v>
      </c>
      <c r="E145" s="1038"/>
      <c r="F145" s="1039"/>
      <c r="G145" s="116">
        <v>16544</v>
      </c>
      <c r="H145" s="116"/>
      <c r="I145" s="903"/>
      <c r="J145" s="818"/>
      <c r="K145" s="1040"/>
      <c r="L145" s="1040"/>
      <c r="M145" s="1040"/>
      <c r="N145" s="1040"/>
      <c r="O145" s="1040"/>
      <c r="P145" s="1040"/>
      <c r="Q145" s="1040"/>
      <c r="R145" s="1041"/>
      <c r="S145" s="917"/>
      <c r="T145" s="917"/>
      <c r="U145" s="917"/>
      <c r="V145" s="917"/>
      <c r="W145" s="917"/>
      <c r="X145" s="917"/>
      <c r="Y145" s="917"/>
      <c r="Z145" s="917"/>
      <c r="AA145" s="917"/>
      <c r="AB145" s="917"/>
      <c r="AC145" s="917"/>
      <c r="AD145" s="917"/>
    </row>
    <row r="146" spans="1:31" s="859" customFormat="1" ht="30" customHeight="1" x14ac:dyDescent="0.3">
      <c r="A146" s="588">
        <v>188</v>
      </c>
      <c r="B146" s="955"/>
      <c r="C146" s="858">
        <v>21</v>
      </c>
      <c r="D146" s="1239" t="s">
        <v>338</v>
      </c>
      <c r="E146" s="1240"/>
      <c r="F146" s="914"/>
      <c r="G146" s="116">
        <v>531</v>
      </c>
      <c r="H146" s="116"/>
      <c r="I146" s="903"/>
      <c r="J146" s="818"/>
      <c r="K146" s="1042"/>
      <c r="L146" s="1042"/>
      <c r="M146" s="1040"/>
      <c r="N146" s="1040"/>
      <c r="O146" s="1040"/>
      <c r="P146" s="1040"/>
      <c r="Q146" s="1040"/>
      <c r="R146" s="1041"/>
      <c r="S146" s="915"/>
      <c r="T146" s="915"/>
      <c r="U146" s="915"/>
      <c r="V146" s="915"/>
      <c r="W146" s="915"/>
      <c r="X146" s="915"/>
      <c r="Y146" s="915"/>
      <c r="Z146" s="915"/>
      <c r="AA146" s="915"/>
      <c r="AB146" s="915"/>
      <c r="AC146" s="915"/>
      <c r="AD146" s="915"/>
    </row>
    <row r="147" spans="1:31" s="1029" customFormat="1" ht="30.75" customHeight="1" x14ac:dyDescent="0.3">
      <c r="A147" s="588">
        <v>189</v>
      </c>
      <c r="B147" s="865"/>
      <c r="C147" s="858">
        <v>60</v>
      </c>
      <c r="D147" s="1239" t="s">
        <v>383</v>
      </c>
      <c r="E147" s="1240"/>
      <c r="F147" s="1024"/>
      <c r="G147" s="767">
        <v>7754</v>
      </c>
      <c r="H147" s="767">
        <v>2207</v>
      </c>
      <c r="I147" s="898">
        <v>2207</v>
      </c>
      <c r="J147" s="1025"/>
      <c r="K147" s="1026"/>
      <c r="L147" s="1026"/>
      <c r="M147" s="1026"/>
      <c r="N147" s="1026"/>
      <c r="O147" s="1026"/>
      <c r="P147" s="1026"/>
      <c r="Q147" s="1026"/>
      <c r="R147" s="1027"/>
      <c r="S147" s="1028"/>
      <c r="T147" s="1028"/>
      <c r="U147" s="1028"/>
      <c r="V147" s="1028"/>
      <c r="W147" s="1028"/>
      <c r="X147" s="1028"/>
      <c r="Y147" s="1028"/>
      <c r="Z147" s="1028"/>
      <c r="AA147" s="1028"/>
      <c r="AB147" s="1028"/>
      <c r="AC147" s="1028"/>
      <c r="AD147" s="1028"/>
    </row>
    <row r="148" spans="1:31" s="1029" customFormat="1" ht="19.5" customHeight="1" x14ac:dyDescent="0.3">
      <c r="A148" s="588">
        <v>190</v>
      </c>
      <c r="B148" s="865"/>
      <c r="C148" s="771"/>
      <c r="D148" s="1287" t="s">
        <v>601</v>
      </c>
      <c r="E148" s="1287"/>
      <c r="F148" s="1024"/>
      <c r="G148" s="767">
        <v>120063</v>
      </c>
      <c r="H148" s="767">
        <v>7918</v>
      </c>
      <c r="I148" s="898">
        <f>4158+127+1411+566+958+1080</f>
        <v>8300</v>
      </c>
      <c r="J148" s="1025"/>
      <c r="K148" s="1026"/>
      <c r="L148" s="1026"/>
      <c r="M148" s="1026"/>
      <c r="N148" s="1026"/>
      <c r="O148" s="1026"/>
      <c r="P148" s="1026"/>
      <c r="Q148" s="1026"/>
      <c r="R148" s="1027"/>
      <c r="S148" s="1028"/>
      <c r="T148" s="1028"/>
      <c r="U148" s="1028"/>
      <c r="V148" s="1028"/>
      <c r="W148" s="1028"/>
      <c r="X148" s="1028"/>
      <c r="Y148" s="1028"/>
      <c r="Z148" s="1028"/>
      <c r="AA148" s="1028"/>
      <c r="AB148" s="1028"/>
      <c r="AC148" s="1028"/>
      <c r="AD148" s="1028"/>
    </row>
    <row r="149" spans="1:31" s="1029" customFormat="1" ht="19.5" customHeight="1" thickBot="1" x14ac:dyDescent="0.35">
      <c r="A149" s="588">
        <v>191</v>
      </c>
      <c r="B149" s="865"/>
      <c r="C149" s="771">
        <v>83</v>
      </c>
      <c r="D149" s="1287" t="s">
        <v>604</v>
      </c>
      <c r="E149" s="1287"/>
      <c r="F149" s="1024"/>
      <c r="G149" s="767"/>
      <c r="H149" s="767"/>
      <c r="I149" s="898">
        <v>50257</v>
      </c>
      <c r="J149" s="1025"/>
      <c r="K149" s="1026"/>
      <c r="L149" s="1026"/>
      <c r="M149" s="1026"/>
      <c r="N149" s="1026"/>
      <c r="O149" s="1026"/>
      <c r="P149" s="1026"/>
      <c r="Q149" s="1026"/>
      <c r="R149" s="1027"/>
      <c r="S149" s="1028"/>
      <c r="T149" s="1028"/>
      <c r="U149" s="1028"/>
      <c r="V149" s="1028"/>
      <c r="W149" s="1028"/>
      <c r="X149" s="1028"/>
      <c r="Y149" s="1028"/>
      <c r="Z149" s="1028"/>
      <c r="AA149" s="1028"/>
      <c r="AB149" s="1028"/>
      <c r="AC149" s="1028"/>
      <c r="AD149" s="1028"/>
    </row>
    <row r="150" spans="1:31" s="859" customFormat="1" ht="22.5" customHeight="1" thickTop="1" x14ac:dyDescent="0.3">
      <c r="A150" s="588">
        <v>192</v>
      </c>
      <c r="B150" s="1043"/>
      <c r="C150" s="1294" t="s">
        <v>297</v>
      </c>
      <c r="D150" s="1295"/>
      <c r="E150" s="1296"/>
      <c r="F150" s="1044"/>
      <c r="G150" s="929">
        <f>SUM(G104:G149)-G109</f>
        <v>2164505</v>
      </c>
      <c r="H150" s="929">
        <f>SUM(H104:H149)-H109</f>
        <v>2584822</v>
      </c>
      <c r="I150" s="929">
        <f>SUM(I104:I149)-I109</f>
        <v>2420617</v>
      </c>
      <c r="J150" s="931"/>
      <c r="K150" s="969"/>
      <c r="L150" s="969"/>
      <c r="M150" s="969"/>
      <c r="N150" s="969"/>
      <c r="O150" s="969"/>
      <c r="P150" s="969"/>
      <c r="Q150" s="969"/>
      <c r="R150" s="970"/>
      <c r="S150" s="915"/>
      <c r="T150" s="915"/>
      <c r="U150" s="915"/>
      <c r="V150" s="915"/>
      <c r="W150" s="915"/>
      <c r="X150" s="915"/>
      <c r="Y150" s="915"/>
      <c r="Z150" s="915"/>
      <c r="AA150" s="915"/>
      <c r="AB150" s="915"/>
      <c r="AC150" s="915"/>
      <c r="AD150" s="915"/>
      <c r="AE150" s="915"/>
    </row>
    <row r="151" spans="1:31" s="784" customFormat="1" ht="18" customHeight="1" x14ac:dyDescent="0.3">
      <c r="A151" s="588">
        <v>193</v>
      </c>
      <c r="B151" s="776"/>
      <c r="C151" s="831"/>
      <c r="D151" s="936"/>
      <c r="E151" s="1045" t="s">
        <v>239</v>
      </c>
      <c r="F151" s="1046"/>
      <c r="G151" s="937"/>
      <c r="H151" s="937"/>
      <c r="I151" s="938"/>
      <c r="J151" s="939">
        <f>SUM(K151:R151)</f>
        <v>2856633</v>
      </c>
      <c r="K151" s="1047">
        <f t="shared" ref="K151:R151" si="14">SUM(K106,K111,K115,,K119,K123,K127,K131,K135)</f>
        <v>1950732</v>
      </c>
      <c r="L151" s="1047">
        <f t="shared" si="14"/>
        <v>293070</v>
      </c>
      <c r="M151" s="1047">
        <f t="shared" si="14"/>
        <v>481884</v>
      </c>
      <c r="N151" s="1047">
        <f t="shared" si="14"/>
        <v>0</v>
      </c>
      <c r="O151" s="1047">
        <f t="shared" si="14"/>
        <v>0</v>
      </c>
      <c r="P151" s="1047">
        <f t="shared" si="14"/>
        <v>130947</v>
      </c>
      <c r="Q151" s="1047">
        <f t="shared" si="14"/>
        <v>0</v>
      </c>
      <c r="R151" s="1048">
        <f t="shared" si="14"/>
        <v>0</v>
      </c>
      <c r="S151" s="910"/>
      <c r="T151" s="910"/>
      <c r="U151" s="910"/>
      <c r="V151" s="910"/>
      <c r="W151" s="910"/>
      <c r="X151" s="910"/>
      <c r="Y151" s="910"/>
      <c r="Z151" s="910"/>
      <c r="AA151" s="910"/>
      <c r="AB151" s="910"/>
      <c r="AC151" s="910"/>
      <c r="AD151" s="910"/>
      <c r="AE151" s="910"/>
    </row>
    <row r="152" spans="1:31" s="784" customFormat="1" ht="18" customHeight="1" x14ac:dyDescent="0.3">
      <c r="A152" s="588">
        <v>194</v>
      </c>
      <c r="B152" s="1049"/>
      <c r="C152" s="831"/>
      <c r="D152" s="936"/>
      <c r="E152" s="119" t="s">
        <v>702</v>
      </c>
      <c r="F152" s="1046"/>
      <c r="G152" s="937"/>
      <c r="H152" s="937"/>
      <c r="I152" s="938"/>
      <c r="J152" s="942">
        <f>SUM(K152:R152)</f>
        <v>3760175</v>
      </c>
      <c r="K152" s="1050">
        <f t="shared" ref="K152:R152" si="15">SUM(K107,K112,K116,,K120,K124,K128,K132,K136,K139,K142)</f>
        <v>2338236</v>
      </c>
      <c r="L152" s="1050">
        <f t="shared" si="15"/>
        <v>347581</v>
      </c>
      <c r="M152" s="1050">
        <f t="shared" si="15"/>
        <v>853711</v>
      </c>
      <c r="N152" s="1050">
        <f t="shared" si="15"/>
        <v>0</v>
      </c>
      <c r="O152" s="1050">
        <f t="shared" si="15"/>
        <v>0</v>
      </c>
      <c r="P152" s="1050">
        <f t="shared" si="15"/>
        <v>220647</v>
      </c>
      <c r="Q152" s="1050">
        <f t="shared" si="15"/>
        <v>0</v>
      </c>
      <c r="R152" s="1051">
        <f t="shared" si="15"/>
        <v>0</v>
      </c>
      <c r="S152" s="910"/>
      <c r="T152" s="910"/>
      <c r="U152" s="910"/>
      <c r="V152" s="910"/>
      <c r="W152" s="910"/>
      <c r="X152" s="910"/>
      <c r="Y152" s="910"/>
      <c r="Z152" s="910"/>
      <c r="AA152" s="910"/>
      <c r="AB152" s="910"/>
      <c r="AC152" s="910"/>
      <c r="AD152" s="910"/>
      <c r="AE152" s="910"/>
    </row>
    <row r="153" spans="1:31" s="784" customFormat="1" ht="18" customHeight="1" thickBot="1" x14ac:dyDescent="0.35">
      <c r="A153" s="588">
        <v>195</v>
      </c>
      <c r="B153" s="1049"/>
      <c r="C153" s="777"/>
      <c r="D153" s="920"/>
      <c r="E153" s="275" t="s">
        <v>745</v>
      </c>
      <c r="F153" s="1052"/>
      <c r="G153" s="906"/>
      <c r="H153" s="906"/>
      <c r="I153" s="907"/>
      <c r="J153" s="912">
        <f>SUM(K153:R153)</f>
        <v>1307248</v>
      </c>
      <c r="K153" s="913">
        <f t="shared" ref="K153:R153" si="16">K137+K133+K129+K125+K121+K117+K113+K108+K140+K143</f>
        <v>931812</v>
      </c>
      <c r="L153" s="913">
        <f t="shared" si="16"/>
        <v>140879</v>
      </c>
      <c r="M153" s="913">
        <f t="shared" si="16"/>
        <v>182081</v>
      </c>
      <c r="N153" s="913">
        <f t="shared" si="16"/>
        <v>0</v>
      </c>
      <c r="O153" s="913">
        <f t="shared" si="16"/>
        <v>0</v>
      </c>
      <c r="P153" s="913">
        <f t="shared" si="16"/>
        <v>52476</v>
      </c>
      <c r="Q153" s="913">
        <f t="shared" si="16"/>
        <v>0</v>
      </c>
      <c r="R153" s="964">
        <f t="shared" si="16"/>
        <v>0</v>
      </c>
      <c r="S153" s="910"/>
      <c r="T153" s="910"/>
      <c r="U153" s="910"/>
      <c r="V153" s="910"/>
      <c r="W153" s="910"/>
      <c r="X153" s="910"/>
      <c r="Y153" s="910"/>
      <c r="Z153" s="910"/>
      <c r="AA153" s="910"/>
      <c r="AB153" s="910"/>
      <c r="AC153" s="910"/>
      <c r="AD153" s="910"/>
      <c r="AE153" s="910"/>
    </row>
    <row r="154" spans="1:31" s="859" customFormat="1" ht="36" customHeight="1" x14ac:dyDescent="0.2">
      <c r="A154" s="588">
        <v>197</v>
      </c>
      <c r="B154" s="1246" t="s">
        <v>13</v>
      </c>
      <c r="C154" s="1247"/>
      <c r="D154" s="1247"/>
      <c r="E154" s="1248"/>
      <c r="F154" s="1053"/>
      <c r="G154" s="1054">
        <f>SUM(G150,G100)</f>
        <v>12380731</v>
      </c>
      <c r="H154" s="1054">
        <f>SUM(H150,H100)</f>
        <v>13111714</v>
      </c>
      <c r="I154" s="1054">
        <f>SUM(I150,I100)</f>
        <v>13552260</v>
      </c>
      <c r="J154" s="1055"/>
      <c r="K154" s="1054"/>
      <c r="L154" s="1054"/>
      <c r="M154" s="1054"/>
      <c r="N154" s="1054"/>
      <c r="O154" s="1054"/>
      <c r="P154" s="1054"/>
      <c r="Q154" s="1054"/>
      <c r="R154" s="1056"/>
      <c r="S154" s="915"/>
      <c r="T154" s="915"/>
      <c r="U154" s="915"/>
      <c r="V154" s="915"/>
      <c r="W154" s="915"/>
      <c r="X154" s="915"/>
      <c r="Y154" s="915"/>
      <c r="Z154" s="915"/>
      <c r="AA154" s="915"/>
      <c r="AB154" s="915"/>
      <c r="AC154" s="915"/>
      <c r="AD154" s="915"/>
      <c r="AE154" s="915"/>
    </row>
    <row r="155" spans="1:31" s="784" customFormat="1" ht="18" customHeight="1" x14ac:dyDescent="0.3">
      <c r="A155" s="588">
        <v>198</v>
      </c>
      <c r="B155" s="865"/>
      <c r="C155" s="831"/>
      <c r="D155" s="936"/>
      <c r="E155" s="1045" t="s">
        <v>239</v>
      </c>
      <c r="F155" s="1046"/>
      <c r="G155" s="937"/>
      <c r="H155" s="937"/>
      <c r="I155" s="938"/>
      <c r="J155" s="939">
        <f>SUM(K155:R155)</f>
        <v>14196982</v>
      </c>
      <c r="K155" s="1047">
        <f t="shared" ref="K155:R156" si="17">SUM(K151,K101)</f>
        <v>8305628</v>
      </c>
      <c r="L155" s="1047">
        <f t="shared" si="17"/>
        <v>1221040</v>
      </c>
      <c r="M155" s="1047">
        <f t="shared" si="17"/>
        <v>4422620</v>
      </c>
      <c r="N155" s="1047">
        <f t="shared" si="17"/>
        <v>0</v>
      </c>
      <c r="O155" s="1047">
        <f t="shared" si="17"/>
        <v>0</v>
      </c>
      <c r="P155" s="1047">
        <f t="shared" si="17"/>
        <v>247694</v>
      </c>
      <c r="Q155" s="1047">
        <f t="shared" si="17"/>
        <v>0</v>
      </c>
      <c r="R155" s="1048">
        <f t="shared" si="17"/>
        <v>0</v>
      </c>
      <c r="S155" s="910"/>
      <c r="T155" s="910"/>
      <c r="U155" s="910"/>
      <c r="V155" s="910"/>
      <c r="W155" s="910"/>
      <c r="X155" s="910"/>
      <c r="Y155" s="910"/>
      <c r="Z155" s="910"/>
      <c r="AA155" s="910"/>
      <c r="AB155" s="910"/>
      <c r="AC155" s="910"/>
      <c r="AD155" s="910"/>
      <c r="AE155" s="910"/>
    </row>
    <row r="156" spans="1:31" s="784" customFormat="1" ht="18" customHeight="1" x14ac:dyDescent="0.3">
      <c r="A156" s="588">
        <v>199</v>
      </c>
      <c r="B156" s="865"/>
      <c r="C156" s="1057"/>
      <c r="D156" s="936"/>
      <c r="E156" s="119" t="s">
        <v>702</v>
      </c>
      <c r="F156" s="1046"/>
      <c r="G156" s="937"/>
      <c r="H156" s="937"/>
      <c r="I156" s="938"/>
      <c r="J156" s="942">
        <f>SUM(K156:R156)</f>
        <v>16031047</v>
      </c>
      <c r="K156" s="1050">
        <f t="shared" si="17"/>
        <v>8995184</v>
      </c>
      <c r="L156" s="1050">
        <f t="shared" si="17"/>
        <v>1319409</v>
      </c>
      <c r="M156" s="1050">
        <f t="shared" si="17"/>
        <v>5263464</v>
      </c>
      <c r="N156" s="1050">
        <f t="shared" si="17"/>
        <v>0</v>
      </c>
      <c r="O156" s="1050">
        <f t="shared" si="17"/>
        <v>0</v>
      </c>
      <c r="P156" s="1050">
        <f t="shared" si="17"/>
        <v>451490</v>
      </c>
      <c r="Q156" s="1050">
        <f t="shared" si="17"/>
        <v>1500</v>
      </c>
      <c r="R156" s="1051">
        <f t="shared" si="17"/>
        <v>0</v>
      </c>
      <c r="S156" s="910"/>
      <c r="T156" s="910"/>
      <c r="U156" s="910"/>
      <c r="V156" s="910"/>
      <c r="W156" s="910"/>
      <c r="X156" s="910"/>
      <c r="Y156" s="910"/>
      <c r="Z156" s="910"/>
      <c r="AA156" s="910"/>
      <c r="AB156" s="910"/>
      <c r="AC156" s="910"/>
      <c r="AD156" s="910"/>
      <c r="AE156" s="910"/>
    </row>
    <row r="157" spans="1:31" s="784" customFormat="1" ht="18" customHeight="1" thickBot="1" x14ac:dyDescent="0.35">
      <c r="A157" s="588">
        <v>200</v>
      </c>
      <c r="B157" s="776"/>
      <c r="C157" s="1058"/>
      <c r="D157" s="905"/>
      <c r="E157" s="275" t="s">
        <v>745</v>
      </c>
      <c r="F157" s="1052"/>
      <c r="G157" s="906"/>
      <c r="H157" s="906"/>
      <c r="I157" s="907"/>
      <c r="J157" s="912">
        <f>SUM(K157:R157)</f>
        <v>7025589</v>
      </c>
      <c r="K157" s="1059">
        <f t="shared" ref="K157:R157" si="18">K153+K103</f>
        <v>4047311</v>
      </c>
      <c r="L157" s="1059">
        <f t="shared" si="18"/>
        <v>564560</v>
      </c>
      <c r="M157" s="1059">
        <f t="shared" si="18"/>
        <v>2279352</v>
      </c>
      <c r="N157" s="1059">
        <f t="shared" si="18"/>
        <v>0</v>
      </c>
      <c r="O157" s="1059">
        <f t="shared" si="18"/>
        <v>0</v>
      </c>
      <c r="P157" s="1059">
        <f t="shared" si="18"/>
        <v>132866</v>
      </c>
      <c r="Q157" s="1059">
        <f t="shared" si="18"/>
        <v>1500</v>
      </c>
      <c r="R157" s="1060">
        <f t="shared" si="18"/>
        <v>0</v>
      </c>
      <c r="S157" s="910"/>
      <c r="T157" s="910"/>
      <c r="U157" s="910"/>
      <c r="V157" s="910"/>
      <c r="W157" s="910"/>
      <c r="X157" s="910"/>
      <c r="Y157" s="910"/>
      <c r="Z157" s="910"/>
      <c r="AA157" s="910"/>
      <c r="AB157" s="910"/>
      <c r="AC157" s="910"/>
      <c r="AD157" s="910"/>
      <c r="AE157" s="910"/>
    </row>
    <row r="158" spans="1:31" s="857" customFormat="1" ht="15" customHeight="1" x14ac:dyDescent="0.3">
      <c r="A158" s="588">
        <v>202</v>
      </c>
      <c r="B158" s="1297" t="s">
        <v>124</v>
      </c>
      <c r="C158" s="1298"/>
      <c r="D158" s="1298"/>
      <c r="E158" s="1299"/>
      <c r="F158" s="1061"/>
      <c r="G158" s="999"/>
      <c r="H158" s="999"/>
      <c r="I158" s="1062"/>
      <c r="J158" s="1063"/>
      <c r="K158" s="999"/>
      <c r="L158" s="999"/>
      <c r="M158" s="999"/>
      <c r="N158" s="999"/>
      <c r="O158" s="999"/>
      <c r="P158" s="999"/>
      <c r="Q158" s="999"/>
      <c r="R158" s="1000"/>
      <c r="S158" s="583"/>
      <c r="T158" s="11"/>
      <c r="U158" s="11"/>
      <c r="V158" s="11"/>
      <c r="W158" s="11"/>
      <c r="X158" s="11"/>
      <c r="Y158" s="11"/>
      <c r="Z158" s="11"/>
      <c r="AA158" s="11"/>
      <c r="AB158" s="11"/>
      <c r="AC158" s="11"/>
      <c r="AD158" s="11"/>
      <c r="AE158" s="11"/>
    </row>
    <row r="159" spans="1:31" s="857" customFormat="1" ht="15" customHeight="1" x14ac:dyDescent="0.3">
      <c r="A159" s="588">
        <v>203</v>
      </c>
      <c r="B159" s="1300" t="s">
        <v>125</v>
      </c>
      <c r="C159" s="1301"/>
      <c r="D159" s="1301"/>
      <c r="E159" s="1301"/>
      <c r="F159" s="1289"/>
      <c r="G159" s="1042">
        <f>SUM(G63:G83,G59,G39,G96)</f>
        <v>8601370</v>
      </c>
      <c r="H159" s="1042">
        <f>SUM(H63:H83,H59,H39,H96)</f>
        <v>9310672</v>
      </c>
      <c r="I159" s="1064">
        <f>SUM(I63:I83,I59,I39,I96)</f>
        <v>9612099</v>
      </c>
      <c r="J159" s="1065"/>
      <c r="K159" s="1066"/>
      <c r="L159" s="1066"/>
      <c r="M159" s="1066"/>
      <c r="N159" s="1066"/>
      <c r="O159" s="1066"/>
      <c r="P159" s="1066"/>
      <c r="Q159" s="1066"/>
      <c r="R159" s="1067"/>
      <c r="S159" s="583"/>
      <c r="T159" s="11"/>
      <c r="U159" s="11"/>
      <c r="V159" s="11"/>
      <c r="W159" s="11"/>
      <c r="X159" s="11"/>
      <c r="Y159" s="11"/>
      <c r="Z159" s="11"/>
      <c r="AA159" s="11"/>
      <c r="AB159" s="11"/>
      <c r="AC159" s="11"/>
      <c r="AD159" s="11"/>
      <c r="AE159" s="11"/>
    </row>
    <row r="160" spans="1:31" s="784" customFormat="1" ht="15" customHeight="1" x14ac:dyDescent="0.3">
      <c r="A160" s="588">
        <v>204</v>
      </c>
      <c r="B160" s="1068"/>
      <c r="C160" s="1069"/>
      <c r="D160" s="1069"/>
      <c r="E160" s="779" t="s">
        <v>239</v>
      </c>
      <c r="F160" s="1070"/>
      <c r="G160" s="1071"/>
      <c r="H160" s="1071"/>
      <c r="I160" s="1072"/>
      <c r="J160" s="1073">
        <f>SUM(K160:R160)</f>
        <v>9916745</v>
      </c>
      <c r="K160" s="1073">
        <f t="shared" ref="K160:R162" si="19">SUM(K40,K60,K64,K69,K73,K78,K97,)</f>
        <v>5580881</v>
      </c>
      <c r="L160" s="1073">
        <f t="shared" si="19"/>
        <v>841337</v>
      </c>
      <c r="M160" s="1073">
        <f t="shared" si="19"/>
        <v>3397966</v>
      </c>
      <c r="N160" s="1073">
        <f t="shared" si="19"/>
        <v>0</v>
      </c>
      <c r="O160" s="1073">
        <f t="shared" si="19"/>
        <v>0</v>
      </c>
      <c r="P160" s="1073">
        <f t="shared" si="19"/>
        <v>96561</v>
      </c>
      <c r="Q160" s="1073">
        <f t="shared" si="19"/>
        <v>0</v>
      </c>
      <c r="R160" s="1074">
        <f t="shared" si="19"/>
        <v>0</v>
      </c>
      <c r="S160" s="916"/>
      <c r="T160" s="910"/>
      <c r="U160" s="910"/>
      <c r="V160" s="910"/>
      <c r="W160" s="910"/>
      <c r="X160" s="910"/>
      <c r="Y160" s="910"/>
      <c r="Z160" s="910"/>
      <c r="AA160" s="910"/>
      <c r="AB160" s="910"/>
      <c r="AC160" s="910"/>
      <c r="AD160" s="910"/>
      <c r="AE160" s="910"/>
    </row>
    <row r="161" spans="1:31" s="784" customFormat="1" ht="15" customHeight="1" x14ac:dyDescent="0.3">
      <c r="A161" s="588">
        <v>205</v>
      </c>
      <c r="B161" s="1068"/>
      <c r="C161" s="1069"/>
      <c r="D161" s="1069"/>
      <c r="E161" s="119" t="s">
        <v>702</v>
      </c>
      <c r="F161" s="1070"/>
      <c r="G161" s="1071"/>
      <c r="H161" s="1071"/>
      <c r="I161" s="1072"/>
      <c r="J161" s="1040">
        <f>SUM(K161:R161)</f>
        <v>10756676</v>
      </c>
      <c r="K161" s="1040">
        <f t="shared" si="19"/>
        <v>5858446</v>
      </c>
      <c r="L161" s="1040">
        <f t="shared" si="19"/>
        <v>883698</v>
      </c>
      <c r="M161" s="1040">
        <f t="shared" si="19"/>
        <v>3821775</v>
      </c>
      <c r="N161" s="1040">
        <f t="shared" si="19"/>
        <v>0</v>
      </c>
      <c r="O161" s="1040">
        <f t="shared" si="19"/>
        <v>0</v>
      </c>
      <c r="P161" s="1040">
        <f t="shared" si="19"/>
        <v>191257</v>
      </c>
      <c r="Q161" s="1040">
        <f t="shared" si="19"/>
        <v>1500</v>
      </c>
      <c r="R161" s="1041">
        <f t="shared" si="19"/>
        <v>0</v>
      </c>
      <c r="S161" s="916"/>
      <c r="T161" s="910"/>
      <c r="U161" s="910"/>
      <c r="V161" s="910"/>
      <c r="W161" s="910"/>
      <c r="X161" s="910"/>
      <c r="Y161" s="910"/>
      <c r="Z161" s="910"/>
      <c r="AA161" s="910"/>
      <c r="AB161" s="910"/>
      <c r="AC161" s="910"/>
      <c r="AD161" s="910"/>
      <c r="AE161" s="910"/>
    </row>
    <row r="162" spans="1:31" s="784" customFormat="1" ht="15" customHeight="1" x14ac:dyDescent="0.3">
      <c r="A162" s="588">
        <v>206</v>
      </c>
      <c r="B162" s="1068"/>
      <c r="C162" s="1069"/>
      <c r="D162" s="1069"/>
      <c r="E162" s="275" t="s">
        <v>745</v>
      </c>
      <c r="F162" s="1070"/>
      <c r="G162" s="1071"/>
      <c r="H162" s="1071"/>
      <c r="I162" s="1072"/>
      <c r="J162" s="912">
        <f>SUM(K162:R162)</f>
        <v>4897942</v>
      </c>
      <c r="K162" s="1059">
        <f t="shared" si="19"/>
        <v>2736209</v>
      </c>
      <c r="L162" s="1059">
        <f t="shared" si="19"/>
        <v>385480</v>
      </c>
      <c r="M162" s="1059">
        <f t="shared" si="19"/>
        <v>1722205</v>
      </c>
      <c r="N162" s="1059">
        <f t="shared" si="19"/>
        <v>0</v>
      </c>
      <c r="O162" s="1059">
        <f t="shared" si="19"/>
        <v>0</v>
      </c>
      <c r="P162" s="1059">
        <f t="shared" si="19"/>
        <v>52548</v>
      </c>
      <c r="Q162" s="1059">
        <f t="shared" si="19"/>
        <v>1500</v>
      </c>
      <c r="R162" s="1060">
        <f t="shared" si="19"/>
        <v>0</v>
      </c>
      <c r="S162" s="916"/>
      <c r="T162" s="910"/>
      <c r="U162" s="910"/>
      <c r="V162" s="910"/>
      <c r="W162" s="910"/>
      <c r="X162" s="910"/>
      <c r="Y162" s="910"/>
      <c r="Z162" s="910"/>
      <c r="AA162" s="910"/>
      <c r="AB162" s="910"/>
      <c r="AC162" s="910"/>
      <c r="AD162" s="910"/>
      <c r="AE162" s="910"/>
    </row>
    <row r="163" spans="1:31" s="857" customFormat="1" ht="15" customHeight="1" x14ac:dyDescent="0.3">
      <c r="A163" s="588">
        <v>208</v>
      </c>
      <c r="B163" s="1288" t="s">
        <v>124</v>
      </c>
      <c r="C163" s="1289"/>
      <c r="D163" s="1289"/>
      <c r="E163" s="1290"/>
      <c r="F163" s="1075"/>
      <c r="G163" s="1042"/>
      <c r="H163" s="1042"/>
      <c r="I163" s="1076"/>
      <c r="J163" s="1077"/>
      <c r="K163" s="1042"/>
      <c r="L163" s="1042"/>
      <c r="M163" s="1042"/>
      <c r="N163" s="1042"/>
      <c r="O163" s="1042"/>
      <c r="P163" s="1042"/>
      <c r="Q163" s="1042"/>
      <c r="R163" s="1078"/>
      <c r="S163" s="583"/>
      <c r="T163" s="11"/>
      <c r="U163" s="11"/>
      <c r="V163" s="11"/>
      <c r="W163" s="11"/>
      <c r="X163" s="11"/>
      <c r="Y163" s="11"/>
      <c r="Z163" s="11"/>
      <c r="AA163" s="11"/>
      <c r="AB163" s="11"/>
      <c r="AC163" s="11"/>
      <c r="AD163" s="11"/>
      <c r="AE163" s="11"/>
    </row>
    <row r="164" spans="1:31" s="857" customFormat="1" ht="15" customHeight="1" x14ac:dyDescent="0.3">
      <c r="A164" s="588">
        <v>209</v>
      </c>
      <c r="B164" s="1288" t="s">
        <v>126</v>
      </c>
      <c r="C164" s="1289"/>
      <c r="D164" s="1289"/>
      <c r="E164" s="1290"/>
      <c r="F164" s="1290"/>
      <c r="G164" s="1042">
        <f>SUM(G84:G89)</f>
        <v>1614856</v>
      </c>
      <c r="H164" s="1042">
        <f>SUM(H84:H89)</f>
        <v>1216220</v>
      </c>
      <c r="I164" s="1076">
        <f>SUM(I84:I89)</f>
        <v>1519544</v>
      </c>
      <c r="J164" s="1077"/>
      <c r="K164" s="1042"/>
      <c r="L164" s="1042"/>
      <c r="M164" s="1042"/>
      <c r="N164" s="1042"/>
      <c r="O164" s="1042"/>
      <c r="P164" s="1042"/>
      <c r="Q164" s="1042"/>
      <c r="R164" s="1078"/>
      <c r="S164" s="583"/>
      <c r="T164" s="11"/>
      <c r="U164" s="11"/>
      <c r="V164" s="11"/>
      <c r="W164" s="11"/>
      <c r="X164" s="11"/>
      <c r="Y164" s="11"/>
      <c r="Z164" s="11"/>
      <c r="AA164" s="11"/>
      <c r="AB164" s="11"/>
      <c r="AC164" s="11"/>
      <c r="AD164" s="11"/>
      <c r="AE164" s="11"/>
    </row>
    <row r="165" spans="1:31" s="784" customFormat="1" ht="15" customHeight="1" x14ac:dyDescent="0.3">
      <c r="A165" s="588">
        <v>210</v>
      </c>
      <c r="B165" s="1068"/>
      <c r="C165" s="1069"/>
      <c r="D165" s="1069"/>
      <c r="E165" s="779" t="s">
        <v>239</v>
      </c>
      <c r="F165" s="1070"/>
      <c r="G165" s="1071"/>
      <c r="H165" s="1071"/>
      <c r="I165" s="1072"/>
      <c r="J165" s="1079">
        <f>SUM(K165:R165)</f>
        <v>1423604</v>
      </c>
      <c r="K165" s="1073">
        <f t="shared" ref="K165:R167" si="20">SUM(K85,K89)</f>
        <v>774015</v>
      </c>
      <c r="L165" s="1073">
        <f t="shared" si="20"/>
        <v>86633</v>
      </c>
      <c r="M165" s="1073">
        <f t="shared" si="20"/>
        <v>542770</v>
      </c>
      <c r="N165" s="1073">
        <f t="shared" si="20"/>
        <v>0</v>
      </c>
      <c r="O165" s="1073">
        <f t="shared" si="20"/>
        <v>0</v>
      </c>
      <c r="P165" s="1073">
        <f t="shared" si="20"/>
        <v>20186</v>
      </c>
      <c r="Q165" s="1073">
        <f t="shared" si="20"/>
        <v>0</v>
      </c>
      <c r="R165" s="1074">
        <f t="shared" si="20"/>
        <v>0</v>
      </c>
      <c r="S165" s="916"/>
      <c r="T165" s="910"/>
      <c r="U165" s="910"/>
      <c r="V165" s="910"/>
      <c r="W165" s="910"/>
      <c r="X165" s="910"/>
      <c r="Y165" s="910"/>
      <c r="Z165" s="910"/>
      <c r="AA165" s="910"/>
      <c r="AB165" s="910"/>
      <c r="AC165" s="910"/>
      <c r="AD165" s="910"/>
      <c r="AE165" s="910"/>
    </row>
    <row r="166" spans="1:31" s="784" customFormat="1" ht="15" customHeight="1" x14ac:dyDescent="0.3">
      <c r="A166" s="588">
        <v>211</v>
      </c>
      <c r="B166" s="1068"/>
      <c r="C166" s="1069"/>
      <c r="D166" s="1069"/>
      <c r="E166" s="119" t="s">
        <v>702</v>
      </c>
      <c r="F166" s="1070"/>
      <c r="G166" s="1071"/>
      <c r="H166" s="1071"/>
      <c r="I166" s="1072"/>
      <c r="J166" s="1080">
        <f>SUM(K166:R166)</f>
        <v>1514196</v>
      </c>
      <c r="K166" s="1040">
        <f t="shared" si="20"/>
        <v>798502</v>
      </c>
      <c r="L166" s="1040">
        <f t="shared" si="20"/>
        <v>88130</v>
      </c>
      <c r="M166" s="1040">
        <f t="shared" si="20"/>
        <v>587978</v>
      </c>
      <c r="N166" s="1040">
        <f t="shared" si="20"/>
        <v>0</v>
      </c>
      <c r="O166" s="1040">
        <f t="shared" si="20"/>
        <v>0</v>
      </c>
      <c r="P166" s="1040">
        <f t="shared" si="20"/>
        <v>39586</v>
      </c>
      <c r="Q166" s="1040">
        <f t="shared" si="20"/>
        <v>0</v>
      </c>
      <c r="R166" s="1041">
        <f t="shared" si="20"/>
        <v>0</v>
      </c>
      <c r="S166" s="916"/>
      <c r="T166" s="910"/>
      <c r="U166" s="910"/>
      <c r="V166" s="910"/>
      <c r="W166" s="910"/>
      <c r="X166" s="910"/>
      <c r="Y166" s="910"/>
      <c r="Z166" s="910"/>
      <c r="AA166" s="910"/>
      <c r="AB166" s="910"/>
      <c r="AC166" s="910"/>
      <c r="AD166" s="910"/>
      <c r="AE166" s="910"/>
    </row>
    <row r="167" spans="1:31" s="784" customFormat="1" ht="15" customHeight="1" x14ac:dyDescent="0.3">
      <c r="A167" s="588">
        <v>212</v>
      </c>
      <c r="B167" s="1068"/>
      <c r="C167" s="1069"/>
      <c r="D167" s="1069"/>
      <c r="E167" s="275" t="s">
        <v>745</v>
      </c>
      <c r="F167" s="1070"/>
      <c r="G167" s="1071"/>
      <c r="H167" s="1071"/>
      <c r="I167" s="1072"/>
      <c r="J167" s="912">
        <f>SUM(K167:R167)</f>
        <v>820399</v>
      </c>
      <c r="K167" s="1059">
        <f t="shared" si="20"/>
        <v>379290</v>
      </c>
      <c r="L167" s="1059">
        <f t="shared" si="20"/>
        <v>38201</v>
      </c>
      <c r="M167" s="1059">
        <f t="shared" si="20"/>
        <v>375066</v>
      </c>
      <c r="N167" s="1059">
        <f t="shared" si="20"/>
        <v>0</v>
      </c>
      <c r="O167" s="1059">
        <f t="shared" si="20"/>
        <v>0</v>
      </c>
      <c r="P167" s="1059">
        <f t="shared" si="20"/>
        <v>27842</v>
      </c>
      <c r="Q167" s="1059">
        <f t="shared" si="20"/>
        <v>0</v>
      </c>
      <c r="R167" s="1060">
        <f t="shared" si="20"/>
        <v>0</v>
      </c>
      <c r="S167" s="916"/>
      <c r="T167" s="910"/>
      <c r="U167" s="910"/>
      <c r="V167" s="910"/>
      <c r="W167" s="910"/>
      <c r="X167" s="910"/>
      <c r="Y167" s="910"/>
      <c r="Z167" s="910"/>
      <c r="AA167" s="910"/>
      <c r="AB167" s="910"/>
      <c r="AC167" s="910"/>
      <c r="AD167" s="910"/>
      <c r="AE167" s="910"/>
    </row>
    <row r="168" spans="1:31" s="857" customFormat="1" ht="15" customHeight="1" x14ac:dyDescent="0.3">
      <c r="A168" s="588">
        <v>214</v>
      </c>
      <c r="B168" s="1288" t="s">
        <v>124</v>
      </c>
      <c r="C168" s="1289"/>
      <c r="D168" s="1289"/>
      <c r="E168" s="1290"/>
      <c r="F168" s="1075"/>
      <c r="G168" s="1042"/>
      <c r="H168" s="1042"/>
      <c r="I168" s="1076"/>
      <c r="J168" s="1077"/>
      <c r="K168" s="1040"/>
      <c r="L168" s="1040"/>
      <c r="M168" s="1040"/>
      <c r="N168" s="1040"/>
      <c r="O168" s="1040"/>
      <c r="P168" s="1040"/>
      <c r="Q168" s="1040"/>
      <c r="R168" s="1041"/>
      <c r="S168" s="583"/>
      <c r="T168" s="11"/>
      <c r="U168" s="11"/>
      <c r="V168" s="11"/>
      <c r="W168" s="11"/>
      <c r="X168" s="11"/>
      <c r="Y168" s="11"/>
      <c r="Z168" s="11"/>
      <c r="AA168" s="11"/>
      <c r="AB168" s="11"/>
      <c r="AC168" s="11"/>
      <c r="AD168" s="11"/>
      <c r="AE168" s="11"/>
    </row>
    <row r="169" spans="1:31" s="857" customFormat="1" ht="15" customHeight="1" x14ac:dyDescent="0.3">
      <c r="A169" s="588">
        <v>215</v>
      </c>
      <c r="B169" s="1291" t="s">
        <v>127</v>
      </c>
      <c r="C169" s="1292"/>
      <c r="D169" s="1292"/>
      <c r="E169" s="1293"/>
      <c r="F169" s="1293"/>
      <c r="G169" s="1081">
        <f>SUM(G150)</f>
        <v>2164505</v>
      </c>
      <c r="H169" s="1081">
        <f>SUM(H150)</f>
        <v>2584822</v>
      </c>
      <c r="I169" s="1082">
        <f>SUM(I150)</f>
        <v>2420617</v>
      </c>
      <c r="J169" s="1077"/>
      <c r="K169" s="1042"/>
      <c r="L169" s="1042"/>
      <c r="M169" s="1042"/>
      <c r="N169" s="1042"/>
      <c r="O169" s="1042"/>
      <c r="P169" s="1042"/>
      <c r="Q169" s="1042"/>
      <c r="R169" s="1078"/>
      <c r="S169" s="583"/>
      <c r="T169" s="11"/>
      <c r="U169" s="11"/>
      <c r="V169" s="11"/>
      <c r="W169" s="11"/>
      <c r="X169" s="11"/>
      <c r="Y169" s="11"/>
      <c r="Z169" s="11"/>
      <c r="AA169" s="11"/>
      <c r="AB169" s="11"/>
      <c r="AC169" s="11"/>
      <c r="AD169" s="11"/>
      <c r="AE169" s="11"/>
    </row>
    <row r="170" spans="1:31" s="799" customFormat="1" ht="15" customHeight="1" x14ac:dyDescent="0.3">
      <c r="A170" s="588">
        <v>216</v>
      </c>
      <c r="B170" s="1083"/>
      <c r="C170" s="1084"/>
      <c r="D170" s="1084"/>
      <c r="E170" s="863" t="s">
        <v>239</v>
      </c>
      <c r="F170" s="1085"/>
      <c r="G170" s="1086"/>
      <c r="H170" s="1086"/>
      <c r="I170" s="1087"/>
      <c r="J170" s="1088">
        <f>SUM(K170:R170)</f>
        <v>2856633</v>
      </c>
      <c r="K170" s="1047">
        <f>K151</f>
        <v>1950732</v>
      </c>
      <c r="L170" s="1047">
        <f t="shared" ref="L170:R170" si="21">L151</f>
        <v>293070</v>
      </c>
      <c r="M170" s="1047">
        <f t="shared" si="21"/>
        <v>481884</v>
      </c>
      <c r="N170" s="1047">
        <f t="shared" si="21"/>
        <v>0</v>
      </c>
      <c r="O170" s="1047">
        <f t="shared" si="21"/>
        <v>0</v>
      </c>
      <c r="P170" s="1047">
        <f t="shared" si="21"/>
        <v>130947</v>
      </c>
      <c r="Q170" s="1047">
        <f t="shared" si="21"/>
        <v>0</v>
      </c>
      <c r="R170" s="1048">
        <f t="shared" si="21"/>
        <v>0</v>
      </c>
      <c r="S170" s="916"/>
      <c r="T170" s="916"/>
      <c r="U170" s="916"/>
      <c r="V170" s="916"/>
      <c r="W170" s="916"/>
      <c r="X170" s="916"/>
      <c r="Y170" s="916"/>
      <c r="Z170" s="916"/>
      <c r="AA170" s="916"/>
      <c r="AB170" s="916"/>
      <c r="AC170" s="916"/>
      <c r="AD170" s="916"/>
      <c r="AE170" s="916"/>
    </row>
    <row r="171" spans="1:31" s="799" customFormat="1" ht="15" customHeight="1" x14ac:dyDescent="0.3">
      <c r="A171" s="588">
        <v>217</v>
      </c>
      <c r="B171" s="1083"/>
      <c r="C171" s="1084"/>
      <c r="D171" s="1084"/>
      <c r="E171" s="119" t="s">
        <v>702</v>
      </c>
      <c r="F171" s="1085"/>
      <c r="G171" s="1086"/>
      <c r="H171" s="1086"/>
      <c r="I171" s="1087"/>
      <c r="J171" s="1089">
        <f>SUM(K171:R171)</f>
        <v>3760175</v>
      </c>
      <c r="K171" s="1050">
        <f>K152</f>
        <v>2338236</v>
      </c>
      <c r="L171" s="1050">
        <f t="shared" ref="L171:R171" si="22">L152</f>
        <v>347581</v>
      </c>
      <c r="M171" s="1050">
        <f t="shared" si="22"/>
        <v>853711</v>
      </c>
      <c r="N171" s="1050">
        <f t="shared" si="22"/>
        <v>0</v>
      </c>
      <c r="O171" s="1050">
        <f t="shared" si="22"/>
        <v>0</v>
      </c>
      <c r="P171" s="1050">
        <f t="shared" si="22"/>
        <v>220647</v>
      </c>
      <c r="Q171" s="1050">
        <f t="shared" si="22"/>
        <v>0</v>
      </c>
      <c r="R171" s="1051">
        <f t="shared" si="22"/>
        <v>0</v>
      </c>
      <c r="S171" s="916"/>
      <c r="T171" s="916"/>
      <c r="U171" s="916"/>
      <c r="V171" s="916"/>
      <c r="W171" s="916"/>
      <c r="X171" s="916"/>
      <c r="Y171" s="916"/>
      <c r="Z171" s="916"/>
      <c r="AA171" s="916"/>
      <c r="AB171" s="916"/>
      <c r="AC171" s="916"/>
      <c r="AD171" s="916"/>
      <c r="AE171" s="916"/>
    </row>
    <row r="172" spans="1:31" s="799" customFormat="1" ht="15" customHeight="1" thickBot="1" x14ac:dyDescent="0.35">
      <c r="A172" s="588">
        <v>218</v>
      </c>
      <c r="B172" s="1068"/>
      <c r="C172" s="1070"/>
      <c r="D172" s="1070"/>
      <c r="E172" s="1090" t="s">
        <v>745</v>
      </c>
      <c r="F172" s="1070"/>
      <c r="G172" s="1071"/>
      <c r="H172" s="1071"/>
      <c r="I172" s="1072"/>
      <c r="J172" s="912">
        <f>SUM(K172:R172)</f>
        <v>1307248</v>
      </c>
      <c r="K172" s="1091">
        <f>K153</f>
        <v>931812</v>
      </c>
      <c r="L172" s="1091">
        <f t="shared" ref="L172:R172" si="23">L153</f>
        <v>140879</v>
      </c>
      <c r="M172" s="1091">
        <f t="shared" si="23"/>
        <v>182081</v>
      </c>
      <c r="N172" s="1091">
        <f t="shared" si="23"/>
        <v>0</v>
      </c>
      <c r="O172" s="1091">
        <f t="shared" si="23"/>
        <v>0</v>
      </c>
      <c r="P172" s="1091">
        <f t="shared" si="23"/>
        <v>52476</v>
      </c>
      <c r="Q172" s="1091">
        <f t="shared" si="23"/>
        <v>0</v>
      </c>
      <c r="R172" s="1092">
        <f t="shared" si="23"/>
        <v>0</v>
      </c>
      <c r="S172" s="916"/>
      <c r="T172" s="916"/>
      <c r="U172" s="916"/>
      <c r="V172" s="916"/>
      <c r="W172" s="916"/>
      <c r="X172" s="916"/>
      <c r="Y172" s="916"/>
      <c r="Z172" s="916"/>
      <c r="AA172" s="916"/>
      <c r="AB172" s="916"/>
      <c r="AC172" s="916"/>
      <c r="AD172" s="916"/>
      <c r="AE172" s="916"/>
    </row>
    <row r="173" spans="1:31" s="1097" customFormat="1" ht="18" customHeight="1" x14ac:dyDescent="0.3">
      <c r="A173" s="5"/>
      <c r="B173" s="122" t="s">
        <v>25</v>
      </c>
      <c r="C173" s="122"/>
      <c r="D173" s="122"/>
      <c r="E173" s="1093"/>
      <c r="F173" s="1094"/>
      <c r="G173" s="1095"/>
      <c r="H173" s="1095"/>
      <c r="I173" s="1095"/>
      <c r="J173" s="1096"/>
      <c r="K173" s="1095"/>
      <c r="L173" s="1095"/>
      <c r="M173" s="1095"/>
      <c r="N173" s="1095"/>
      <c r="O173" s="1095"/>
      <c r="P173" s="1095"/>
      <c r="Q173" s="1095"/>
      <c r="R173" s="1095"/>
      <c r="S173" s="583"/>
      <c r="T173" s="583"/>
      <c r="U173" s="583"/>
      <c r="V173" s="583"/>
      <c r="W173" s="583"/>
      <c r="X173" s="583"/>
      <c r="Y173" s="583"/>
      <c r="Z173" s="583"/>
      <c r="AA173" s="583"/>
      <c r="AB173" s="583"/>
      <c r="AC173" s="583"/>
      <c r="AD173" s="583"/>
      <c r="AE173" s="583"/>
    </row>
    <row r="174" spans="1:31" s="1012" customFormat="1" ht="18" customHeight="1" x14ac:dyDescent="0.3">
      <c r="A174" s="5"/>
      <c r="B174" s="12" t="s">
        <v>26</v>
      </c>
      <c r="C174" s="12"/>
      <c r="D174" s="12"/>
      <c r="E174" s="582"/>
      <c r="F174" s="582"/>
      <c r="G174" s="582"/>
      <c r="H174" s="582"/>
      <c r="I174" s="582"/>
      <c r="J174" s="582"/>
      <c r="K174" s="584"/>
      <c r="L174" s="584"/>
      <c r="M174" s="584"/>
      <c r="N174" s="584"/>
      <c r="O174" s="584"/>
      <c r="P174" s="584"/>
      <c r="Q174" s="584"/>
      <c r="R174" s="584"/>
      <c r="S174" s="893"/>
      <c r="T174" s="893"/>
      <c r="U174" s="893"/>
      <c r="V174" s="893"/>
      <c r="W174" s="893"/>
      <c r="X174" s="893"/>
      <c r="Y174" s="893"/>
      <c r="Z174" s="893"/>
      <c r="AA174" s="893"/>
      <c r="AB174" s="893"/>
      <c r="AC174" s="893"/>
      <c r="AD174" s="893"/>
      <c r="AE174" s="893"/>
    </row>
    <row r="175" spans="1:31" ht="18" customHeight="1" x14ac:dyDescent="0.3">
      <c r="A175" s="5"/>
      <c r="B175" s="12" t="s">
        <v>27</v>
      </c>
      <c r="C175" s="12"/>
      <c r="D175" s="12"/>
    </row>
    <row r="176" spans="1:31" x14ac:dyDescent="0.3">
      <c r="K176" s="893"/>
      <c r="L176" s="893"/>
      <c r="M176" s="893"/>
      <c r="N176" s="893"/>
      <c r="O176" s="893"/>
      <c r="P176" s="893"/>
      <c r="Q176" s="893"/>
      <c r="R176" s="893"/>
    </row>
  </sheetData>
  <mergeCells count="42">
    <mergeCell ref="C59:E59"/>
    <mergeCell ref="D147:E147"/>
    <mergeCell ref="C92:E92"/>
    <mergeCell ref="B100:E100"/>
    <mergeCell ref="D67:E67"/>
    <mergeCell ref="D82:E82"/>
    <mergeCell ref="D83:E83"/>
    <mergeCell ref="D109:E109"/>
    <mergeCell ref="D118:E118"/>
    <mergeCell ref="D122:E122"/>
    <mergeCell ref="D126:E126"/>
    <mergeCell ref="D146:E146"/>
    <mergeCell ref="D130:E130"/>
    <mergeCell ref="D134:E134"/>
    <mergeCell ref="D138:E138"/>
    <mergeCell ref="D141:E141"/>
    <mergeCell ref="D148:E148"/>
    <mergeCell ref="D149:E149"/>
    <mergeCell ref="B168:E168"/>
    <mergeCell ref="B169:F169"/>
    <mergeCell ref="C150:E150"/>
    <mergeCell ref="B154:E154"/>
    <mergeCell ref="B158:E158"/>
    <mergeCell ref="B159:F159"/>
    <mergeCell ref="B163:E163"/>
    <mergeCell ref="B164:F164"/>
    <mergeCell ref="C39:E39"/>
    <mergeCell ref="B1:G1"/>
    <mergeCell ref="B3:R3"/>
    <mergeCell ref="B4:R4"/>
    <mergeCell ref="Q5:R5"/>
    <mergeCell ref="D6:E6"/>
    <mergeCell ref="B7:B8"/>
    <mergeCell ref="C7:C8"/>
    <mergeCell ref="D7:E8"/>
    <mergeCell ref="F7:F8"/>
    <mergeCell ref="G7:G8"/>
    <mergeCell ref="H7:H8"/>
    <mergeCell ref="I7:I8"/>
    <mergeCell ref="J7:J8"/>
    <mergeCell ref="K7:O7"/>
    <mergeCell ref="P7:R7"/>
  </mergeCells>
  <printOptions horizontalCentered="1"/>
  <pageMargins left="0.19685039370078741" right="0.19685039370078741" top="0.59055118110236227" bottom="0.59055118110236227" header="0.51181102362204722" footer="0.51181102362204722"/>
  <pageSetup paperSize="9" scale="57" fitToHeight="0" orientation="landscape" r:id="rId1"/>
  <headerFooter alignWithMargins="0">
    <oddFooter>&amp;C -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M144"/>
  <sheetViews>
    <sheetView view="pageBreakPreview" topLeftCell="A135" zoomScaleNormal="100" zoomScaleSheetLayoutView="100" workbookViewId="0">
      <selection activeCell="D139" sqref="D139"/>
    </sheetView>
  </sheetViews>
  <sheetFormatPr defaultColWidth="9.28515625" defaultRowHeight="15" x14ac:dyDescent="0.3"/>
  <cols>
    <col min="1" max="1" width="3.7109375" style="1119" customWidth="1"/>
    <col min="2" max="2" width="5.7109375" style="1107" customWidth="1"/>
    <col min="3" max="3" width="5.7109375" style="1108" customWidth="1"/>
    <col min="4" max="4" width="59.7109375" style="1109" customWidth="1"/>
    <col min="5" max="5" width="6.7109375" style="1110" customWidth="1"/>
    <col min="6" max="6" width="13.7109375" style="1111" customWidth="1"/>
    <col min="7" max="7" width="14.5703125" style="1111" customWidth="1"/>
    <col min="8" max="8" width="13.7109375" style="1112" customWidth="1"/>
    <col min="9" max="10" width="15.7109375" style="1112" customWidth="1"/>
    <col min="11" max="11" width="15.7109375" style="1114" customWidth="1"/>
    <col min="12" max="16384" width="9.28515625" style="1114"/>
  </cols>
  <sheetData>
    <row r="1" spans="1:247" s="1105" customFormat="1" ht="18" customHeight="1" x14ac:dyDescent="0.3">
      <c r="A1" s="1098"/>
      <c r="B1" s="1308" t="s">
        <v>756</v>
      </c>
      <c r="C1" s="1308"/>
      <c r="D1" s="1308"/>
      <c r="E1" s="1100"/>
      <c r="F1" s="1101"/>
      <c r="G1" s="1101"/>
      <c r="H1" s="1102"/>
      <c r="I1" s="1103"/>
      <c r="J1" s="1103"/>
      <c r="K1" s="1104"/>
      <c r="L1" s="1104"/>
      <c r="M1" s="1104"/>
      <c r="N1" s="1104"/>
      <c r="O1" s="1104"/>
      <c r="P1" s="1104"/>
      <c r="Q1" s="1104"/>
      <c r="R1" s="1104"/>
      <c r="S1" s="1104"/>
      <c r="T1" s="1104"/>
      <c r="U1" s="1104"/>
      <c r="V1" s="1104"/>
      <c r="W1" s="1104"/>
      <c r="X1" s="1104"/>
      <c r="Y1" s="1104"/>
      <c r="Z1" s="1104"/>
      <c r="AA1" s="1104"/>
      <c r="AB1" s="1104"/>
      <c r="AC1" s="1104"/>
      <c r="AD1" s="1104"/>
      <c r="AE1" s="1104"/>
      <c r="AF1" s="1104"/>
      <c r="AG1" s="1104"/>
      <c r="AH1" s="1104"/>
      <c r="AI1" s="1104"/>
      <c r="AJ1" s="1104"/>
      <c r="AK1" s="1104"/>
      <c r="AL1" s="1104"/>
      <c r="AM1" s="1104"/>
      <c r="AN1" s="1104"/>
      <c r="AO1" s="1104"/>
      <c r="AP1" s="1104"/>
      <c r="AQ1" s="1104"/>
      <c r="AR1" s="1104"/>
      <c r="AS1" s="1104"/>
      <c r="AT1" s="1104"/>
      <c r="AU1" s="1104"/>
      <c r="AV1" s="1104"/>
      <c r="AW1" s="1104"/>
      <c r="AX1" s="1104"/>
      <c r="AY1" s="1104"/>
      <c r="AZ1" s="1104"/>
      <c r="BA1" s="1104"/>
      <c r="BB1" s="1104"/>
      <c r="BC1" s="1104"/>
      <c r="BD1" s="1104"/>
      <c r="BE1" s="1104"/>
      <c r="BF1" s="1104"/>
      <c r="BG1" s="1104"/>
      <c r="BH1" s="1104"/>
      <c r="BI1" s="1104"/>
      <c r="BJ1" s="1104"/>
      <c r="BK1" s="1104"/>
      <c r="BL1" s="1104"/>
      <c r="BM1" s="1104"/>
      <c r="BN1" s="1104"/>
      <c r="BO1" s="1104"/>
      <c r="BP1" s="1104"/>
      <c r="BQ1" s="1104"/>
      <c r="BR1" s="1104"/>
      <c r="BS1" s="1104"/>
      <c r="BT1" s="1104"/>
      <c r="BU1" s="1104"/>
      <c r="BV1" s="1104"/>
      <c r="BW1" s="1104"/>
      <c r="BX1" s="1104"/>
      <c r="BY1" s="1104"/>
      <c r="BZ1" s="1104"/>
      <c r="CA1" s="1104"/>
      <c r="CB1" s="1104"/>
      <c r="CC1" s="1104"/>
      <c r="CD1" s="1104"/>
      <c r="CE1" s="1104"/>
      <c r="CF1" s="1104"/>
      <c r="CG1" s="1104"/>
      <c r="CH1" s="1104"/>
      <c r="CI1" s="1104"/>
      <c r="CJ1" s="1104"/>
      <c r="CK1" s="1104"/>
      <c r="CL1" s="1104"/>
      <c r="CM1" s="1104"/>
      <c r="CN1" s="1104"/>
      <c r="CO1" s="1104"/>
      <c r="CP1" s="1104"/>
      <c r="CQ1" s="1104"/>
      <c r="CR1" s="1104"/>
      <c r="CS1" s="1104"/>
      <c r="CT1" s="1104"/>
      <c r="CU1" s="1104"/>
      <c r="CV1" s="1104"/>
      <c r="CW1" s="1104"/>
      <c r="CX1" s="1104"/>
      <c r="CY1" s="1104"/>
      <c r="CZ1" s="1104"/>
      <c r="DA1" s="1104"/>
      <c r="DB1" s="1104"/>
      <c r="DC1" s="1104"/>
      <c r="DD1" s="1104"/>
      <c r="DE1" s="1104"/>
      <c r="DF1" s="1104"/>
      <c r="DG1" s="1104"/>
      <c r="DH1" s="1104"/>
      <c r="DI1" s="1104"/>
      <c r="DJ1" s="1104"/>
      <c r="DK1" s="1104"/>
      <c r="DL1" s="1104"/>
      <c r="DM1" s="1104"/>
      <c r="DN1" s="1104"/>
      <c r="DO1" s="1104"/>
      <c r="DP1" s="1104"/>
      <c r="DQ1" s="1104"/>
      <c r="DR1" s="1104"/>
      <c r="DS1" s="1104"/>
      <c r="DT1" s="1104"/>
      <c r="DU1" s="1104"/>
      <c r="DV1" s="1104"/>
      <c r="DW1" s="1104"/>
      <c r="DX1" s="1104"/>
      <c r="DY1" s="1104"/>
      <c r="DZ1" s="1104"/>
      <c r="EA1" s="1104"/>
      <c r="EB1" s="1104"/>
      <c r="EC1" s="1104"/>
      <c r="ED1" s="1104"/>
      <c r="EE1" s="1104"/>
      <c r="EF1" s="1104"/>
      <c r="EG1" s="1104"/>
      <c r="EH1" s="1104"/>
      <c r="EI1" s="1104"/>
      <c r="EJ1" s="1104"/>
      <c r="EK1" s="1104"/>
      <c r="EL1" s="1104"/>
      <c r="EM1" s="1104"/>
      <c r="EN1" s="1104"/>
      <c r="EO1" s="1104"/>
      <c r="EP1" s="1104"/>
      <c r="EQ1" s="1104"/>
      <c r="ER1" s="1104"/>
      <c r="ES1" s="1104"/>
      <c r="ET1" s="1104"/>
      <c r="EU1" s="1104"/>
      <c r="EV1" s="1104"/>
      <c r="EW1" s="1104"/>
      <c r="EX1" s="1104"/>
      <c r="EY1" s="1104"/>
      <c r="EZ1" s="1104"/>
      <c r="FA1" s="1104"/>
      <c r="FB1" s="1104"/>
      <c r="FC1" s="1104"/>
      <c r="FD1" s="1104"/>
      <c r="FE1" s="1104"/>
      <c r="FF1" s="1104"/>
      <c r="FG1" s="1104"/>
      <c r="FH1" s="1104"/>
      <c r="FI1" s="1104"/>
      <c r="FJ1" s="1104"/>
      <c r="FK1" s="1104"/>
      <c r="FL1" s="1104"/>
      <c r="FM1" s="1104"/>
      <c r="FN1" s="1104"/>
      <c r="FO1" s="1104"/>
      <c r="FP1" s="1104"/>
      <c r="FQ1" s="1104"/>
      <c r="FR1" s="1104"/>
      <c r="FS1" s="1104"/>
      <c r="FT1" s="1104"/>
      <c r="FU1" s="1104"/>
      <c r="FV1" s="1104"/>
      <c r="FW1" s="1104"/>
      <c r="FX1" s="1104"/>
      <c r="FY1" s="1104"/>
      <c r="FZ1" s="1104"/>
      <c r="GA1" s="1104"/>
      <c r="GB1" s="1104"/>
      <c r="GC1" s="1104"/>
      <c r="GD1" s="1104"/>
      <c r="GE1" s="1104"/>
      <c r="GF1" s="1104"/>
      <c r="GG1" s="1104"/>
      <c r="GH1" s="1104"/>
      <c r="GI1" s="1104"/>
      <c r="GJ1" s="1104"/>
      <c r="GK1" s="1104"/>
      <c r="GL1" s="1104"/>
      <c r="GM1" s="1104"/>
      <c r="GN1" s="1104"/>
      <c r="GO1" s="1104"/>
      <c r="GP1" s="1104"/>
      <c r="GQ1" s="1104"/>
      <c r="GR1" s="1104"/>
      <c r="GS1" s="1104"/>
      <c r="GT1" s="1104"/>
      <c r="GU1" s="1104"/>
      <c r="GV1" s="1104"/>
      <c r="GW1" s="1104"/>
      <c r="GX1" s="1104"/>
      <c r="GY1" s="1104"/>
      <c r="GZ1" s="1104"/>
      <c r="HA1" s="1104"/>
      <c r="HB1" s="1104"/>
      <c r="HC1" s="1104"/>
      <c r="HD1" s="1104"/>
      <c r="HE1" s="1104"/>
      <c r="HF1" s="1104"/>
      <c r="HG1" s="1104"/>
      <c r="HH1" s="1104"/>
      <c r="HI1" s="1104"/>
      <c r="HJ1" s="1104"/>
      <c r="HK1" s="1104"/>
      <c r="HL1" s="1104"/>
      <c r="HM1" s="1104"/>
      <c r="HN1" s="1104"/>
      <c r="HO1" s="1104"/>
      <c r="HP1" s="1104"/>
      <c r="HQ1" s="1104"/>
      <c r="HR1" s="1104"/>
      <c r="HS1" s="1104"/>
      <c r="HT1" s="1104"/>
      <c r="HU1" s="1104"/>
      <c r="HV1" s="1104"/>
      <c r="HW1" s="1104"/>
      <c r="HX1" s="1104"/>
      <c r="HY1" s="1104"/>
      <c r="HZ1" s="1104"/>
      <c r="IA1" s="1104"/>
      <c r="IB1" s="1104"/>
      <c r="IC1" s="1104"/>
      <c r="ID1" s="1104"/>
      <c r="IE1" s="1104"/>
      <c r="IF1" s="1104"/>
      <c r="IG1" s="1104"/>
      <c r="IH1" s="1104"/>
      <c r="II1" s="1104"/>
      <c r="IJ1" s="1104"/>
      <c r="IK1" s="1104"/>
      <c r="IL1" s="1104"/>
      <c r="IM1" s="1104"/>
    </row>
    <row r="2" spans="1:247" s="1105" customFormat="1" ht="18" customHeight="1" x14ac:dyDescent="0.3">
      <c r="A2" s="1098"/>
      <c r="B2" s="1099"/>
      <c r="C2" s="1099"/>
      <c r="D2" s="1099"/>
      <c r="E2" s="1100"/>
      <c r="F2" s="1101"/>
      <c r="G2" s="1101"/>
      <c r="H2" s="1102"/>
      <c r="I2" s="1103"/>
      <c r="J2" s="1103"/>
      <c r="K2" s="1104"/>
      <c r="L2" s="1104"/>
      <c r="M2" s="1104"/>
      <c r="N2" s="1104"/>
      <c r="O2" s="1104"/>
      <c r="P2" s="1104"/>
      <c r="Q2" s="1104"/>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c r="AO2" s="1104"/>
      <c r="AP2" s="1104"/>
      <c r="AQ2" s="1104"/>
      <c r="AR2" s="1104"/>
      <c r="AS2" s="1104"/>
      <c r="AT2" s="1104"/>
      <c r="AU2" s="1104"/>
      <c r="AV2" s="1104"/>
      <c r="AW2" s="1104"/>
      <c r="AX2" s="1104"/>
      <c r="AY2" s="1104"/>
      <c r="AZ2" s="1104"/>
      <c r="BA2" s="1104"/>
      <c r="BB2" s="1104"/>
      <c r="BC2" s="1104"/>
      <c r="BD2" s="1104"/>
      <c r="BE2" s="1104"/>
      <c r="BF2" s="1104"/>
      <c r="BG2" s="1104"/>
      <c r="BH2" s="1104"/>
      <c r="BI2" s="1104"/>
      <c r="BJ2" s="1104"/>
      <c r="BK2" s="1104"/>
      <c r="BL2" s="1104"/>
      <c r="BM2" s="1104"/>
      <c r="BN2" s="1104"/>
      <c r="BO2" s="1104"/>
      <c r="BP2" s="1104"/>
      <c r="BQ2" s="1104"/>
      <c r="BR2" s="1104"/>
      <c r="BS2" s="1104"/>
      <c r="BT2" s="1104"/>
      <c r="BU2" s="1104"/>
      <c r="BV2" s="1104"/>
      <c r="BW2" s="1104"/>
      <c r="BX2" s="1104"/>
      <c r="BY2" s="1104"/>
      <c r="BZ2" s="1104"/>
      <c r="CA2" s="1104"/>
      <c r="CB2" s="1104"/>
      <c r="CC2" s="1104"/>
      <c r="CD2" s="1104"/>
      <c r="CE2" s="1104"/>
      <c r="CF2" s="1104"/>
      <c r="CG2" s="1104"/>
      <c r="CH2" s="1104"/>
      <c r="CI2" s="1104"/>
      <c r="CJ2" s="1104"/>
      <c r="CK2" s="1104"/>
      <c r="CL2" s="1104"/>
      <c r="CM2" s="1104"/>
      <c r="CN2" s="1104"/>
      <c r="CO2" s="1104"/>
      <c r="CP2" s="1104"/>
      <c r="CQ2" s="1104"/>
      <c r="CR2" s="1104"/>
      <c r="CS2" s="1104"/>
      <c r="CT2" s="1104"/>
      <c r="CU2" s="1104"/>
      <c r="CV2" s="1104"/>
      <c r="CW2" s="1104"/>
      <c r="CX2" s="1104"/>
      <c r="CY2" s="1104"/>
      <c r="CZ2" s="1104"/>
      <c r="DA2" s="1104"/>
      <c r="DB2" s="1104"/>
      <c r="DC2" s="1104"/>
      <c r="DD2" s="1104"/>
      <c r="DE2" s="1104"/>
      <c r="DF2" s="1104"/>
      <c r="DG2" s="1104"/>
      <c r="DH2" s="1104"/>
      <c r="DI2" s="1104"/>
      <c r="DJ2" s="1104"/>
      <c r="DK2" s="1104"/>
      <c r="DL2" s="1104"/>
      <c r="DM2" s="1104"/>
      <c r="DN2" s="1104"/>
      <c r="DO2" s="1104"/>
      <c r="DP2" s="1104"/>
      <c r="DQ2" s="1104"/>
      <c r="DR2" s="1104"/>
      <c r="DS2" s="1104"/>
      <c r="DT2" s="1104"/>
      <c r="DU2" s="1104"/>
      <c r="DV2" s="1104"/>
      <c r="DW2" s="1104"/>
      <c r="DX2" s="1104"/>
      <c r="DY2" s="1104"/>
      <c r="DZ2" s="1104"/>
      <c r="EA2" s="1104"/>
      <c r="EB2" s="1104"/>
      <c r="EC2" s="1104"/>
      <c r="ED2" s="1104"/>
      <c r="EE2" s="1104"/>
      <c r="EF2" s="1104"/>
      <c r="EG2" s="1104"/>
      <c r="EH2" s="1104"/>
      <c r="EI2" s="1104"/>
      <c r="EJ2" s="1104"/>
      <c r="EK2" s="1104"/>
      <c r="EL2" s="1104"/>
      <c r="EM2" s="1104"/>
      <c r="EN2" s="1104"/>
      <c r="EO2" s="1104"/>
      <c r="EP2" s="1104"/>
      <c r="EQ2" s="1104"/>
      <c r="ER2" s="1104"/>
      <c r="ES2" s="1104"/>
      <c r="ET2" s="1104"/>
      <c r="EU2" s="1104"/>
      <c r="EV2" s="1104"/>
      <c r="EW2" s="1104"/>
      <c r="EX2" s="1104"/>
      <c r="EY2" s="1104"/>
      <c r="EZ2" s="1104"/>
      <c r="FA2" s="1104"/>
      <c r="FB2" s="1104"/>
      <c r="FC2" s="1104"/>
      <c r="FD2" s="1104"/>
      <c r="FE2" s="1104"/>
      <c r="FF2" s="1104"/>
      <c r="FG2" s="1104"/>
      <c r="FH2" s="1104"/>
      <c r="FI2" s="1104"/>
      <c r="FJ2" s="1104"/>
      <c r="FK2" s="1104"/>
      <c r="FL2" s="1104"/>
      <c r="FM2" s="1104"/>
      <c r="FN2" s="1104"/>
      <c r="FO2" s="1104"/>
      <c r="FP2" s="1104"/>
      <c r="FQ2" s="1104"/>
      <c r="FR2" s="1104"/>
      <c r="FS2" s="1104"/>
      <c r="FT2" s="1104"/>
      <c r="FU2" s="1104"/>
      <c r="FV2" s="1104"/>
      <c r="FW2" s="1104"/>
      <c r="FX2" s="1104"/>
      <c r="FY2" s="1104"/>
      <c r="FZ2" s="1104"/>
      <c r="GA2" s="1104"/>
      <c r="GB2" s="1104"/>
      <c r="GC2" s="1104"/>
      <c r="GD2" s="1104"/>
      <c r="GE2" s="1104"/>
      <c r="GF2" s="1104"/>
      <c r="GG2" s="1104"/>
      <c r="GH2" s="1104"/>
      <c r="GI2" s="1104"/>
      <c r="GJ2" s="1104"/>
      <c r="GK2" s="1104"/>
      <c r="GL2" s="1104"/>
      <c r="GM2" s="1104"/>
      <c r="GN2" s="1104"/>
      <c r="GO2" s="1104"/>
      <c r="GP2" s="1104"/>
      <c r="GQ2" s="1104"/>
      <c r="GR2" s="1104"/>
      <c r="GS2" s="1104"/>
      <c r="GT2" s="1104"/>
      <c r="GU2" s="1104"/>
      <c r="GV2" s="1104"/>
      <c r="GW2" s="1104"/>
      <c r="GX2" s="1104"/>
      <c r="GY2" s="1104"/>
      <c r="GZ2" s="1104"/>
      <c r="HA2" s="1104"/>
      <c r="HB2" s="1104"/>
      <c r="HC2" s="1104"/>
      <c r="HD2" s="1104"/>
      <c r="HE2" s="1104"/>
      <c r="HF2" s="1104"/>
      <c r="HG2" s="1104"/>
      <c r="HH2" s="1104"/>
      <c r="HI2" s="1104"/>
      <c r="HJ2" s="1104"/>
      <c r="HK2" s="1104"/>
      <c r="HL2" s="1104"/>
      <c r="HM2" s="1104"/>
      <c r="HN2" s="1104"/>
      <c r="HO2" s="1104"/>
      <c r="HP2" s="1104"/>
      <c r="HQ2" s="1104"/>
      <c r="HR2" s="1104"/>
      <c r="HS2" s="1104"/>
      <c r="HT2" s="1104"/>
      <c r="HU2" s="1104"/>
      <c r="HV2" s="1104"/>
      <c r="HW2" s="1104"/>
      <c r="HX2" s="1104"/>
      <c r="HY2" s="1104"/>
      <c r="HZ2" s="1104"/>
      <c r="IA2" s="1104"/>
      <c r="IB2" s="1104"/>
      <c r="IC2" s="1104"/>
      <c r="ID2" s="1104"/>
      <c r="IE2" s="1104"/>
      <c r="IF2" s="1104"/>
      <c r="IG2" s="1104"/>
      <c r="IH2" s="1104"/>
      <c r="II2" s="1104"/>
      <c r="IJ2" s="1104"/>
      <c r="IK2" s="1104"/>
      <c r="IL2" s="1104"/>
      <c r="IM2" s="1104"/>
    </row>
    <row r="3" spans="1:247" s="1105" customFormat="1" ht="24.75" customHeight="1" x14ac:dyDescent="0.35">
      <c r="A3" s="1106"/>
      <c r="B3" s="1319" t="s">
        <v>102</v>
      </c>
      <c r="C3" s="1319"/>
      <c r="D3" s="1319"/>
      <c r="E3" s="1319"/>
      <c r="F3" s="1319"/>
      <c r="G3" s="1319"/>
      <c r="H3" s="1319"/>
      <c r="I3" s="1319"/>
      <c r="J3" s="1319"/>
      <c r="K3" s="1319"/>
    </row>
    <row r="4" spans="1:247" s="1105" customFormat="1" ht="24.75" customHeight="1" x14ac:dyDescent="0.3">
      <c r="A4" s="1106"/>
      <c r="B4" s="1320" t="s">
        <v>764</v>
      </c>
      <c r="C4" s="1320"/>
      <c r="D4" s="1320"/>
      <c r="E4" s="1320"/>
      <c r="F4" s="1320"/>
      <c r="G4" s="1320"/>
      <c r="H4" s="1320"/>
      <c r="I4" s="1320"/>
      <c r="J4" s="1320"/>
      <c r="K4" s="1320"/>
    </row>
    <row r="5" spans="1:247" ht="18" customHeight="1" x14ac:dyDescent="0.3">
      <c r="A5" s="1107"/>
      <c r="I5" s="1113"/>
      <c r="J5" s="1113"/>
      <c r="K5" s="1113" t="s">
        <v>0</v>
      </c>
    </row>
    <row r="6" spans="1:247" s="1118" customFormat="1" ht="18" customHeight="1" thickBot="1" x14ac:dyDescent="0.35">
      <c r="A6" s="1115"/>
      <c r="B6" s="1116" t="s">
        <v>1</v>
      </c>
      <c r="C6" s="1117" t="s">
        <v>3</v>
      </c>
      <c r="D6" s="1117" t="s">
        <v>2</v>
      </c>
      <c r="E6" s="1117" t="s">
        <v>4</v>
      </c>
      <c r="F6" s="1117" t="s">
        <v>5</v>
      </c>
      <c r="G6" s="1117" t="s">
        <v>15</v>
      </c>
      <c r="H6" s="1117" t="s">
        <v>16</v>
      </c>
      <c r="I6" s="1117" t="s">
        <v>17</v>
      </c>
      <c r="J6" s="1117" t="s">
        <v>32</v>
      </c>
      <c r="K6" s="1115" t="s">
        <v>28</v>
      </c>
      <c r="L6" s="1115"/>
      <c r="M6" s="1115"/>
      <c r="N6" s="1115"/>
      <c r="O6" s="1115"/>
      <c r="P6" s="1115"/>
      <c r="Q6" s="1115"/>
      <c r="R6" s="1115"/>
      <c r="S6" s="1115"/>
      <c r="T6" s="1115"/>
      <c r="U6" s="1115"/>
      <c r="V6" s="1115"/>
      <c r="W6" s="1115"/>
      <c r="X6" s="1115"/>
      <c r="Y6" s="1115"/>
      <c r="Z6" s="1115"/>
      <c r="AA6" s="1115"/>
      <c r="AB6" s="1115"/>
      <c r="AC6" s="1115"/>
      <c r="AD6" s="1115"/>
      <c r="AE6" s="1115"/>
      <c r="AF6" s="1115"/>
      <c r="AG6" s="1115"/>
      <c r="AH6" s="1115"/>
      <c r="AI6" s="1115"/>
      <c r="AJ6" s="1115"/>
      <c r="AK6" s="1115"/>
      <c r="AL6" s="1115"/>
      <c r="AM6" s="1115"/>
      <c r="AN6" s="1115"/>
      <c r="AO6" s="1115"/>
      <c r="AP6" s="1115"/>
      <c r="AQ6" s="1115"/>
      <c r="AR6" s="1115"/>
      <c r="AS6" s="1115"/>
      <c r="AT6" s="1115"/>
      <c r="AU6" s="1115"/>
      <c r="AV6" s="1115"/>
      <c r="AW6" s="1115"/>
      <c r="AX6" s="1115"/>
      <c r="AY6" s="1115"/>
      <c r="AZ6" s="1115"/>
      <c r="BA6" s="1115"/>
      <c r="BB6" s="1115"/>
      <c r="BC6" s="1115"/>
      <c r="BD6" s="1115"/>
      <c r="BE6" s="1115"/>
      <c r="BF6" s="1115"/>
      <c r="BG6" s="1115"/>
      <c r="BH6" s="1115"/>
      <c r="BI6" s="1115"/>
      <c r="BJ6" s="1115"/>
      <c r="BK6" s="1115"/>
      <c r="BL6" s="1115"/>
      <c r="BM6" s="1115"/>
      <c r="BN6" s="1115"/>
      <c r="BO6" s="1115"/>
      <c r="BP6" s="1115"/>
      <c r="BQ6" s="1115"/>
      <c r="BR6" s="1115"/>
      <c r="BS6" s="1115"/>
      <c r="BT6" s="1115"/>
      <c r="BU6" s="1115"/>
      <c r="BV6" s="1115"/>
      <c r="BW6" s="1115"/>
      <c r="BX6" s="1115"/>
      <c r="BY6" s="1115"/>
      <c r="BZ6" s="1115"/>
      <c r="CA6" s="1115"/>
      <c r="CB6" s="1115"/>
      <c r="CC6" s="1115"/>
      <c r="CD6" s="1115"/>
      <c r="CE6" s="1115"/>
      <c r="CF6" s="1115"/>
      <c r="CG6" s="1115"/>
      <c r="CH6" s="1115"/>
      <c r="CI6" s="1115"/>
      <c r="CJ6" s="1115"/>
      <c r="CK6" s="1115"/>
      <c r="CL6" s="1115"/>
      <c r="CM6" s="1115"/>
      <c r="CN6" s="1115"/>
      <c r="CO6" s="1115"/>
      <c r="CP6" s="1115"/>
      <c r="CQ6" s="1115"/>
      <c r="CR6" s="1115"/>
      <c r="CS6" s="1115"/>
      <c r="CT6" s="1115"/>
      <c r="CU6" s="1115"/>
      <c r="CV6" s="1115"/>
      <c r="CW6" s="1115"/>
      <c r="CX6" s="1115"/>
      <c r="CY6" s="1115"/>
      <c r="CZ6" s="1115"/>
      <c r="DA6" s="1115"/>
      <c r="DB6" s="1115"/>
      <c r="DC6" s="1115"/>
      <c r="DD6" s="1115"/>
      <c r="DE6" s="1115"/>
      <c r="DF6" s="1115"/>
      <c r="DG6" s="1115"/>
      <c r="DH6" s="1115"/>
      <c r="DI6" s="1115"/>
      <c r="DJ6" s="1115"/>
      <c r="DK6" s="1115"/>
      <c r="DL6" s="1115"/>
      <c r="DM6" s="1115"/>
      <c r="DN6" s="1115"/>
      <c r="DO6" s="1115"/>
      <c r="DP6" s="1115"/>
      <c r="DQ6" s="1115"/>
      <c r="DR6" s="1115"/>
      <c r="DS6" s="1115"/>
      <c r="DT6" s="1115"/>
      <c r="DU6" s="1115"/>
      <c r="DV6" s="1115"/>
      <c r="DW6" s="1115"/>
      <c r="DX6" s="1115"/>
      <c r="DY6" s="1115"/>
      <c r="DZ6" s="1115"/>
      <c r="EA6" s="1115"/>
      <c r="EB6" s="1115"/>
      <c r="EC6" s="1115"/>
      <c r="ED6" s="1115"/>
      <c r="EE6" s="1115"/>
      <c r="EF6" s="1115"/>
      <c r="EG6" s="1115"/>
      <c r="EH6" s="1115"/>
      <c r="EI6" s="1115"/>
      <c r="EJ6" s="1115"/>
      <c r="EK6" s="1115"/>
      <c r="EL6" s="1115"/>
      <c r="EM6" s="1115"/>
      <c r="EN6" s="1115"/>
      <c r="EO6" s="1115"/>
      <c r="EP6" s="1115"/>
      <c r="EQ6" s="1115"/>
      <c r="ER6" s="1115"/>
      <c r="ES6" s="1115"/>
      <c r="ET6" s="1115"/>
      <c r="EU6" s="1115"/>
      <c r="EV6" s="1115"/>
      <c r="EW6" s="1115"/>
      <c r="EX6" s="1115"/>
      <c r="EY6" s="1115"/>
      <c r="EZ6" s="1115"/>
      <c r="FA6" s="1115"/>
      <c r="FB6" s="1115"/>
      <c r="FC6" s="1115"/>
      <c r="FD6" s="1115"/>
      <c r="FE6" s="1115"/>
      <c r="FF6" s="1115"/>
      <c r="FG6" s="1115"/>
      <c r="FH6" s="1115"/>
      <c r="FI6" s="1115"/>
      <c r="FJ6" s="1115"/>
      <c r="FK6" s="1115"/>
      <c r="FL6" s="1115"/>
      <c r="FM6" s="1115"/>
      <c r="FN6" s="1115"/>
      <c r="FO6" s="1115"/>
      <c r="FP6" s="1115"/>
      <c r="FQ6" s="1115"/>
      <c r="FR6" s="1115"/>
      <c r="FS6" s="1115"/>
      <c r="FT6" s="1115"/>
      <c r="FU6" s="1115"/>
      <c r="FV6" s="1115"/>
      <c r="FW6" s="1115"/>
      <c r="FX6" s="1115"/>
      <c r="FY6" s="1115"/>
      <c r="FZ6" s="1115"/>
      <c r="GA6" s="1115"/>
      <c r="GB6" s="1115"/>
      <c r="GC6" s="1115"/>
      <c r="GD6" s="1115"/>
      <c r="GE6" s="1115"/>
      <c r="GF6" s="1115"/>
      <c r="GG6" s="1115"/>
      <c r="GH6" s="1115"/>
      <c r="GI6" s="1115"/>
      <c r="GJ6" s="1115"/>
      <c r="GK6" s="1115"/>
      <c r="GL6" s="1115"/>
      <c r="GM6" s="1115"/>
      <c r="GN6" s="1115"/>
      <c r="GO6" s="1115"/>
      <c r="GP6" s="1115"/>
      <c r="GQ6" s="1115"/>
      <c r="GR6" s="1115"/>
      <c r="GS6" s="1115"/>
      <c r="GT6" s="1115"/>
      <c r="GU6" s="1115"/>
      <c r="GV6" s="1115"/>
      <c r="GW6" s="1115"/>
      <c r="GX6" s="1115"/>
      <c r="GY6" s="1115"/>
      <c r="GZ6" s="1115"/>
      <c r="HA6" s="1115"/>
      <c r="HB6" s="1115"/>
      <c r="HC6" s="1115"/>
      <c r="HD6" s="1115"/>
      <c r="HE6" s="1115"/>
      <c r="HF6" s="1115"/>
      <c r="HG6" s="1115"/>
      <c r="HH6" s="1115"/>
      <c r="HI6" s="1115"/>
      <c r="HJ6" s="1115"/>
      <c r="HK6" s="1115"/>
      <c r="HL6" s="1115"/>
      <c r="HM6" s="1115"/>
      <c r="HN6" s="1115"/>
      <c r="HO6" s="1115"/>
      <c r="HP6" s="1115"/>
      <c r="HQ6" s="1115"/>
      <c r="HR6" s="1115"/>
      <c r="HS6" s="1115"/>
      <c r="HT6" s="1115"/>
      <c r="HU6" s="1115"/>
      <c r="HV6" s="1115"/>
      <c r="HW6" s="1115"/>
      <c r="HX6" s="1115"/>
      <c r="HY6" s="1115"/>
      <c r="HZ6" s="1115"/>
      <c r="IA6" s="1115"/>
      <c r="IB6" s="1115"/>
      <c r="IC6" s="1115"/>
      <c r="ID6" s="1115"/>
      <c r="IE6" s="1115"/>
      <c r="IF6" s="1115"/>
      <c r="IG6" s="1115"/>
      <c r="IH6" s="1115"/>
      <c r="II6" s="1115"/>
      <c r="IJ6" s="1115"/>
      <c r="IK6" s="1115"/>
      <c r="IL6" s="1115"/>
      <c r="IM6" s="1115"/>
    </row>
    <row r="7" spans="1:247" ht="30" customHeight="1" x14ac:dyDescent="0.3">
      <c r="B7" s="1309" t="s">
        <v>18</v>
      </c>
      <c r="C7" s="1311" t="s">
        <v>19</v>
      </c>
      <c r="D7" s="1313" t="s">
        <v>6</v>
      </c>
      <c r="E7" s="1315" t="s">
        <v>584</v>
      </c>
      <c r="F7" s="1324" t="s">
        <v>585</v>
      </c>
      <c r="G7" s="1324" t="s">
        <v>494</v>
      </c>
      <c r="H7" s="1326" t="s">
        <v>677</v>
      </c>
      <c r="I7" s="1322" t="s">
        <v>637</v>
      </c>
      <c r="J7" s="1333" t="s">
        <v>699</v>
      </c>
      <c r="K7" s="1331" t="s">
        <v>750</v>
      </c>
    </row>
    <row r="8" spans="1:247" ht="60.75" customHeight="1" thickBot="1" x14ac:dyDescent="0.35">
      <c r="B8" s="1310"/>
      <c r="C8" s="1312"/>
      <c r="D8" s="1314"/>
      <c r="E8" s="1316"/>
      <c r="F8" s="1325"/>
      <c r="G8" s="1325"/>
      <c r="H8" s="1327"/>
      <c r="I8" s="1323"/>
      <c r="J8" s="1334"/>
      <c r="K8" s="1332"/>
    </row>
    <row r="9" spans="1:247" ht="20.100000000000001" customHeight="1" x14ac:dyDescent="0.3">
      <c r="B9" s="1120"/>
      <c r="C9" s="1121" t="s">
        <v>731</v>
      </c>
      <c r="D9" s="1122"/>
      <c r="E9" s="1123"/>
      <c r="F9" s="1124"/>
      <c r="G9" s="1124"/>
      <c r="H9" s="1125"/>
      <c r="I9" s="1126"/>
      <c r="J9" s="1127"/>
      <c r="K9" s="1128"/>
    </row>
    <row r="10" spans="1:247" s="1140" customFormat="1" ht="22.5" customHeight="1" x14ac:dyDescent="0.3">
      <c r="A10" s="1129">
        <v>1</v>
      </c>
      <c r="B10" s="1130">
        <v>1</v>
      </c>
      <c r="C10" s="1131" t="s">
        <v>242</v>
      </c>
      <c r="D10" s="1132"/>
      <c r="E10" s="1133" t="s">
        <v>23</v>
      </c>
      <c r="F10" s="1134">
        <v>2090</v>
      </c>
      <c r="G10" s="1135">
        <v>600</v>
      </c>
      <c r="H10" s="1136">
        <v>9365</v>
      </c>
      <c r="I10" s="1137"/>
      <c r="J10" s="1138"/>
      <c r="K10" s="1139"/>
    </row>
    <row r="11" spans="1:247" ht="60.75" customHeight="1" x14ac:dyDescent="0.3">
      <c r="A11" s="1129">
        <v>2</v>
      </c>
      <c r="B11" s="1130"/>
      <c r="C11" s="1141">
        <v>1</v>
      </c>
      <c r="D11" s="1142" t="s">
        <v>710</v>
      </c>
      <c r="E11" s="1133"/>
      <c r="F11" s="1143"/>
      <c r="G11" s="1144"/>
      <c r="H11" s="1145"/>
      <c r="I11" s="1146"/>
      <c r="J11" s="1147">
        <v>971</v>
      </c>
      <c r="K11" s="1148"/>
    </row>
    <row r="12" spans="1:247" ht="18" customHeight="1" x14ac:dyDescent="0.3">
      <c r="A12" s="1129">
        <v>3</v>
      </c>
      <c r="B12" s="1130"/>
      <c r="C12" s="1149">
        <v>3</v>
      </c>
      <c r="D12" s="1142" t="s">
        <v>792</v>
      </c>
      <c r="E12" s="1133"/>
      <c r="F12" s="1143"/>
      <c r="G12" s="1144"/>
      <c r="H12" s="1145"/>
      <c r="I12" s="1146"/>
      <c r="J12" s="1147">
        <v>970</v>
      </c>
      <c r="K12" s="1148"/>
    </row>
    <row r="13" spans="1:247" ht="18" customHeight="1" x14ac:dyDescent="0.3">
      <c r="A13" s="1129">
        <v>4</v>
      </c>
      <c r="B13" s="1130"/>
      <c r="C13" s="1149">
        <v>4</v>
      </c>
      <c r="D13" s="1142" t="s">
        <v>691</v>
      </c>
      <c r="E13" s="1133"/>
      <c r="F13" s="1143"/>
      <c r="G13" s="1144"/>
      <c r="H13" s="1145"/>
      <c r="I13" s="1146"/>
      <c r="J13" s="1147">
        <v>600</v>
      </c>
      <c r="K13" s="1148"/>
    </row>
    <row r="14" spans="1:247" ht="18" customHeight="1" x14ac:dyDescent="0.3">
      <c r="A14" s="1129">
        <v>5</v>
      </c>
      <c r="B14" s="1130"/>
      <c r="C14" s="1149">
        <v>5</v>
      </c>
      <c r="D14" s="1142" t="s">
        <v>793</v>
      </c>
      <c r="E14" s="1133"/>
      <c r="F14" s="1143"/>
      <c r="G14" s="1144"/>
      <c r="H14" s="1145"/>
      <c r="I14" s="1146"/>
      <c r="J14" s="1147">
        <v>500</v>
      </c>
      <c r="K14" s="1148"/>
    </row>
    <row r="15" spans="1:247" ht="18" customHeight="1" x14ac:dyDescent="0.3">
      <c r="A15" s="1129">
        <v>6</v>
      </c>
      <c r="B15" s="1130"/>
      <c r="C15" s="1149">
        <v>7</v>
      </c>
      <c r="D15" s="275" t="s">
        <v>794</v>
      </c>
      <c r="E15" s="1133"/>
      <c r="F15" s="1143"/>
      <c r="G15" s="1144"/>
      <c r="H15" s="1145"/>
      <c r="I15" s="1146"/>
      <c r="J15" s="1147">
        <v>120</v>
      </c>
      <c r="K15" s="1148"/>
    </row>
    <row r="16" spans="1:247" ht="18" customHeight="1" x14ac:dyDescent="0.3">
      <c r="A16" s="1129">
        <v>7</v>
      </c>
      <c r="B16" s="1130"/>
      <c r="C16" s="1150" t="s">
        <v>269</v>
      </c>
      <c r="D16" s="1151"/>
      <c r="E16" s="1133"/>
      <c r="F16" s="1134">
        <v>314</v>
      </c>
      <c r="G16" s="1135">
        <v>300</v>
      </c>
      <c r="H16" s="1136">
        <v>917</v>
      </c>
      <c r="I16" s="1146"/>
      <c r="J16" s="1147"/>
      <c r="K16" s="1152"/>
    </row>
    <row r="17" spans="1:11" ht="18" customHeight="1" x14ac:dyDescent="0.3">
      <c r="A17" s="1129">
        <v>8</v>
      </c>
      <c r="B17" s="1130"/>
      <c r="C17" s="1149">
        <v>2</v>
      </c>
      <c r="D17" s="1142" t="s">
        <v>472</v>
      </c>
      <c r="E17" s="1133"/>
      <c r="F17" s="1143"/>
      <c r="G17" s="1144"/>
      <c r="H17" s="1145"/>
      <c r="I17" s="1146"/>
      <c r="J17" s="1147"/>
      <c r="K17" s="1152"/>
    </row>
    <row r="18" spans="1:11" ht="18" customHeight="1" x14ac:dyDescent="0.3">
      <c r="A18" s="1129">
        <v>9</v>
      </c>
      <c r="B18" s="1130"/>
      <c r="C18" s="1149">
        <v>6</v>
      </c>
      <c r="D18" s="1142" t="s">
        <v>795</v>
      </c>
      <c r="E18" s="1133"/>
      <c r="F18" s="1143"/>
      <c r="G18" s="1144"/>
      <c r="H18" s="1145"/>
      <c r="I18" s="1146"/>
      <c r="J18" s="1147">
        <v>250</v>
      </c>
      <c r="K18" s="1148"/>
    </row>
    <row r="19" spans="1:11" s="1140" customFormat="1" ht="22.5" customHeight="1" x14ac:dyDescent="0.3">
      <c r="A19" s="1129">
        <v>10</v>
      </c>
      <c r="B19" s="1130">
        <v>2</v>
      </c>
      <c r="C19" s="1153" t="s">
        <v>241</v>
      </c>
      <c r="D19" s="1132"/>
      <c r="E19" s="1133" t="s">
        <v>23</v>
      </c>
      <c r="F19" s="1134">
        <v>2754</v>
      </c>
      <c r="G19" s="1135">
        <v>1100</v>
      </c>
      <c r="H19" s="1136">
        <v>5020</v>
      </c>
      <c r="I19" s="1137"/>
      <c r="J19" s="1138"/>
      <c r="K19" s="1154"/>
    </row>
    <row r="20" spans="1:11" ht="108.75" customHeight="1" x14ac:dyDescent="0.3">
      <c r="A20" s="1129">
        <v>11</v>
      </c>
      <c r="B20" s="1130"/>
      <c r="C20" s="1141">
        <v>1</v>
      </c>
      <c r="D20" s="1142" t="s">
        <v>796</v>
      </c>
      <c r="E20" s="1133"/>
      <c r="F20" s="1143"/>
      <c r="G20" s="1144"/>
      <c r="H20" s="1145"/>
      <c r="I20" s="1146"/>
      <c r="J20" s="1155">
        <v>5000</v>
      </c>
      <c r="K20" s="1156">
        <v>502</v>
      </c>
    </row>
    <row r="21" spans="1:11" ht="18" customHeight="1" x14ac:dyDescent="0.3">
      <c r="A21" s="1129">
        <v>12</v>
      </c>
      <c r="B21" s="1130"/>
      <c r="C21" s="1141">
        <v>3</v>
      </c>
      <c r="D21" s="1142" t="s">
        <v>797</v>
      </c>
      <c r="E21" s="1133"/>
      <c r="F21" s="1143"/>
      <c r="G21" s="1144"/>
      <c r="H21" s="1145"/>
      <c r="I21" s="1146"/>
      <c r="J21" s="1147">
        <v>325</v>
      </c>
      <c r="K21" s="1156">
        <v>325</v>
      </c>
    </row>
    <row r="22" spans="1:11" ht="18" customHeight="1" x14ac:dyDescent="0.3">
      <c r="A22" s="1129">
        <v>13</v>
      </c>
      <c r="B22" s="1130"/>
      <c r="C22" s="1150" t="s">
        <v>270</v>
      </c>
      <c r="D22" s="1151"/>
      <c r="E22" s="1133"/>
      <c r="F22" s="1134">
        <v>764</v>
      </c>
      <c r="G22" s="1135">
        <v>600</v>
      </c>
      <c r="H22" s="1136">
        <v>4838</v>
      </c>
      <c r="I22" s="1146"/>
      <c r="J22" s="1147"/>
      <c r="K22" s="1157"/>
    </row>
    <row r="23" spans="1:11" ht="111" customHeight="1" x14ac:dyDescent="0.3">
      <c r="A23" s="1129">
        <v>14</v>
      </c>
      <c r="B23" s="1130"/>
      <c r="C23" s="1141">
        <v>2</v>
      </c>
      <c r="D23" s="1142" t="s">
        <v>796</v>
      </c>
      <c r="E23" s="1133"/>
      <c r="F23" s="1143"/>
      <c r="G23" s="1144"/>
      <c r="H23" s="1145"/>
      <c r="I23" s="1146"/>
      <c r="J23" s="1155">
        <v>2352</v>
      </c>
      <c r="K23" s="1156">
        <v>133</v>
      </c>
    </row>
    <row r="24" spans="1:11" ht="18" customHeight="1" x14ac:dyDescent="0.3">
      <c r="A24" s="1129">
        <v>15</v>
      </c>
      <c r="B24" s="1130"/>
      <c r="C24" s="1141">
        <v>4</v>
      </c>
      <c r="D24" s="1142" t="s">
        <v>798</v>
      </c>
      <c r="E24" s="1133"/>
      <c r="F24" s="1143"/>
      <c r="G24" s="1144"/>
      <c r="H24" s="1145"/>
      <c r="I24" s="1146"/>
      <c r="J24" s="1147">
        <v>400</v>
      </c>
      <c r="K24" s="1156"/>
    </row>
    <row r="25" spans="1:11" s="1140" customFormat="1" ht="22.5" customHeight="1" x14ac:dyDescent="0.3">
      <c r="A25" s="1129">
        <v>16</v>
      </c>
      <c r="B25" s="1130">
        <v>3</v>
      </c>
      <c r="C25" s="1153" t="s">
        <v>211</v>
      </c>
      <c r="D25" s="1132"/>
      <c r="E25" s="1133" t="s">
        <v>23</v>
      </c>
      <c r="F25" s="1134">
        <v>2251</v>
      </c>
      <c r="G25" s="1135">
        <v>1000</v>
      </c>
      <c r="H25" s="1136">
        <v>2695</v>
      </c>
      <c r="I25" s="1137"/>
      <c r="J25" s="1138"/>
      <c r="K25" s="1154"/>
    </row>
    <row r="26" spans="1:11" ht="33" customHeight="1" x14ac:dyDescent="0.3">
      <c r="A26" s="1129">
        <v>17</v>
      </c>
      <c r="B26" s="1130"/>
      <c r="C26" s="1149">
        <v>1</v>
      </c>
      <c r="D26" s="1142" t="s">
        <v>711</v>
      </c>
      <c r="E26" s="1133"/>
      <c r="F26" s="1143"/>
      <c r="G26" s="1144"/>
      <c r="H26" s="1145"/>
      <c r="I26" s="1146"/>
      <c r="J26" s="1155">
        <v>2100</v>
      </c>
      <c r="K26" s="1156"/>
    </row>
    <row r="27" spans="1:11" ht="18" customHeight="1" x14ac:dyDescent="0.3">
      <c r="A27" s="1129">
        <v>18</v>
      </c>
      <c r="B27" s="1130"/>
      <c r="C27" s="1149">
        <v>3</v>
      </c>
      <c r="D27" s="1142" t="s">
        <v>799</v>
      </c>
      <c r="E27" s="1133"/>
      <c r="F27" s="1143"/>
      <c r="G27" s="1144"/>
      <c r="H27" s="1145"/>
      <c r="I27" s="1146"/>
      <c r="J27" s="1147">
        <v>300</v>
      </c>
      <c r="K27" s="1152"/>
    </row>
    <row r="28" spans="1:11" ht="18" customHeight="1" x14ac:dyDescent="0.3">
      <c r="A28" s="1129">
        <v>19</v>
      </c>
      <c r="B28" s="1130"/>
      <c r="C28" s="1150" t="s">
        <v>308</v>
      </c>
      <c r="D28" s="1151"/>
      <c r="E28" s="1133"/>
      <c r="F28" s="1134">
        <v>414</v>
      </c>
      <c r="G28" s="1135">
        <v>1000</v>
      </c>
      <c r="H28" s="1136">
        <v>319</v>
      </c>
      <c r="I28" s="1146"/>
      <c r="J28" s="1147"/>
      <c r="K28" s="1152"/>
    </row>
    <row r="29" spans="1:11" ht="18" customHeight="1" x14ac:dyDescent="0.3">
      <c r="A29" s="1129">
        <v>20</v>
      </c>
      <c r="B29" s="1130"/>
      <c r="C29" s="1149">
        <v>2</v>
      </c>
      <c r="D29" s="1142" t="s">
        <v>586</v>
      </c>
      <c r="E29" s="1133"/>
      <c r="F29" s="1143"/>
      <c r="G29" s="1144"/>
      <c r="H29" s="1145"/>
      <c r="I29" s="1146">
        <v>286</v>
      </c>
      <c r="J29" s="1147">
        <v>286</v>
      </c>
      <c r="K29" s="1152">
        <v>272</v>
      </c>
    </row>
    <row r="30" spans="1:11" s="1140" customFormat="1" ht="22.5" customHeight="1" x14ac:dyDescent="0.3">
      <c r="A30" s="1129">
        <v>21</v>
      </c>
      <c r="B30" s="1130">
        <v>4</v>
      </c>
      <c r="C30" s="1153" t="s">
        <v>212</v>
      </c>
      <c r="D30" s="1132"/>
      <c r="E30" s="1133" t="s">
        <v>23</v>
      </c>
      <c r="F30" s="1134">
        <v>2906</v>
      </c>
      <c r="G30" s="1135">
        <v>1100</v>
      </c>
      <c r="H30" s="1136">
        <v>3009</v>
      </c>
      <c r="I30" s="1137"/>
      <c r="J30" s="1138"/>
      <c r="K30" s="1154"/>
    </row>
    <row r="31" spans="1:11" ht="18" customHeight="1" x14ac:dyDescent="0.3">
      <c r="A31" s="1129">
        <v>22</v>
      </c>
      <c r="B31" s="1130"/>
      <c r="C31" s="1149">
        <v>1</v>
      </c>
      <c r="D31" s="1142" t="s">
        <v>472</v>
      </c>
      <c r="E31" s="1133"/>
      <c r="F31" s="1143"/>
      <c r="G31" s="1144"/>
      <c r="H31" s="1145"/>
      <c r="I31" s="1146"/>
      <c r="J31" s="1147"/>
      <c r="K31" s="1152"/>
    </row>
    <row r="32" spans="1:11" ht="18" customHeight="1" x14ac:dyDescent="0.3">
      <c r="A32" s="1129">
        <v>23</v>
      </c>
      <c r="B32" s="1130"/>
      <c r="C32" s="1149">
        <v>3</v>
      </c>
      <c r="D32" s="1142" t="s">
        <v>474</v>
      </c>
      <c r="E32" s="1133"/>
      <c r="F32" s="1143"/>
      <c r="G32" s="1144"/>
      <c r="H32" s="1145"/>
      <c r="I32" s="1146"/>
      <c r="J32" s="1147">
        <v>2000</v>
      </c>
      <c r="K32" s="1158"/>
    </row>
    <row r="33" spans="1:11" ht="18" customHeight="1" x14ac:dyDescent="0.3">
      <c r="A33" s="1129">
        <v>24</v>
      </c>
      <c r="B33" s="1130"/>
      <c r="C33" s="1149">
        <v>4</v>
      </c>
      <c r="D33" s="1142" t="s">
        <v>377</v>
      </c>
      <c r="E33" s="1133"/>
      <c r="F33" s="1143"/>
      <c r="G33" s="1144"/>
      <c r="H33" s="1145"/>
      <c r="I33" s="1146"/>
      <c r="J33" s="1147">
        <v>400</v>
      </c>
      <c r="K33" s="1158">
        <v>268</v>
      </c>
    </row>
    <row r="34" spans="1:11" ht="18" customHeight="1" x14ac:dyDescent="0.3">
      <c r="A34" s="1129">
        <v>25</v>
      </c>
      <c r="B34" s="1130"/>
      <c r="C34" s="1159" t="s">
        <v>271</v>
      </c>
      <c r="D34" s="1160"/>
      <c r="E34" s="1133"/>
      <c r="F34" s="1134">
        <v>1235</v>
      </c>
      <c r="G34" s="1135">
        <v>300</v>
      </c>
      <c r="H34" s="1136">
        <v>995</v>
      </c>
      <c r="I34" s="1146"/>
      <c r="J34" s="1147"/>
      <c r="K34" s="1158"/>
    </row>
    <row r="35" spans="1:11" ht="18" customHeight="1" x14ac:dyDescent="0.3">
      <c r="A35" s="1129">
        <v>26</v>
      </c>
      <c r="B35" s="1130"/>
      <c r="C35" s="1149">
        <v>2</v>
      </c>
      <c r="D35" s="1142" t="s">
        <v>639</v>
      </c>
      <c r="E35" s="1133"/>
      <c r="F35" s="1143"/>
      <c r="G35" s="1144"/>
      <c r="H35" s="1145"/>
      <c r="I35" s="1146"/>
      <c r="J35" s="1147">
        <v>50</v>
      </c>
      <c r="K35" s="1158">
        <v>42</v>
      </c>
    </row>
    <row r="36" spans="1:11" ht="18" customHeight="1" x14ac:dyDescent="0.3">
      <c r="A36" s="1129">
        <v>27</v>
      </c>
      <c r="B36" s="1130"/>
      <c r="C36" s="1149">
        <v>5</v>
      </c>
      <c r="D36" s="1142" t="s">
        <v>640</v>
      </c>
      <c r="E36" s="1133"/>
      <c r="F36" s="1143"/>
      <c r="G36" s="1144"/>
      <c r="H36" s="1145"/>
      <c r="I36" s="1146"/>
      <c r="J36" s="1147">
        <v>700</v>
      </c>
      <c r="K36" s="1158"/>
    </row>
    <row r="37" spans="1:11" s="1140" customFormat="1" ht="22.5" customHeight="1" x14ac:dyDescent="0.3">
      <c r="A37" s="1129">
        <v>28</v>
      </c>
      <c r="B37" s="1130">
        <v>5</v>
      </c>
      <c r="C37" s="1153" t="s">
        <v>213</v>
      </c>
      <c r="D37" s="1132"/>
      <c r="E37" s="1133" t="s">
        <v>23</v>
      </c>
      <c r="F37" s="1134">
        <v>1668</v>
      </c>
      <c r="G37" s="1135">
        <v>800</v>
      </c>
      <c r="H37" s="1136">
        <v>2068</v>
      </c>
      <c r="I37" s="1137"/>
      <c r="J37" s="1138"/>
      <c r="K37" s="1161"/>
    </row>
    <row r="38" spans="1:11" ht="18" customHeight="1" x14ac:dyDescent="0.3">
      <c r="A38" s="1129">
        <v>29</v>
      </c>
      <c r="B38" s="1130"/>
      <c r="C38" s="1149">
        <v>1</v>
      </c>
      <c r="D38" s="1142" t="s">
        <v>708</v>
      </c>
      <c r="E38" s="1133"/>
      <c r="F38" s="1143"/>
      <c r="G38" s="1144"/>
      <c r="H38" s="1145"/>
      <c r="I38" s="1146"/>
      <c r="J38" s="1147">
        <v>150</v>
      </c>
      <c r="K38" s="1158"/>
    </row>
    <row r="39" spans="1:11" ht="18" customHeight="1" x14ac:dyDescent="0.3">
      <c r="A39" s="1129">
        <v>30</v>
      </c>
      <c r="B39" s="1130"/>
      <c r="C39" s="1149">
        <v>3</v>
      </c>
      <c r="D39" s="1142" t="s">
        <v>641</v>
      </c>
      <c r="E39" s="1133"/>
      <c r="F39" s="1143"/>
      <c r="G39" s="1144"/>
      <c r="H39" s="1145"/>
      <c r="I39" s="1146"/>
      <c r="J39" s="1147">
        <v>1000</v>
      </c>
      <c r="K39" s="1158"/>
    </row>
    <row r="40" spans="1:11" ht="32.25" customHeight="1" x14ac:dyDescent="0.3">
      <c r="A40" s="1129">
        <v>31</v>
      </c>
      <c r="B40" s="1130"/>
      <c r="C40" s="1141">
        <v>5</v>
      </c>
      <c r="D40" s="1142" t="s">
        <v>707</v>
      </c>
      <c r="E40" s="1133"/>
      <c r="F40" s="1143"/>
      <c r="G40" s="1144"/>
      <c r="H40" s="1145"/>
      <c r="I40" s="1146"/>
      <c r="J40" s="1147">
        <v>2100</v>
      </c>
      <c r="K40" s="1158"/>
    </row>
    <row r="41" spans="1:11" ht="18" customHeight="1" x14ac:dyDescent="0.3">
      <c r="A41" s="1129">
        <v>32</v>
      </c>
      <c r="B41" s="1130"/>
      <c r="C41" s="1159" t="s">
        <v>272</v>
      </c>
      <c r="D41" s="1160"/>
      <c r="E41" s="1133"/>
      <c r="F41" s="1134">
        <v>2017</v>
      </c>
      <c r="G41" s="1135">
        <v>800</v>
      </c>
      <c r="H41" s="1136">
        <v>2139</v>
      </c>
      <c r="I41" s="1146"/>
      <c r="J41" s="1147"/>
      <c r="K41" s="1158"/>
    </row>
    <row r="42" spans="1:11" ht="18" customHeight="1" x14ac:dyDescent="0.3">
      <c r="A42" s="1129">
        <v>33</v>
      </c>
      <c r="B42" s="1130"/>
      <c r="C42" s="1149">
        <v>2</v>
      </c>
      <c r="D42" s="1142" t="s">
        <v>708</v>
      </c>
      <c r="E42" s="1133"/>
      <c r="F42" s="1143"/>
      <c r="G42" s="1144"/>
      <c r="H42" s="1145"/>
      <c r="I42" s="1146"/>
      <c r="J42" s="1147">
        <v>250</v>
      </c>
      <c r="K42" s="1158"/>
    </row>
    <row r="43" spans="1:11" ht="18" customHeight="1" x14ac:dyDescent="0.3">
      <c r="A43" s="1129">
        <v>34</v>
      </c>
      <c r="B43" s="1130"/>
      <c r="C43" s="1149">
        <v>4</v>
      </c>
      <c r="D43" s="1142" t="s">
        <v>800</v>
      </c>
      <c r="E43" s="1133"/>
      <c r="F43" s="1143"/>
      <c r="G43" s="1144"/>
      <c r="H43" s="1145"/>
      <c r="I43" s="1146"/>
      <c r="J43" s="1147">
        <v>2000</v>
      </c>
      <c r="K43" s="1158"/>
    </row>
    <row r="44" spans="1:11" ht="18" customHeight="1" x14ac:dyDescent="0.3">
      <c r="A44" s="1129">
        <v>35</v>
      </c>
      <c r="B44" s="1130"/>
      <c r="C44" s="1149">
        <v>6</v>
      </c>
      <c r="D44" s="1142" t="s">
        <v>801</v>
      </c>
      <c r="E44" s="1133"/>
      <c r="F44" s="1143"/>
      <c r="G44" s="1144"/>
      <c r="H44" s="1145"/>
      <c r="I44" s="1146"/>
      <c r="J44" s="1147">
        <v>2000</v>
      </c>
      <c r="K44" s="1158"/>
    </row>
    <row r="45" spans="1:11" s="1140" customFormat="1" ht="22.5" customHeight="1" x14ac:dyDescent="0.3">
      <c r="A45" s="1129">
        <v>36</v>
      </c>
      <c r="B45" s="1130">
        <v>6</v>
      </c>
      <c r="C45" s="1153" t="s">
        <v>214</v>
      </c>
      <c r="D45" s="1132"/>
      <c r="E45" s="1133" t="s">
        <v>23</v>
      </c>
      <c r="F45" s="1134">
        <v>1615</v>
      </c>
      <c r="G45" s="1135">
        <v>500</v>
      </c>
      <c r="H45" s="1136">
        <v>3045</v>
      </c>
      <c r="I45" s="1137"/>
      <c r="J45" s="1138"/>
      <c r="K45" s="1161"/>
    </row>
    <row r="46" spans="1:11" ht="29.25" customHeight="1" x14ac:dyDescent="0.3">
      <c r="A46" s="1129">
        <v>37</v>
      </c>
      <c r="B46" s="1130"/>
      <c r="C46" s="1141">
        <v>1</v>
      </c>
      <c r="D46" s="1142" t="s">
        <v>712</v>
      </c>
      <c r="E46" s="1133"/>
      <c r="F46" s="1143"/>
      <c r="G46" s="1144"/>
      <c r="H46" s="1145"/>
      <c r="I46" s="1146"/>
      <c r="J46" s="1147">
        <v>280</v>
      </c>
      <c r="K46" s="1148">
        <v>159</v>
      </c>
    </row>
    <row r="47" spans="1:11" ht="18" customHeight="1" x14ac:dyDescent="0.3">
      <c r="A47" s="1129">
        <v>38</v>
      </c>
      <c r="B47" s="1130"/>
      <c r="C47" s="1149">
        <v>3</v>
      </c>
      <c r="D47" s="1142" t="s">
        <v>793</v>
      </c>
      <c r="E47" s="1133"/>
      <c r="F47" s="1143"/>
      <c r="G47" s="1144"/>
      <c r="H47" s="1145"/>
      <c r="I47" s="1146"/>
      <c r="J47" s="1147">
        <v>500</v>
      </c>
      <c r="K47" s="1148">
        <v>427</v>
      </c>
    </row>
    <row r="48" spans="1:11" ht="18" customHeight="1" x14ac:dyDescent="0.3">
      <c r="A48" s="1129">
        <v>39</v>
      </c>
      <c r="B48" s="1130"/>
      <c r="C48" s="1159" t="s">
        <v>273</v>
      </c>
      <c r="D48" s="1160"/>
      <c r="E48" s="1133"/>
      <c r="F48" s="1134">
        <v>1438</v>
      </c>
      <c r="G48" s="1135">
        <v>200</v>
      </c>
      <c r="H48" s="1136">
        <v>1220</v>
      </c>
      <c r="I48" s="1146"/>
      <c r="J48" s="1147"/>
      <c r="K48" s="1152"/>
    </row>
    <row r="49" spans="1:11" ht="18" customHeight="1" x14ac:dyDescent="0.3">
      <c r="A49" s="1129">
        <v>40</v>
      </c>
      <c r="B49" s="1130"/>
      <c r="C49" s="1149">
        <v>2</v>
      </c>
      <c r="D49" s="1142" t="s">
        <v>713</v>
      </c>
      <c r="E49" s="1133"/>
      <c r="F49" s="1143"/>
      <c r="G49" s="1144"/>
      <c r="H49" s="1145"/>
      <c r="I49" s="1146"/>
      <c r="J49" s="1147">
        <v>120</v>
      </c>
      <c r="K49" s="1152"/>
    </row>
    <row r="50" spans="1:11" s="1140" customFormat="1" ht="22.5" customHeight="1" x14ac:dyDescent="0.3">
      <c r="A50" s="1129">
        <v>41</v>
      </c>
      <c r="B50" s="1130">
        <v>7</v>
      </c>
      <c r="C50" s="1131" t="s">
        <v>246</v>
      </c>
      <c r="D50" s="1132"/>
      <c r="E50" s="1133" t="s">
        <v>23</v>
      </c>
      <c r="F50" s="1162"/>
      <c r="G50" s="1135"/>
      <c r="H50" s="1163"/>
      <c r="I50" s="1137"/>
      <c r="J50" s="1138"/>
      <c r="K50" s="1154"/>
    </row>
    <row r="51" spans="1:11" ht="18" customHeight="1" x14ac:dyDescent="0.3">
      <c r="A51" s="1129">
        <v>42</v>
      </c>
      <c r="B51" s="1130"/>
      <c r="C51" s="1159" t="s">
        <v>288</v>
      </c>
      <c r="D51" s="1164"/>
      <c r="E51" s="1133"/>
      <c r="F51" s="1134">
        <v>480</v>
      </c>
      <c r="G51" s="1135">
        <v>400</v>
      </c>
      <c r="H51" s="1136">
        <v>1592</v>
      </c>
      <c r="I51" s="1146"/>
      <c r="J51" s="1147"/>
      <c r="K51" s="1152"/>
    </row>
    <row r="52" spans="1:11" ht="30" customHeight="1" x14ac:dyDescent="0.3">
      <c r="A52" s="1129">
        <v>43</v>
      </c>
      <c r="B52" s="1130"/>
      <c r="C52" s="1141">
        <v>1</v>
      </c>
      <c r="D52" s="1142" t="s">
        <v>647</v>
      </c>
      <c r="E52" s="1133"/>
      <c r="F52" s="1143"/>
      <c r="G52" s="1144"/>
      <c r="H52" s="1145"/>
      <c r="I52" s="1146"/>
      <c r="J52" s="1147">
        <v>1000</v>
      </c>
      <c r="K52" s="1158"/>
    </row>
    <row r="53" spans="1:11" ht="18" customHeight="1" x14ac:dyDescent="0.3">
      <c r="A53" s="1129">
        <v>44</v>
      </c>
      <c r="B53" s="1130"/>
      <c r="C53" s="1159" t="s">
        <v>274</v>
      </c>
      <c r="D53" s="1164"/>
      <c r="E53" s="1133"/>
      <c r="F53" s="1134">
        <v>1193</v>
      </c>
      <c r="G53" s="1135">
        <v>800</v>
      </c>
      <c r="H53" s="1136">
        <v>2735</v>
      </c>
      <c r="I53" s="1146"/>
      <c r="J53" s="1147"/>
      <c r="K53" s="1158"/>
    </row>
    <row r="54" spans="1:11" ht="30" customHeight="1" x14ac:dyDescent="0.3">
      <c r="A54" s="1129">
        <v>45</v>
      </c>
      <c r="B54" s="1130"/>
      <c r="C54" s="1141">
        <v>2</v>
      </c>
      <c r="D54" s="1142" t="s">
        <v>647</v>
      </c>
      <c r="E54" s="1133"/>
      <c r="F54" s="1143"/>
      <c r="G54" s="1144"/>
      <c r="H54" s="1145"/>
      <c r="I54" s="1146"/>
      <c r="J54" s="1147">
        <v>2000</v>
      </c>
      <c r="K54" s="1158">
        <v>75</v>
      </c>
    </row>
    <row r="55" spans="1:11" ht="18" customHeight="1" x14ac:dyDescent="0.3">
      <c r="A55" s="1129">
        <v>46</v>
      </c>
      <c r="B55" s="1130"/>
      <c r="C55" s="1159" t="s">
        <v>275</v>
      </c>
      <c r="D55" s="1164"/>
      <c r="E55" s="1133"/>
      <c r="F55" s="1134">
        <v>1436</v>
      </c>
      <c r="G55" s="1135">
        <v>1200</v>
      </c>
      <c r="H55" s="1136">
        <v>4128</v>
      </c>
      <c r="I55" s="1146"/>
      <c r="J55" s="1147"/>
      <c r="K55" s="1158"/>
    </row>
    <row r="56" spans="1:11" ht="29.25" customHeight="1" x14ac:dyDescent="0.3">
      <c r="A56" s="1129">
        <v>47</v>
      </c>
      <c r="B56" s="1130"/>
      <c r="C56" s="1141">
        <v>3</v>
      </c>
      <c r="D56" s="1142" t="s">
        <v>647</v>
      </c>
      <c r="E56" s="1133"/>
      <c r="F56" s="1143"/>
      <c r="G56" s="1144"/>
      <c r="H56" s="1145"/>
      <c r="I56" s="1146"/>
      <c r="J56" s="1165">
        <v>3000</v>
      </c>
      <c r="K56" s="1166">
        <v>20</v>
      </c>
    </row>
    <row r="57" spans="1:11" ht="18" customHeight="1" x14ac:dyDescent="0.3">
      <c r="A57" s="1129">
        <v>48</v>
      </c>
      <c r="B57" s="1130"/>
      <c r="C57" s="1141">
        <v>24</v>
      </c>
      <c r="D57" s="1142" t="s">
        <v>802</v>
      </c>
      <c r="E57" s="1133"/>
      <c r="F57" s="1143"/>
      <c r="G57" s="1144"/>
      <c r="H57" s="1145"/>
      <c r="I57" s="1146"/>
      <c r="J57" s="1147">
        <v>300</v>
      </c>
      <c r="K57" s="1158"/>
    </row>
    <row r="58" spans="1:11" ht="18" customHeight="1" x14ac:dyDescent="0.3">
      <c r="A58" s="1129">
        <v>49</v>
      </c>
      <c r="B58" s="1130"/>
      <c r="C58" s="1159" t="s">
        <v>277</v>
      </c>
      <c r="D58" s="1160"/>
      <c r="E58" s="1133"/>
      <c r="F58" s="1134">
        <v>1420</v>
      </c>
      <c r="G58" s="1135">
        <v>1000</v>
      </c>
      <c r="H58" s="1136">
        <v>4163</v>
      </c>
      <c r="I58" s="1146"/>
      <c r="J58" s="1147"/>
      <c r="K58" s="1158"/>
    </row>
    <row r="59" spans="1:11" ht="29.25" customHeight="1" x14ac:dyDescent="0.3">
      <c r="A59" s="1129">
        <v>50</v>
      </c>
      <c r="B59" s="1130"/>
      <c r="C59" s="1141">
        <v>4</v>
      </c>
      <c r="D59" s="1142" t="s">
        <v>647</v>
      </c>
      <c r="E59" s="1133"/>
      <c r="F59" s="1143"/>
      <c r="G59" s="1144"/>
      <c r="H59" s="1145"/>
      <c r="I59" s="1146"/>
      <c r="J59" s="1147">
        <v>3000</v>
      </c>
      <c r="K59" s="1158"/>
    </row>
    <row r="60" spans="1:11" ht="18" customHeight="1" x14ac:dyDescent="0.3">
      <c r="A60" s="1129">
        <v>51</v>
      </c>
      <c r="B60" s="1130"/>
      <c r="C60" s="1159" t="s">
        <v>276</v>
      </c>
      <c r="D60" s="1164"/>
      <c r="E60" s="1133"/>
      <c r="F60" s="1134">
        <v>949</v>
      </c>
      <c r="G60" s="1135">
        <v>800</v>
      </c>
      <c r="H60" s="1136">
        <v>2662</v>
      </c>
      <c r="I60" s="1146"/>
      <c r="J60" s="1147"/>
      <c r="K60" s="1158"/>
    </row>
    <row r="61" spans="1:11" ht="30.75" customHeight="1" x14ac:dyDescent="0.3">
      <c r="A61" s="1129">
        <v>52</v>
      </c>
      <c r="B61" s="1130"/>
      <c r="C61" s="1141">
        <v>5</v>
      </c>
      <c r="D61" s="1142" t="s">
        <v>647</v>
      </c>
      <c r="E61" s="1133"/>
      <c r="F61" s="1143"/>
      <c r="G61" s="1144"/>
      <c r="H61" s="1145"/>
      <c r="I61" s="1146"/>
      <c r="J61" s="1147">
        <v>2000</v>
      </c>
      <c r="K61" s="1158"/>
    </row>
    <row r="62" spans="1:11" ht="18" customHeight="1" x14ac:dyDescent="0.3">
      <c r="A62" s="1129">
        <v>53</v>
      </c>
      <c r="B62" s="1130"/>
      <c r="C62" s="1141">
        <v>6</v>
      </c>
      <c r="D62" s="1142" t="s">
        <v>803</v>
      </c>
      <c r="E62" s="1133"/>
      <c r="F62" s="1143"/>
      <c r="G62" s="1144"/>
      <c r="H62" s="1145"/>
      <c r="I62" s="1146"/>
      <c r="J62" s="1147">
        <v>300</v>
      </c>
      <c r="K62" s="1158"/>
    </row>
    <row r="63" spans="1:11" ht="18" customHeight="1" x14ac:dyDescent="0.3">
      <c r="A63" s="1129">
        <v>54</v>
      </c>
      <c r="B63" s="1130"/>
      <c r="C63" s="1159" t="s">
        <v>319</v>
      </c>
      <c r="D63" s="1164"/>
      <c r="E63" s="1133"/>
      <c r="F63" s="1134">
        <v>60</v>
      </c>
      <c r="G63" s="1135">
        <v>100</v>
      </c>
      <c r="H63" s="1136">
        <v>371</v>
      </c>
      <c r="I63" s="1146"/>
      <c r="J63" s="1147"/>
      <c r="K63" s="1158"/>
    </row>
    <row r="64" spans="1:11" ht="30" customHeight="1" x14ac:dyDescent="0.3">
      <c r="A64" s="1129">
        <v>55</v>
      </c>
      <c r="B64" s="1130"/>
      <c r="C64" s="1141">
        <v>7</v>
      </c>
      <c r="D64" s="1142" t="s">
        <v>647</v>
      </c>
      <c r="E64" s="1133"/>
      <c r="F64" s="1143"/>
      <c r="G64" s="1144"/>
      <c r="H64" s="1145"/>
      <c r="I64" s="1146"/>
      <c r="J64" s="1147">
        <v>250</v>
      </c>
      <c r="K64" s="1158"/>
    </row>
    <row r="65" spans="1:11" ht="18" customHeight="1" x14ac:dyDescent="0.3">
      <c r="A65" s="1129">
        <v>56</v>
      </c>
      <c r="B65" s="1130"/>
      <c r="C65" s="1159" t="s">
        <v>253</v>
      </c>
      <c r="D65" s="1160"/>
      <c r="E65" s="1133"/>
      <c r="F65" s="1134">
        <v>21889</v>
      </c>
      <c r="G65" s="1135">
        <v>4029</v>
      </c>
      <c r="H65" s="1136">
        <f>8027-1666</f>
        <v>6361</v>
      </c>
      <c r="I65" s="1137"/>
      <c r="J65" s="1138"/>
      <c r="K65" s="1152"/>
    </row>
    <row r="66" spans="1:11" ht="18" customHeight="1" x14ac:dyDescent="0.3">
      <c r="A66" s="1129">
        <v>57</v>
      </c>
      <c r="B66" s="1130"/>
      <c r="C66" s="1167" t="s">
        <v>473</v>
      </c>
      <c r="D66" s="1160"/>
      <c r="E66" s="1133"/>
      <c r="F66" s="1134"/>
      <c r="G66" s="1135"/>
      <c r="H66" s="1136"/>
      <c r="I66" s="1137"/>
      <c r="J66" s="1138"/>
      <c r="K66" s="1152"/>
    </row>
    <row r="67" spans="1:11" ht="18" customHeight="1" x14ac:dyDescent="0.3">
      <c r="A67" s="1129">
        <v>58</v>
      </c>
      <c r="B67" s="1130"/>
      <c r="C67" s="1141">
        <v>22</v>
      </c>
      <c r="D67" s="1142" t="s">
        <v>648</v>
      </c>
      <c r="E67" s="1133"/>
      <c r="F67" s="1134"/>
      <c r="G67" s="1135"/>
      <c r="H67" s="1136"/>
      <c r="I67" s="1137"/>
      <c r="J67" s="1147">
        <v>4750</v>
      </c>
      <c r="K67" s="1158">
        <v>1892</v>
      </c>
    </row>
    <row r="68" spans="1:11" ht="30" customHeight="1" x14ac:dyDescent="0.3">
      <c r="A68" s="1129">
        <v>59</v>
      </c>
      <c r="B68" s="1130"/>
      <c r="C68" s="1141">
        <v>23</v>
      </c>
      <c r="D68" s="1142" t="s">
        <v>587</v>
      </c>
      <c r="E68" s="1133"/>
      <c r="F68" s="1134"/>
      <c r="G68" s="1135"/>
      <c r="H68" s="1136">
        <v>1666</v>
      </c>
      <c r="I68" s="1146">
        <v>2334</v>
      </c>
      <c r="J68" s="1147">
        <v>1210</v>
      </c>
      <c r="K68" s="1158">
        <v>1210</v>
      </c>
    </row>
    <row r="69" spans="1:11" ht="20.25" customHeight="1" x14ac:dyDescent="0.3">
      <c r="A69" s="1129">
        <v>60</v>
      </c>
      <c r="B69" s="1130"/>
      <c r="C69" s="1141">
        <v>24</v>
      </c>
      <c r="D69" s="1142" t="s">
        <v>714</v>
      </c>
      <c r="E69" s="1133"/>
      <c r="F69" s="1134"/>
      <c r="G69" s="1135"/>
      <c r="H69" s="1136"/>
      <c r="I69" s="1146"/>
      <c r="J69" s="1147">
        <v>1700</v>
      </c>
      <c r="K69" s="1158"/>
    </row>
    <row r="70" spans="1:11" s="1140" customFormat="1" ht="22.5" customHeight="1" x14ac:dyDescent="0.3">
      <c r="A70" s="1129">
        <v>61</v>
      </c>
      <c r="B70" s="1130">
        <v>8</v>
      </c>
      <c r="C70" s="1153" t="s">
        <v>94</v>
      </c>
      <c r="D70" s="1132"/>
      <c r="E70" s="1133" t="s">
        <v>23</v>
      </c>
      <c r="F70" s="1134">
        <v>875</v>
      </c>
      <c r="G70" s="1135">
        <v>500</v>
      </c>
      <c r="H70" s="1136">
        <v>971</v>
      </c>
      <c r="I70" s="1137"/>
      <c r="J70" s="1138"/>
      <c r="K70" s="1154"/>
    </row>
    <row r="71" spans="1:11" ht="18" customHeight="1" x14ac:dyDescent="0.3">
      <c r="A71" s="1129">
        <v>62</v>
      </c>
      <c r="B71" s="1130"/>
      <c r="C71" s="1149">
        <v>2</v>
      </c>
      <c r="D71" s="1142" t="s">
        <v>650</v>
      </c>
      <c r="E71" s="1133"/>
      <c r="F71" s="1143"/>
      <c r="G71" s="1144"/>
      <c r="H71" s="1145"/>
      <c r="I71" s="1146">
        <v>1200</v>
      </c>
      <c r="J71" s="1147">
        <v>100</v>
      </c>
      <c r="K71" s="1158"/>
    </row>
    <row r="72" spans="1:11" ht="18" customHeight="1" x14ac:dyDescent="0.3">
      <c r="A72" s="1129">
        <v>63</v>
      </c>
      <c r="B72" s="1130"/>
      <c r="C72" s="1149">
        <v>3</v>
      </c>
      <c r="D72" s="1142" t="s">
        <v>651</v>
      </c>
      <c r="E72" s="1133"/>
      <c r="F72" s="1143"/>
      <c r="G72" s="1144"/>
      <c r="H72" s="1145"/>
      <c r="I72" s="1146"/>
      <c r="J72" s="1147">
        <v>1300</v>
      </c>
      <c r="K72" s="1158">
        <v>877</v>
      </c>
    </row>
    <row r="73" spans="1:11" ht="18" customHeight="1" x14ac:dyDescent="0.3">
      <c r="A73" s="1129">
        <v>64</v>
      </c>
      <c r="B73" s="1130"/>
      <c r="C73" s="1149">
        <v>4</v>
      </c>
      <c r="D73" s="1142" t="s">
        <v>649</v>
      </c>
      <c r="E73" s="1133"/>
      <c r="F73" s="1143"/>
      <c r="G73" s="1144"/>
      <c r="H73" s="1145"/>
      <c r="I73" s="1146"/>
      <c r="J73" s="1147">
        <v>300</v>
      </c>
      <c r="K73" s="1158">
        <v>260</v>
      </c>
    </row>
    <row r="74" spans="1:11" s="1140" customFormat="1" ht="22.5" customHeight="1" x14ac:dyDescent="0.3">
      <c r="A74" s="1129">
        <v>65</v>
      </c>
      <c r="B74" s="1130">
        <v>9</v>
      </c>
      <c r="C74" s="1153" t="s">
        <v>284</v>
      </c>
      <c r="D74" s="1132"/>
      <c r="E74" s="1133" t="s">
        <v>23</v>
      </c>
      <c r="F74" s="1134">
        <v>940</v>
      </c>
      <c r="G74" s="1135">
        <v>500</v>
      </c>
      <c r="H74" s="1136">
        <v>1534</v>
      </c>
      <c r="I74" s="1137"/>
      <c r="J74" s="1138"/>
      <c r="K74" s="1154"/>
    </row>
    <row r="75" spans="1:11" ht="18" customHeight="1" x14ac:dyDescent="0.3">
      <c r="A75" s="1129">
        <v>66</v>
      </c>
      <c r="B75" s="1130"/>
      <c r="C75" s="1149">
        <v>5</v>
      </c>
      <c r="D75" s="1142" t="s">
        <v>804</v>
      </c>
      <c r="E75" s="1133"/>
      <c r="F75" s="1143"/>
      <c r="G75" s="1144"/>
      <c r="H75" s="1145"/>
      <c r="I75" s="1146">
        <v>1550</v>
      </c>
      <c r="J75" s="1147">
        <v>50</v>
      </c>
      <c r="K75" s="1158"/>
    </row>
    <row r="76" spans="1:11" ht="18" customHeight="1" x14ac:dyDescent="0.3">
      <c r="A76" s="1129">
        <v>67</v>
      </c>
      <c r="B76" s="1130"/>
      <c r="C76" s="1168">
        <v>6</v>
      </c>
      <c r="D76" s="1142" t="s">
        <v>692</v>
      </c>
      <c r="E76" s="1133"/>
      <c r="F76" s="1143"/>
      <c r="G76" s="1144"/>
      <c r="H76" s="1145"/>
      <c r="I76" s="1146"/>
      <c r="J76" s="1147">
        <v>800</v>
      </c>
      <c r="K76" s="1148"/>
    </row>
    <row r="77" spans="1:11" ht="46.5" customHeight="1" x14ac:dyDescent="0.3">
      <c r="A77" s="1129">
        <v>68</v>
      </c>
      <c r="B77" s="1130"/>
      <c r="C77" s="1169">
        <v>1</v>
      </c>
      <c r="D77" s="1142" t="s">
        <v>734</v>
      </c>
      <c r="E77" s="1133"/>
      <c r="F77" s="1143"/>
      <c r="G77" s="1144"/>
      <c r="H77" s="1145"/>
      <c r="I77" s="1146"/>
      <c r="J77" s="1147">
        <v>1650</v>
      </c>
      <c r="K77" s="1158">
        <v>105</v>
      </c>
    </row>
    <row r="78" spans="1:11" s="1140" customFormat="1" ht="22.5" customHeight="1" x14ac:dyDescent="0.3">
      <c r="A78" s="1129">
        <v>69</v>
      </c>
      <c r="B78" s="1130">
        <v>10</v>
      </c>
      <c r="C78" s="1131" t="s">
        <v>285</v>
      </c>
      <c r="D78" s="1132"/>
      <c r="E78" s="1133" t="s">
        <v>23</v>
      </c>
      <c r="F78" s="1134">
        <v>54822</v>
      </c>
      <c r="G78" s="1135">
        <v>24882</v>
      </c>
      <c r="H78" s="1136">
        <v>41699</v>
      </c>
      <c r="I78" s="1137"/>
      <c r="J78" s="1138"/>
      <c r="K78" s="1154"/>
    </row>
    <row r="79" spans="1:11" ht="18" customHeight="1" x14ac:dyDescent="0.3">
      <c r="A79" s="1129">
        <v>70</v>
      </c>
      <c r="B79" s="1130"/>
      <c r="C79" s="1149">
        <v>1</v>
      </c>
      <c r="D79" s="1142" t="s">
        <v>693</v>
      </c>
      <c r="E79" s="1133"/>
      <c r="F79" s="1143"/>
      <c r="G79" s="1144"/>
      <c r="H79" s="1145"/>
      <c r="I79" s="1146"/>
      <c r="J79" s="1147">
        <v>4220</v>
      </c>
      <c r="K79" s="1158"/>
    </row>
    <row r="80" spans="1:11" ht="18" customHeight="1" x14ac:dyDescent="0.3">
      <c r="A80" s="1129">
        <v>71</v>
      </c>
      <c r="B80" s="1130"/>
      <c r="C80" s="1149">
        <v>2</v>
      </c>
      <c r="D80" s="1142" t="s">
        <v>642</v>
      </c>
      <c r="E80" s="1133"/>
      <c r="F80" s="1143"/>
      <c r="G80" s="1144"/>
      <c r="H80" s="1145"/>
      <c r="I80" s="1146"/>
      <c r="J80" s="1147">
        <v>3000</v>
      </c>
      <c r="K80" s="1158">
        <v>1309</v>
      </c>
    </row>
    <row r="81" spans="1:11" ht="30" customHeight="1" x14ac:dyDescent="0.3">
      <c r="A81" s="1129">
        <v>72</v>
      </c>
      <c r="B81" s="1130"/>
      <c r="C81" s="1149">
        <v>3</v>
      </c>
      <c r="D81" s="1142" t="s">
        <v>646</v>
      </c>
      <c r="E81" s="1133"/>
      <c r="F81" s="1143"/>
      <c r="G81" s="1144"/>
      <c r="H81" s="1145"/>
      <c r="I81" s="1146"/>
      <c r="J81" s="1147">
        <v>6700</v>
      </c>
      <c r="K81" s="1158"/>
    </row>
    <row r="82" spans="1:11" ht="18" customHeight="1" x14ac:dyDescent="0.3">
      <c r="A82" s="1129">
        <v>73</v>
      </c>
      <c r="B82" s="1130"/>
      <c r="C82" s="1149">
        <v>4</v>
      </c>
      <c r="D82" s="1142" t="s">
        <v>643</v>
      </c>
      <c r="E82" s="1133"/>
      <c r="F82" s="1143"/>
      <c r="G82" s="1144"/>
      <c r="H82" s="1145"/>
      <c r="I82" s="1146"/>
      <c r="J82" s="1147">
        <v>1000</v>
      </c>
      <c r="K82" s="1158"/>
    </row>
    <row r="83" spans="1:11" ht="18" customHeight="1" x14ac:dyDescent="0.3">
      <c r="A83" s="1129">
        <v>74</v>
      </c>
      <c r="B83" s="1130"/>
      <c r="C83" s="1149">
        <v>5</v>
      </c>
      <c r="D83" s="1142" t="s">
        <v>644</v>
      </c>
      <c r="E83" s="1133"/>
      <c r="F83" s="1143"/>
      <c r="G83" s="1144"/>
      <c r="H83" s="1145"/>
      <c r="I83" s="1146"/>
      <c r="J83" s="1147">
        <v>500</v>
      </c>
      <c r="K83" s="1158"/>
    </row>
    <row r="84" spans="1:11" ht="18" customHeight="1" x14ac:dyDescent="0.3">
      <c r="A84" s="1129">
        <v>75</v>
      </c>
      <c r="B84" s="1130"/>
      <c r="C84" s="1149">
        <v>6</v>
      </c>
      <c r="D84" s="1142" t="s">
        <v>645</v>
      </c>
      <c r="E84" s="1133"/>
      <c r="F84" s="1143"/>
      <c r="G84" s="1144"/>
      <c r="H84" s="1145"/>
      <c r="I84" s="1146"/>
      <c r="J84" s="1147">
        <v>2000</v>
      </c>
      <c r="K84" s="1158">
        <v>469</v>
      </c>
    </row>
    <row r="85" spans="1:11" ht="18" customHeight="1" x14ac:dyDescent="0.3">
      <c r="A85" s="1129">
        <v>76</v>
      </c>
      <c r="B85" s="1130"/>
      <c r="C85" s="1149">
        <v>7</v>
      </c>
      <c r="D85" s="1142" t="s">
        <v>689</v>
      </c>
      <c r="E85" s="1133"/>
      <c r="F85" s="1143"/>
      <c r="G85" s="1144"/>
      <c r="H85" s="1145"/>
      <c r="I85" s="1146"/>
      <c r="J85" s="1147">
        <v>1780</v>
      </c>
      <c r="K85" s="1158">
        <v>1733</v>
      </c>
    </row>
    <row r="86" spans="1:11" s="1140" customFormat="1" ht="22.5" customHeight="1" x14ac:dyDescent="0.3">
      <c r="A86" s="1129">
        <v>77</v>
      </c>
      <c r="B86" s="1130">
        <v>11</v>
      </c>
      <c r="C86" s="1153" t="s">
        <v>282</v>
      </c>
      <c r="D86" s="1132"/>
      <c r="E86" s="1133" t="s">
        <v>23</v>
      </c>
      <c r="F86" s="1134">
        <v>80205</v>
      </c>
      <c r="G86" s="1135">
        <v>15139</v>
      </c>
      <c r="H86" s="1136">
        <v>6879</v>
      </c>
      <c r="I86" s="1137"/>
      <c r="J86" s="1138"/>
      <c r="K86" s="1154"/>
    </row>
    <row r="87" spans="1:11" s="1140" customFormat="1" ht="29.25" customHeight="1" x14ac:dyDescent="0.3">
      <c r="A87" s="1129">
        <v>78</v>
      </c>
      <c r="B87" s="1130"/>
      <c r="C87" s="1141">
        <v>1</v>
      </c>
      <c r="D87" s="1160" t="s">
        <v>698</v>
      </c>
      <c r="E87" s="1133"/>
      <c r="F87" s="1134"/>
      <c r="G87" s="1135"/>
      <c r="H87" s="1136"/>
      <c r="I87" s="1137"/>
      <c r="J87" s="1147">
        <v>1200</v>
      </c>
      <c r="K87" s="1158">
        <v>1009</v>
      </c>
    </row>
    <row r="88" spans="1:11" ht="18" customHeight="1" x14ac:dyDescent="0.3">
      <c r="A88" s="1129">
        <v>79</v>
      </c>
      <c r="B88" s="1130"/>
      <c r="C88" s="1149">
        <v>19</v>
      </c>
      <c r="D88" s="1160" t="s">
        <v>589</v>
      </c>
      <c r="E88" s="1133"/>
      <c r="F88" s="1134"/>
      <c r="G88" s="1135"/>
      <c r="H88" s="1136"/>
      <c r="I88" s="1146">
        <v>800</v>
      </c>
      <c r="J88" s="1147">
        <v>800</v>
      </c>
      <c r="K88" s="1158">
        <v>800</v>
      </c>
    </row>
    <row r="89" spans="1:11" ht="18" customHeight="1" x14ac:dyDescent="0.3">
      <c r="A89" s="1129">
        <v>80</v>
      </c>
      <c r="B89" s="1130"/>
      <c r="C89" s="1149">
        <v>20</v>
      </c>
      <c r="D89" s="1160" t="s">
        <v>590</v>
      </c>
      <c r="E89" s="1133"/>
      <c r="F89" s="1134"/>
      <c r="G89" s="1135"/>
      <c r="H89" s="1136"/>
      <c r="I89" s="1146">
        <v>500</v>
      </c>
      <c r="J89" s="1147">
        <v>500</v>
      </c>
      <c r="K89" s="1158"/>
    </row>
    <row r="90" spans="1:11" ht="30" customHeight="1" x14ac:dyDescent="0.3">
      <c r="A90" s="1129">
        <v>81</v>
      </c>
      <c r="B90" s="1130"/>
      <c r="C90" s="1141">
        <v>21</v>
      </c>
      <c r="D90" s="1160" t="s">
        <v>591</v>
      </c>
      <c r="E90" s="1133"/>
      <c r="F90" s="1134"/>
      <c r="G90" s="1135"/>
      <c r="H90" s="1136"/>
      <c r="I90" s="1146">
        <v>300</v>
      </c>
      <c r="J90" s="1147">
        <v>300</v>
      </c>
      <c r="K90" s="1158"/>
    </row>
    <row r="91" spans="1:11" ht="30" customHeight="1" x14ac:dyDescent="0.3">
      <c r="A91" s="1129">
        <v>82</v>
      </c>
      <c r="B91" s="1130"/>
      <c r="C91" s="1141">
        <v>22</v>
      </c>
      <c r="D91" s="1160" t="s">
        <v>592</v>
      </c>
      <c r="E91" s="1133"/>
      <c r="F91" s="1134"/>
      <c r="G91" s="1135"/>
      <c r="H91" s="1136"/>
      <c r="I91" s="1146">
        <v>500</v>
      </c>
      <c r="J91" s="1147">
        <v>500</v>
      </c>
      <c r="K91" s="1158"/>
    </row>
    <row r="92" spans="1:11" s="1140" customFormat="1" ht="22.5" customHeight="1" x14ac:dyDescent="0.3">
      <c r="A92" s="1129">
        <v>83</v>
      </c>
      <c r="B92" s="1130">
        <v>12</v>
      </c>
      <c r="C92" s="1153" t="s">
        <v>620</v>
      </c>
      <c r="D92" s="1132"/>
      <c r="E92" s="1133" t="s">
        <v>23</v>
      </c>
      <c r="F92" s="1134">
        <v>30695</v>
      </c>
      <c r="G92" s="1135">
        <v>3140</v>
      </c>
      <c r="H92" s="1136"/>
      <c r="I92" s="1137"/>
      <c r="J92" s="1138"/>
      <c r="K92" s="1161"/>
    </row>
    <row r="93" spans="1:11" ht="30" x14ac:dyDescent="0.3">
      <c r="A93" s="1129">
        <v>84</v>
      </c>
      <c r="B93" s="1130"/>
      <c r="C93" s="1141">
        <v>1</v>
      </c>
      <c r="D93" s="1160" t="s">
        <v>357</v>
      </c>
      <c r="E93" s="1133"/>
      <c r="F93" s="1134">
        <v>15309</v>
      </c>
      <c r="G93" s="1147">
        <v>11550</v>
      </c>
      <c r="H93" s="1136">
        <v>15778</v>
      </c>
      <c r="I93" s="1146">
        <v>11550</v>
      </c>
      <c r="J93" s="1147">
        <v>12550</v>
      </c>
      <c r="K93" s="1158">
        <v>6609</v>
      </c>
    </row>
    <row r="94" spans="1:11" ht="28.5" customHeight="1" x14ac:dyDescent="0.3">
      <c r="A94" s="1129">
        <v>85</v>
      </c>
      <c r="B94" s="1130"/>
      <c r="C94" s="1141">
        <v>2</v>
      </c>
      <c r="D94" s="1160" t="s">
        <v>621</v>
      </c>
      <c r="E94" s="1133"/>
      <c r="F94" s="1134">
        <v>56284</v>
      </c>
      <c r="G94" s="1147">
        <v>55030</v>
      </c>
      <c r="H94" s="1136">
        <v>55319</v>
      </c>
      <c r="I94" s="1146">
        <v>55030</v>
      </c>
      <c r="J94" s="1147">
        <v>55030</v>
      </c>
      <c r="K94" s="1158">
        <v>28251</v>
      </c>
    </row>
    <row r="95" spans="1:11" ht="18" customHeight="1" x14ac:dyDescent="0.3">
      <c r="A95" s="1129">
        <v>86</v>
      </c>
      <c r="B95" s="1130"/>
      <c r="C95" s="1149">
        <v>4</v>
      </c>
      <c r="D95" s="1160" t="s">
        <v>740</v>
      </c>
      <c r="E95" s="1133"/>
      <c r="F95" s="1134"/>
      <c r="G95" s="1135">
        <v>7461</v>
      </c>
      <c r="H95" s="1136">
        <v>7555</v>
      </c>
      <c r="I95" s="1146">
        <v>2808</v>
      </c>
      <c r="J95" s="1147">
        <v>2200</v>
      </c>
      <c r="K95" s="1158">
        <v>2205</v>
      </c>
    </row>
    <row r="96" spans="1:11" ht="30" x14ac:dyDescent="0.3">
      <c r="A96" s="1129">
        <v>87</v>
      </c>
      <c r="B96" s="1130"/>
      <c r="C96" s="1141">
        <v>10</v>
      </c>
      <c r="D96" s="1160" t="s">
        <v>599</v>
      </c>
      <c r="E96" s="1133"/>
      <c r="F96" s="1134">
        <v>1244</v>
      </c>
      <c r="G96" s="1135">
        <v>1200</v>
      </c>
      <c r="H96" s="1136">
        <v>1260</v>
      </c>
      <c r="I96" s="1146">
        <v>1200</v>
      </c>
      <c r="J96" s="1147">
        <v>1200</v>
      </c>
      <c r="K96" s="1158">
        <v>1260</v>
      </c>
    </row>
    <row r="97" spans="1:11" ht="30" x14ac:dyDescent="0.3">
      <c r="A97" s="1129">
        <v>88</v>
      </c>
      <c r="B97" s="1130"/>
      <c r="C97" s="1141">
        <v>11</v>
      </c>
      <c r="D97" s="1142" t="s">
        <v>652</v>
      </c>
      <c r="E97" s="1133"/>
      <c r="F97" s="1134"/>
      <c r="G97" s="1135"/>
      <c r="H97" s="1136">
        <v>613</v>
      </c>
      <c r="I97" s="1146"/>
      <c r="J97" s="1147">
        <v>4875</v>
      </c>
      <c r="K97" s="1158">
        <v>568</v>
      </c>
    </row>
    <row r="98" spans="1:11" ht="45" x14ac:dyDescent="0.3">
      <c r="A98" s="1129">
        <v>89</v>
      </c>
      <c r="B98" s="1130"/>
      <c r="C98" s="1141">
        <v>12</v>
      </c>
      <c r="D98" s="1142" t="s">
        <v>653</v>
      </c>
      <c r="E98" s="1133"/>
      <c r="F98" s="1134"/>
      <c r="G98" s="1135"/>
      <c r="H98" s="1136">
        <v>1755</v>
      </c>
      <c r="I98" s="1146"/>
      <c r="J98" s="1147">
        <v>5895</v>
      </c>
      <c r="K98" s="1158">
        <v>1409</v>
      </c>
    </row>
    <row r="99" spans="1:11" x14ac:dyDescent="0.3">
      <c r="A99" s="1129">
        <v>90</v>
      </c>
      <c r="B99" s="1130"/>
      <c r="C99" s="1141">
        <v>14</v>
      </c>
      <c r="D99" s="1142" t="s">
        <v>678</v>
      </c>
      <c r="E99" s="1133"/>
      <c r="F99" s="1134"/>
      <c r="G99" s="1135"/>
      <c r="H99" s="1136">
        <v>3373</v>
      </c>
      <c r="I99" s="1146"/>
      <c r="J99" s="1147"/>
      <c r="K99" s="1158"/>
    </row>
    <row r="100" spans="1:11" x14ac:dyDescent="0.3">
      <c r="A100" s="1129">
        <v>91</v>
      </c>
      <c r="B100" s="1130"/>
      <c r="C100" s="1141">
        <v>15</v>
      </c>
      <c r="D100" s="1142" t="s">
        <v>654</v>
      </c>
      <c r="E100" s="1133"/>
      <c r="F100" s="1134"/>
      <c r="G100" s="1135"/>
      <c r="H100" s="1136"/>
      <c r="I100" s="1146"/>
      <c r="J100" s="1147">
        <v>5230</v>
      </c>
      <c r="K100" s="1158"/>
    </row>
    <row r="101" spans="1:11" ht="32.25" customHeight="1" x14ac:dyDescent="0.3">
      <c r="A101" s="1129">
        <v>92</v>
      </c>
      <c r="B101" s="1130"/>
      <c r="C101" s="1141">
        <v>16</v>
      </c>
      <c r="D101" s="1142" t="s">
        <v>684</v>
      </c>
      <c r="E101" s="1133"/>
      <c r="F101" s="1134"/>
      <c r="G101" s="1135"/>
      <c r="H101" s="1136"/>
      <c r="I101" s="1146"/>
      <c r="J101" s="1147">
        <v>300</v>
      </c>
      <c r="K101" s="1158"/>
    </row>
    <row r="102" spans="1:11" s="1140" customFormat="1" ht="22.5" customHeight="1" x14ac:dyDescent="0.3">
      <c r="A102" s="1129">
        <v>93</v>
      </c>
      <c r="B102" s="1130">
        <v>13</v>
      </c>
      <c r="C102" s="1153" t="s">
        <v>30</v>
      </c>
      <c r="D102" s="1132"/>
      <c r="E102" s="1133" t="s">
        <v>23</v>
      </c>
      <c r="F102" s="1134">
        <v>57065</v>
      </c>
      <c r="G102" s="1135">
        <v>127833</v>
      </c>
      <c r="H102" s="1136">
        <v>147101</v>
      </c>
      <c r="I102" s="1137"/>
      <c r="J102" s="1138"/>
      <c r="K102" s="1161"/>
    </row>
    <row r="103" spans="1:11" ht="18" customHeight="1" x14ac:dyDescent="0.3">
      <c r="A103" s="1129">
        <v>94</v>
      </c>
      <c r="B103" s="1130"/>
      <c r="C103" s="1149">
        <v>3</v>
      </c>
      <c r="D103" s="1160" t="s">
        <v>474</v>
      </c>
      <c r="E103" s="1133"/>
      <c r="F103" s="1134"/>
      <c r="G103" s="1135"/>
      <c r="H103" s="1136"/>
      <c r="I103" s="1146">
        <v>5000</v>
      </c>
      <c r="J103" s="1147">
        <v>6000</v>
      </c>
      <c r="K103" s="1158"/>
    </row>
    <row r="104" spans="1:11" ht="18" customHeight="1" x14ac:dyDescent="0.3">
      <c r="A104" s="1129">
        <v>95</v>
      </c>
      <c r="B104" s="1130"/>
      <c r="C104" s="1149">
        <v>8</v>
      </c>
      <c r="D104" s="1160" t="s">
        <v>475</v>
      </c>
      <c r="E104" s="1133"/>
      <c r="F104" s="1134"/>
      <c r="G104" s="1135"/>
      <c r="H104" s="1136"/>
      <c r="I104" s="1146">
        <v>2400</v>
      </c>
      <c r="J104" s="1147">
        <v>3400</v>
      </c>
      <c r="K104" s="1158">
        <v>267</v>
      </c>
    </row>
    <row r="105" spans="1:11" ht="18" customHeight="1" x14ac:dyDescent="0.3">
      <c r="A105" s="1129">
        <v>96</v>
      </c>
      <c r="B105" s="1130"/>
      <c r="C105" s="1149">
        <v>41</v>
      </c>
      <c r="D105" s="1142" t="s">
        <v>655</v>
      </c>
      <c r="E105" s="1133"/>
      <c r="F105" s="1134"/>
      <c r="G105" s="1135"/>
      <c r="H105" s="1136"/>
      <c r="I105" s="1146"/>
      <c r="J105" s="1147">
        <v>4000</v>
      </c>
      <c r="K105" s="1158"/>
    </row>
    <row r="106" spans="1:11" ht="18" customHeight="1" x14ac:dyDescent="0.3">
      <c r="A106" s="1129">
        <v>97</v>
      </c>
      <c r="B106" s="1130"/>
      <c r="C106" s="1149">
        <v>42</v>
      </c>
      <c r="D106" s="1142" t="s">
        <v>805</v>
      </c>
      <c r="E106" s="1133"/>
      <c r="F106" s="1134"/>
      <c r="G106" s="1135"/>
      <c r="H106" s="1136"/>
      <c r="I106" s="1146"/>
      <c r="J106" s="1147">
        <v>2540</v>
      </c>
      <c r="K106" s="1158"/>
    </row>
    <row r="107" spans="1:11" s="1140" customFormat="1" ht="22.5" customHeight="1" x14ac:dyDescent="0.3">
      <c r="A107" s="1129">
        <v>98</v>
      </c>
      <c r="B107" s="1130">
        <v>14</v>
      </c>
      <c r="C107" s="1153" t="s">
        <v>283</v>
      </c>
      <c r="D107" s="1132"/>
      <c r="E107" s="1133" t="s">
        <v>24</v>
      </c>
      <c r="F107" s="1134">
        <v>18752</v>
      </c>
      <c r="G107" s="1135">
        <v>1610</v>
      </c>
      <c r="H107" s="1136">
        <v>35373</v>
      </c>
      <c r="I107" s="1137"/>
      <c r="J107" s="1138"/>
      <c r="K107" s="1161"/>
    </row>
    <row r="108" spans="1:11" ht="18" customHeight="1" x14ac:dyDescent="0.3">
      <c r="A108" s="1129">
        <v>99</v>
      </c>
      <c r="B108" s="1130"/>
      <c r="C108" s="1149">
        <v>1</v>
      </c>
      <c r="D108" s="1160" t="s">
        <v>588</v>
      </c>
      <c r="E108" s="1133"/>
      <c r="F108" s="1134"/>
      <c r="G108" s="1135"/>
      <c r="H108" s="1136"/>
      <c r="I108" s="1146">
        <v>600</v>
      </c>
      <c r="J108" s="1147">
        <v>600</v>
      </c>
      <c r="K108" s="1148">
        <v>308</v>
      </c>
    </row>
    <row r="109" spans="1:11" ht="63" customHeight="1" x14ac:dyDescent="0.3">
      <c r="A109" s="1129">
        <v>100</v>
      </c>
      <c r="B109" s="1130"/>
      <c r="C109" s="1141">
        <v>2</v>
      </c>
      <c r="D109" s="1160" t="s">
        <v>715</v>
      </c>
      <c r="E109" s="1133"/>
      <c r="F109" s="1134"/>
      <c r="G109" s="1135"/>
      <c r="H109" s="1136"/>
      <c r="I109" s="1146"/>
      <c r="J109" s="1147">
        <v>1520</v>
      </c>
      <c r="K109" s="1170">
        <v>676</v>
      </c>
    </row>
    <row r="110" spans="1:11" ht="18" customHeight="1" x14ac:dyDescent="0.3">
      <c r="A110" s="1129">
        <v>101</v>
      </c>
      <c r="B110" s="1130"/>
      <c r="C110" s="1149">
        <v>11</v>
      </c>
      <c r="D110" s="1160" t="s">
        <v>593</v>
      </c>
      <c r="E110" s="1133"/>
      <c r="F110" s="1134"/>
      <c r="G110" s="1135"/>
      <c r="H110" s="1136"/>
      <c r="I110" s="1146">
        <v>14484</v>
      </c>
      <c r="J110" s="1147">
        <v>14182</v>
      </c>
      <c r="K110" s="1158">
        <v>14182</v>
      </c>
    </row>
    <row r="111" spans="1:11" ht="18" customHeight="1" x14ac:dyDescent="0.3">
      <c r="A111" s="1129">
        <v>102</v>
      </c>
      <c r="B111" s="1130"/>
      <c r="C111" s="1149">
        <v>12</v>
      </c>
      <c r="D111" s="1160" t="s">
        <v>594</v>
      </c>
      <c r="E111" s="1133"/>
      <c r="F111" s="1134"/>
      <c r="G111" s="1135"/>
      <c r="H111" s="1136"/>
      <c r="I111" s="1146">
        <v>750</v>
      </c>
      <c r="J111" s="1147">
        <v>732</v>
      </c>
      <c r="K111" s="1152">
        <v>732</v>
      </c>
    </row>
    <row r="112" spans="1:11" ht="18" customHeight="1" x14ac:dyDescent="0.3">
      <c r="A112" s="1129">
        <v>103</v>
      </c>
      <c r="B112" s="1130"/>
      <c r="C112" s="1149">
        <v>13</v>
      </c>
      <c r="D112" s="1142" t="s">
        <v>657</v>
      </c>
      <c r="E112" s="1133"/>
      <c r="F112" s="1134"/>
      <c r="G112" s="1135"/>
      <c r="H112" s="1136"/>
      <c r="I112" s="1146"/>
      <c r="J112" s="1147">
        <v>7000</v>
      </c>
      <c r="K112" s="1158">
        <v>6500</v>
      </c>
    </row>
    <row r="113" spans="1:11" ht="18" customHeight="1" x14ac:dyDescent="0.3">
      <c r="A113" s="1129">
        <v>104</v>
      </c>
      <c r="B113" s="1130"/>
      <c r="C113" s="1149">
        <v>14</v>
      </c>
      <c r="D113" s="1142" t="s">
        <v>656</v>
      </c>
      <c r="E113" s="1133"/>
      <c r="F113" s="1134"/>
      <c r="G113" s="1135"/>
      <c r="H113" s="1136"/>
      <c r="I113" s="1146"/>
      <c r="J113" s="1147">
        <v>2200</v>
      </c>
      <c r="K113" s="1170"/>
    </row>
    <row r="114" spans="1:11" s="1140" customFormat="1" ht="22.5" customHeight="1" x14ac:dyDescent="0.3">
      <c r="A114" s="1129">
        <v>105</v>
      </c>
      <c r="B114" s="1130">
        <v>15</v>
      </c>
      <c r="C114" s="1153" t="s">
        <v>114</v>
      </c>
      <c r="D114" s="1132"/>
      <c r="E114" s="1133" t="s">
        <v>24</v>
      </c>
      <c r="F114" s="1134">
        <v>85619</v>
      </c>
      <c r="G114" s="1135">
        <v>4000</v>
      </c>
      <c r="H114" s="1136">
        <v>44997</v>
      </c>
      <c r="I114" s="1137"/>
      <c r="J114" s="1138"/>
      <c r="K114" s="1154"/>
    </row>
    <row r="115" spans="1:11" ht="94.5" customHeight="1" x14ac:dyDescent="0.3">
      <c r="A115" s="1129">
        <v>106</v>
      </c>
      <c r="B115" s="1130"/>
      <c r="C115" s="1141">
        <v>1</v>
      </c>
      <c r="D115" s="1160" t="s">
        <v>694</v>
      </c>
      <c r="E115" s="1133"/>
      <c r="F115" s="1134"/>
      <c r="G115" s="1135"/>
      <c r="H115" s="1136"/>
      <c r="I115" s="1146">
        <v>4352</v>
      </c>
      <c r="J115" s="1147">
        <v>8732</v>
      </c>
      <c r="K115" s="1158">
        <f>5444-302</f>
        <v>5142</v>
      </c>
    </row>
    <row r="116" spans="1:11" ht="18" customHeight="1" x14ac:dyDescent="0.3">
      <c r="A116" s="1129">
        <v>107</v>
      </c>
      <c r="B116" s="1130"/>
      <c r="C116" s="1168">
        <v>9</v>
      </c>
      <c r="D116" s="1142" t="s">
        <v>662</v>
      </c>
      <c r="E116" s="1133"/>
      <c r="F116" s="1134"/>
      <c r="G116" s="1135"/>
      <c r="H116" s="1136"/>
      <c r="I116" s="1146"/>
      <c r="J116" s="1147">
        <v>2520</v>
      </c>
      <c r="K116" s="1158"/>
    </row>
    <row r="117" spans="1:11" ht="18" customHeight="1" x14ac:dyDescent="0.3">
      <c r="A117" s="1129">
        <v>108</v>
      </c>
      <c r="B117" s="1130"/>
      <c r="C117" s="1168">
        <v>10</v>
      </c>
      <c r="D117" s="1142" t="s">
        <v>663</v>
      </c>
      <c r="E117" s="1133"/>
      <c r="F117" s="1134"/>
      <c r="G117" s="1135"/>
      <c r="H117" s="1136"/>
      <c r="I117" s="1146"/>
      <c r="J117" s="1147">
        <v>1200</v>
      </c>
      <c r="K117" s="1158"/>
    </row>
    <row r="118" spans="1:11" ht="18" customHeight="1" x14ac:dyDescent="0.3">
      <c r="A118" s="1129">
        <v>109</v>
      </c>
      <c r="B118" s="1130"/>
      <c r="C118" s="1168">
        <v>11</v>
      </c>
      <c r="D118" s="1142" t="s">
        <v>664</v>
      </c>
      <c r="E118" s="1133"/>
      <c r="F118" s="1134"/>
      <c r="G118" s="1135"/>
      <c r="H118" s="1136"/>
      <c r="I118" s="1146"/>
      <c r="J118" s="1147">
        <v>900</v>
      </c>
      <c r="K118" s="1158">
        <v>302</v>
      </c>
    </row>
    <row r="119" spans="1:11" s="1140" customFormat="1" ht="22.5" customHeight="1" x14ac:dyDescent="0.3">
      <c r="A119" s="1129">
        <v>110</v>
      </c>
      <c r="B119" s="1130">
        <v>16</v>
      </c>
      <c r="C119" s="1171" t="s">
        <v>215</v>
      </c>
      <c r="D119" s="1132"/>
      <c r="E119" s="1133" t="s">
        <v>23</v>
      </c>
      <c r="F119" s="1134">
        <v>1541</v>
      </c>
      <c r="G119" s="1135">
        <v>7000</v>
      </c>
      <c r="H119" s="1136">
        <v>8269</v>
      </c>
      <c r="I119" s="1137"/>
      <c r="J119" s="1138"/>
      <c r="K119" s="1154"/>
    </row>
    <row r="120" spans="1:11" ht="18" customHeight="1" thickBot="1" x14ac:dyDescent="0.35">
      <c r="A120" s="1129">
        <v>111</v>
      </c>
      <c r="B120" s="1130"/>
      <c r="C120" s="1149">
        <v>1</v>
      </c>
      <c r="D120" s="1160" t="s">
        <v>595</v>
      </c>
      <c r="E120" s="1133"/>
      <c r="F120" s="1134"/>
      <c r="G120" s="1135"/>
      <c r="H120" s="1136"/>
      <c r="I120" s="1146">
        <v>11103</v>
      </c>
      <c r="J120" s="1147">
        <v>16103</v>
      </c>
      <c r="K120" s="1158">
        <v>92</v>
      </c>
    </row>
    <row r="121" spans="1:11" s="1179" customFormat="1" ht="36" customHeight="1" thickTop="1" thickBot="1" x14ac:dyDescent="0.25">
      <c r="A121" s="1129">
        <v>112</v>
      </c>
      <c r="B121" s="1328" t="s">
        <v>310</v>
      </c>
      <c r="C121" s="1329"/>
      <c r="D121" s="1330"/>
      <c r="E121" s="1172"/>
      <c r="F121" s="1173">
        <f>SUM(F10:F119)</f>
        <v>450244</v>
      </c>
      <c r="G121" s="1174">
        <f>SUM(G10:G119)</f>
        <v>276474</v>
      </c>
      <c r="H121" s="1175">
        <f>SUM(H10:H119)</f>
        <v>431784</v>
      </c>
      <c r="I121" s="1176">
        <f>SUM(I10:I120)</f>
        <v>116747</v>
      </c>
      <c r="J121" s="1177">
        <f>SUM(J10:J120)</f>
        <v>230843</v>
      </c>
      <c r="K121" s="1178">
        <f>SUM(K10:K120)</f>
        <v>80390</v>
      </c>
    </row>
    <row r="122" spans="1:11" s="1140" customFormat="1" ht="22.5" customHeight="1" x14ac:dyDescent="0.3">
      <c r="A122" s="1129">
        <v>113</v>
      </c>
      <c r="B122" s="1130">
        <v>17</v>
      </c>
      <c r="C122" s="1180" t="s">
        <v>153</v>
      </c>
      <c r="D122" s="1132"/>
      <c r="E122" s="1133" t="s">
        <v>23</v>
      </c>
      <c r="F122" s="1134"/>
      <c r="G122" s="1135">
        <v>4550</v>
      </c>
      <c r="H122" s="1136">
        <v>4293</v>
      </c>
      <c r="I122" s="1137"/>
      <c r="J122" s="1138"/>
      <c r="K122" s="1154"/>
    </row>
    <row r="123" spans="1:11" s="1140" customFormat="1" ht="22.5" customHeight="1" x14ac:dyDescent="0.3">
      <c r="A123" s="1129">
        <v>114</v>
      </c>
      <c r="B123" s="1130"/>
      <c r="C123" s="1159"/>
      <c r="D123" s="1132" t="s">
        <v>123</v>
      </c>
      <c r="E123" s="1133"/>
      <c r="F123" s="1134">
        <v>2872</v>
      </c>
      <c r="G123" s="1135">
        <v>15000</v>
      </c>
      <c r="H123" s="1136">
        <v>3038</v>
      </c>
      <c r="I123" s="1137"/>
      <c r="J123" s="1138"/>
      <c r="K123" s="1154"/>
    </row>
    <row r="124" spans="1:11" ht="18" customHeight="1" x14ac:dyDescent="0.3">
      <c r="A124" s="1129">
        <v>115</v>
      </c>
      <c r="B124" s="1130"/>
      <c r="C124" s="1168">
        <v>3</v>
      </c>
      <c r="D124" s="1160" t="s">
        <v>358</v>
      </c>
      <c r="E124" s="1133"/>
      <c r="F124" s="1143"/>
      <c r="G124" s="1144">
        <v>29000</v>
      </c>
      <c r="H124" s="1145"/>
      <c r="I124" s="1146">
        <v>29000</v>
      </c>
      <c r="J124" s="1147">
        <v>29000</v>
      </c>
      <c r="K124" s="1158">
        <v>26622</v>
      </c>
    </row>
    <row r="125" spans="1:11" ht="18" customHeight="1" x14ac:dyDescent="0.3">
      <c r="A125" s="1129">
        <v>116</v>
      </c>
      <c r="B125" s="1130"/>
      <c r="C125" s="1168">
        <v>5</v>
      </c>
      <c r="D125" s="1160" t="s">
        <v>476</v>
      </c>
      <c r="E125" s="1133"/>
      <c r="F125" s="1143"/>
      <c r="G125" s="1144">
        <v>1000</v>
      </c>
      <c r="H125" s="1145"/>
      <c r="I125" s="1146">
        <v>1000</v>
      </c>
      <c r="J125" s="1147">
        <v>1000</v>
      </c>
      <c r="K125" s="1158"/>
    </row>
    <row r="126" spans="1:11" ht="18" customHeight="1" x14ac:dyDescent="0.3">
      <c r="A126" s="1129">
        <v>117</v>
      </c>
      <c r="B126" s="1130"/>
      <c r="C126" s="1168">
        <v>10</v>
      </c>
      <c r="D126" s="1160" t="s">
        <v>359</v>
      </c>
      <c r="E126" s="1133"/>
      <c r="F126" s="1143">
        <v>228</v>
      </c>
      <c r="G126" s="1144">
        <v>800</v>
      </c>
      <c r="H126" s="1145">
        <v>330</v>
      </c>
      <c r="I126" s="1146">
        <v>800</v>
      </c>
      <c r="J126" s="1147">
        <v>800</v>
      </c>
      <c r="K126" s="1158"/>
    </row>
    <row r="127" spans="1:11" ht="18" customHeight="1" x14ac:dyDescent="0.3">
      <c r="A127" s="1129">
        <v>118</v>
      </c>
      <c r="B127" s="1130"/>
      <c r="C127" s="1168">
        <v>11</v>
      </c>
      <c r="D127" s="1160" t="s">
        <v>596</v>
      </c>
      <c r="E127" s="1133"/>
      <c r="F127" s="1143">
        <v>704</v>
      </c>
      <c r="G127" s="1144">
        <v>3500</v>
      </c>
      <c r="H127" s="1145">
        <v>4155</v>
      </c>
      <c r="I127" s="1146">
        <v>11247</v>
      </c>
      <c r="J127" s="1147">
        <v>16247</v>
      </c>
      <c r="K127" s="1158">
        <v>6689</v>
      </c>
    </row>
    <row r="128" spans="1:11" ht="18" customHeight="1" x14ac:dyDescent="0.3">
      <c r="A128" s="1129">
        <v>119</v>
      </c>
      <c r="B128" s="1130"/>
      <c r="C128" s="1168">
        <v>12</v>
      </c>
      <c r="D128" s="1160" t="s">
        <v>386</v>
      </c>
      <c r="E128" s="1133"/>
      <c r="F128" s="1143">
        <v>790</v>
      </c>
      <c r="G128" s="1144">
        <v>8500</v>
      </c>
      <c r="H128" s="1145">
        <v>1835</v>
      </c>
      <c r="I128" s="1146">
        <v>10000</v>
      </c>
      <c r="J128" s="1147">
        <v>79317</v>
      </c>
      <c r="K128" s="1158">
        <v>125</v>
      </c>
    </row>
    <row r="129" spans="1:247" ht="18" customHeight="1" x14ac:dyDescent="0.3">
      <c r="A129" s="1129">
        <v>120</v>
      </c>
      <c r="B129" s="1130"/>
      <c r="C129" s="1168">
        <v>13</v>
      </c>
      <c r="D129" s="1160" t="s">
        <v>377</v>
      </c>
      <c r="E129" s="1133"/>
      <c r="F129" s="1143">
        <v>2334</v>
      </c>
      <c r="G129" s="1144"/>
      <c r="H129" s="1145">
        <v>3028</v>
      </c>
      <c r="I129" s="1146">
        <v>4000</v>
      </c>
      <c r="J129" s="1147">
        <v>4000</v>
      </c>
      <c r="K129" s="1158">
        <v>376</v>
      </c>
    </row>
    <row r="130" spans="1:247" ht="18" customHeight="1" x14ac:dyDescent="0.3">
      <c r="A130" s="1129">
        <v>121</v>
      </c>
      <c r="B130" s="1130"/>
      <c r="C130" s="1168">
        <v>17</v>
      </c>
      <c r="D130" s="1160" t="s">
        <v>477</v>
      </c>
      <c r="E130" s="1133"/>
      <c r="F130" s="1143"/>
      <c r="G130" s="1144">
        <v>10000</v>
      </c>
      <c r="H130" s="1145"/>
      <c r="I130" s="1146">
        <v>10000</v>
      </c>
      <c r="J130" s="1147">
        <v>0</v>
      </c>
      <c r="K130" s="1158"/>
    </row>
    <row r="131" spans="1:247" ht="18" customHeight="1" x14ac:dyDescent="0.3">
      <c r="A131" s="1129">
        <v>122</v>
      </c>
      <c r="B131" s="1130"/>
      <c r="C131" s="1168">
        <v>20</v>
      </c>
      <c r="D131" s="1160" t="s">
        <v>597</v>
      </c>
      <c r="E131" s="1133"/>
      <c r="F131" s="1143"/>
      <c r="G131" s="1144"/>
      <c r="H131" s="1145"/>
      <c r="I131" s="1146">
        <v>18923</v>
      </c>
      <c r="J131" s="1147">
        <v>18923</v>
      </c>
      <c r="K131" s="1158">
        <v>17155</v>
      </c>
    </row>
    <row r="132" spans="1:247" ht="18" customHeight="1" x14ac:dyDescent="0.3">
      <c r="A132" s="1129">
        <v>123</v>
      </c>
      <c r="B132" s="1130"/>
      <c r="C132" s="1168">
        <v>21</v>
      </c>
      <c r="D132" s="1160" t="s">
        <v>598</v>
      </c>
      <c r="E132" s="1133"/>
      <c r="F132" s="1143"/>
      <c r="G132" s="1144"/>
      <c r="H132" s="1145"/>
      <c r="I132" s="1146">
        <v>21077</v>
      </c>
      <c r="J132" s="1147">
        <v>21077</v>
      </c>
      <c r="K132" s="1158"/>
    </row>
    <row r="133" spans="1:247" ht="22.5" customHeight="1" x14ac:dyDescent="0.3">
      <c r="A133" s="1129">
        <v>124</v>
      </c>
      <c r="B133" s="1130"/>
      <c r="C133" s="1168"/>
      <c r="D133" s="1132" t="s">
        <v>332</v>
      </c>
      <c r="E133" s="1133"/>
      <c r="F133" s="1143">
        <v>3375</v>
      </c>
      <c r="G133" s="1144">
        <v>25800</v>
      </c>
      <c r="H133" s="1145">
        <v>18417</v>
      </c>
      <c r="I133" s="1146"/>
      <c r="J133" s="1147"/>
      <c r="K133" s="1152"/>
    </row>
    <row r="134" spans="1:247" ht="18" customHeight="1" thickBot="1" x14ac:dyDescent="0.35">
      <c r="A134" s="1129">
        <v>125</v>
      </c>
      <c r="B134" s="1130"/>
      <c r="C134" s="1133">
        <v>15</v>
      </c>
      <c r="D134" s="1160" t="s">
        <v>31</v>
      </c>
      <c r="E134" s="1133"/>
      <c r="F134" s="1143"/>
      <c r="G134" s="1144"/>
      <c r="H134" s="1145"/>
      <c r="I134" s="1146">
        <v>24900</v>
      </c>
      <c r="J134" s="1147">
        <v>50283</v>
      </c>
      <c r="K134" s="1158">
        <v>1509</v>
      </c>
    </row>
    <row r="135" spans="1:247" s="1179" customFormat="1" ht="36" customHeight="1" thickTop="1" thickBot="1" x14ac:dyDescent="0.25">
      <c r="A135" s="1129">
        <v>126</v>
      </c>
      <c r="B135" s="1328" t="s">
        <v>311</v>
      </c>
      <c r="C135" s="1329"/>
      <c r="D135" s="1330"/>
      <c r="E135" s="1172"/>
      <c r="F135" s="1173">
        <f>SUM(F122:F134)</f>
        <v>10303</v>
      </c>
      <c r="G135" s="1174">
        <f>SUM(G122:G134)</f>
        <v>98150</v>
      </c>
      <c r="H135" s="1175">
        <f>SUM(H122:H134)</f>
        <v>35096</v>
      </c>
      <c r="I135" s="1176">
        <f>SUM(I122:I134)</f>
        <v>130947</v>
      </c>
      <c r="J135" s="1177">
        <f t="shared" ref="J135:K135" si="0">SUM(J122:J134)</f>
        <v>220647</v>
      </c>
      <c r="K135" s="1178">
        <f t="shared" si="0"/>
        <v>52476</v>
      </c>
    </row>
    <row r="136" spans="1:247" s="1179" customFormat="1" ht="36" customHeight="1" thickBot="1" x14ac:dyDescent="0.25">
      <c r="A136" s="1129">
        <v>127</v>
      </c>
      <c r="B136" s="1317" t="s">
        <v>312</v>
      </c>
      <c r="C136" s="1318"/>
      <c r="D136" s="1321"/>
      <c r="E136" s="1181"/>
      <c r="F136" s="1182">
        <f>SUM(F135,F121)</f>
        <v>460547</v>
      </c>
      <c r="G136" s="1183">
        <f>SUM(G135,G121)</f>
        <v>374624</v>
      </c>
      <c r="H136" s="1184">
        <f>SUM(H135,H121)</f>
        <v>466880</v>
      </c>
      <c r="I136" s="1185">
        <f>SUM(I135,I121)</f>
        <v>247694</v>
      </c>
      <c r="J136" s="1186">
        <f t="shared" ref="J136:K136" si="1">SUM(J135,J121)</f>
        <v>451490</v>
      </c>
      <c r="K136" s="1187">
        <f t="shared" si="1"/>
        <v>132866</v>
      </c>
    </row>
    <row r="137" spans="1:247" s="1179" customFormat="1" ht="20.100000000000001" customHeight="1" x14ac:dyDescent="0.3">
      <c r="A137" s="1129">
        <v>128</v>
      </c>
      <c r="B137" s="1188"/>
      <c r="C137" s="1121" t="s">
        <v>732</v>
      </c>
      <c r="D137" s="1189"/>
      <c r="E137" s="1189"/>
      <c r="F137" s="1190"/>
      <c r="G137" s="1191"/>
      <c r="H137" s="1192"/>
      <c r="I137" s="1193"/>
      <c r="J137" s="1194"/>
      <c r="K137" s="1195"/>
    </row>
    <row r="138" spans="1:247" s="1179" customFormat="1" ht="20.100000000000001" customHeight="1" x14ac:dyDescent="0.3">
      <c r="A138" s="1129">
        <v>129</v>
      </c>
      <c r="B138" s="1130">
        <v>9</v>
      </c>
      <c r="C138" s="1153" t="s">
        <v>284</v>
      </c>
      <c r="D138" s="1132"/>
      <c r="E138" s="1196" t="s">
        <v>23</v>
      </c>
      <c r="F138" s="1197"/>
      <c r="G138" s="1198"/>
      <c r="H138" s="1199"/>
      <c r="I138" s="1200"/>
      <c r="J138" s="1201"/>
      <c r="K138" s="1202"/>
    </row>
    <row r="139" spans="1:247" s="1179" customFormat="1" ht="20.100000000000001" customHeight="1" thickBot="1" x14ac:dyDescent="0.35">
      <c r="A139" s="1129">
        <v>130</v>
      </c>
      <c r="B139" s="1203"/>
      <c r="C139" s="1168">
        <v>1</v>
      </c>
      <c r="D139" s="1142" t="s">
        <v>806</v>
      </c>
      <c r="E139" s="1204"/>
      <c r="F139" s="1205"/>
      <c r="G139" s="1206"/>
      <c r="H139" s="1207"/>
      <c r="I139" s="1208"/>
      <c r="J139" s="1209">
        <v>1500</v>
      </c>
      <c r="K139" s="1210">
        <v>1500</v>
      </c>
    </row>
    <row r="140" spans="1:247" s="1179" customFormat="1" ht="36" customHeight="1" thickBot="1" x14ac:dyDescent="0.25">
      <c r="A140" s="1129">
        <v>131</v>
      </c>
      <c r="B140" s="1317" t="s">
        <v>733</v>
      </c>
      <c r="C140" s="1318"/>
      <c r="D140" s="1318"/>
      <c r="E140" s="1181"/>
      <c r="F140" s="1182"/>
      <c r="G140" s="1183"/>
      <c r="H140" s="1211"/>
      <c r="I140" s="1186">
        <f>SUM(I136,I139)</f>
        <v>247694</v>
      </c>
      <c r="J140" s="1186">
        <f>SUM(J136,J139)</f>
        <v>452990</v>
      </c>
      <c r="K140" s="1187">
        <f>K139+K136</f>
        <v>134366</v>
      </c>
    </row>
    <row r="141" spans="1:247" ht="18" customHeight="1" x14ac:dyDescent="0.3">
      <c r="B141" s="1212"/>
      <c r="C141" s="1213" t="s">
        <v>25</v>
      </c>
      <c r="D141" s="1212"/>
      <c r="E141" s="1214"/>
      <c r="F141" s="1215"/>
      <c r="G141" s="1216"/>
      <c r="H141" s="1217"/>
      <c r="I141" s="1217"/>
      <c r="J141" s="1217"/>
    </row>
    <row r="142" spans="1:247" s="1219" customFormat="1" ht="18" customHeight="1" x14ac:dyDescent="0.3">
      <c r="A142" s="1119"/>
      <c r="B142" s="1212" t="s">
        <v>26</v>
      </c>
      <c r="C142" s="1212"/>
      <c r="D142" s="1212"/>
      <c r="E142" s="1214"/>
      <c r="F142" s="1218"/>
      <c r="G142" s="1216"/>
      <c r="H142" s="1217"/>
      <c r="I142" s="1217"/>
      <c r="J142" s="1217"/>
      <c r="K142" s="1114"/>
      <c r="L142" s="1114"/>
      <c r="M142" s="1114"/>
      <c r="N142" s="1114"/>
      <c r="O142" s="1114"/>
      <c r="P142" s="1114"/>
      <c r="Q142" s="1114"/>
      <c r="R142" s="1114"/>
      <c r="S142" s="1114"/>
      <c r="T142" s="1114"/>
      <c r="U142" s="1114"/>
      <c r="V142" s="1114"/>
      <c r="W142" s="1114"/>
      <c r="X142" s="1114"/>
      <c r="Y142" s="1114"/>
      <c r="Z142" s="1114"/>
      <c r="AA142" s="1114"/>
      <c r="AB142" s="1114"/>
      <c r="AC142" s="1114"/>
      <c r="AD142" s="1114"/>
      <c r="AE142" s="1114"/>
      <c r="AF142" s="1114"/>
      <c r="AG142" s="1114"/>
      <c r="AH142" s="1114"/>
      <c r="AI142" s="1114"/>
      <c r="AJ142" s="1114"/>
      <c r="AK142" s="1114"/>
      <c r="AL142" s="1114"/>
      <c r="AM142" s="1114"/>
      <c r="AN142" s="1114"/>
      <c r="AO142" s="1114"/>
      <c r="AP142" s="1114"/>
      <c r="AQ142" s="1114"/>
      <c r="AR142" s="1114"/>
      <c r="AS142" s="1114"/>
      <c r="AT142" s="1114"/>
      <c r="AU142" s="1114"/>
      <c r="AV142" s="1114"/>
      <c r="AW142" s="1114"/>
      <c r="AX142" s="1114"/>
      <c r="AY142" s="1114"/>
      <c r="AZ142" s="1114"/>
      <c r="BA142" s="1114"/>
      <c r="BB142" s="1114"/>
      <c r="BC142" s="1114"/>
      <c r="BD142" s="1114"/>
      <c r="BE142" s="1114"/>
      <c r="BF142" s="1114"/>
      <c r="BG142" s="1114"/>
      <c r="BH142" s="1114"/>
      <c r="BI142" s="1114"/>
      <c r="BJ142" s="1114"/>
      <c r="BK142" s="1114"/>
      <c r="BL142" s="1114"/>
      <c r="BM142" s="1114"/>
      <c r="BN142" s="1114"/>
      <c r="BO142" s="1114"/>
      <c r="BP142" s="1114"/>
      <c r="BQ142" s="1114"/>
      <c r="BR142" s="1114"/>
      <c r="BS142" s="1114"/>
      <c r="BT142" s="1114"/>
      <c r="BU142" s="1114"/>
      <c r="BV142" s="1114"/>
      <c r="BW142" s="1114"/>
      <c r="BX142" s="1114"/>
      <c r="BY142" s="1114"/>
      <c r="BZ142" s="1114"/>
      <c r="CA142" s="1114"/>
      <c r="CB142" s="1114"/>
      <c r="CC142" s="1114"/>
      <c r="CD142" s="1114"/>
      <c r="CE142" s="1114"/>
      <c r="CF142" s="1114"/>
      <c r="CG142" s="1114"/>
      <c r="CH142" s="1114"/>
      <c r="CI142" s="1114"/>
      <c r="CJ142" s="1114"/>
      <c r="CK142" s="1114"/>
      <c r="CL142" s="1114"/>
      <c r="CM142" s="1114"/>
      <c r="CN142" s="1114"/>
      <c r="CO142" s="1114"/>
      <c r="CP142" s="1114"/>
      <c r="CQ142" s="1114"/>
      <c r="CR142" s="1114"/>
      <c r="CS142" s="1114"/>
      <c r="CT142" s="1114"/>
      <c r="CU142" s="1114"/>
      <c r="CV142" s="1114"/>
      <c r="CW142" s="1114"/>
      <c r="CX142" s="1114"/>
      <c r="CY142" s="1114"/>
      <c r="CZ142" s="1114"/>
      <c r="DA142" s="1114"/>
      <c r="DB142" s="1114"/>
      <c r="DC142" s="1114"/>
      <c r="DD142" s="1114"/>
      <c r="DE142" s="1114"/>
      <c r="DF142" s="1114"/>
      <c r="DG142" s="1114"/>
      <c r="DH142" s="1114"/>
      <c r="DI142" s="1114"/>
      <c r="DJ142" s="1114"/>
      <c r="DK142" s="1114"/>
      <c r="DL142" s="1114"/>
      <c r="DM142" s="1114"/>
      <c r="DN142" s="1114"/>
      <c r="DO142" s="1114"/>
      <c r="DP142" s="1114"/>
      <c r="DQ142" s="1114"/>
      <c r="DR142" s="1114"/>
      <c r="DS142" s="1114"/>
      <c r="DT142" s="1114"/>
      <c r="DU142" s="1114"/>
      <c r="DV142" s="1114"/>
      <c r="DW142" s="1114"/>
      <c r="DX142" s="1114"/>
      <c r="DY142" s="1114"/>
      <c r="DZ142" s="1114"/>
      <c r="EA142" s="1114"/>
      <c r="EB142" s="1114"/>
      <c r="EC142" s="1114"/>
      <c r="ED142" s="1114"/>
      <c r="EE142" s="1114"/>
      <c r="EF142" s="1114"/>
      <c r="EG142" s="1114"/>
      <c r="EH142" s="1114"/>
      <c r="EI142" s="1114"/>
      <c r="EJ142" s="1114"/>
      <c r="EK142" s="1114"/>
      <c r="EL142" s="1114"/>
      <c r="EM142" s="1114"/>
      <c r="EN142" s="1114"/>
      <c r="EO142" s="1114"/>
      <c r="EP142" s="1114"/>
      <c r="EQ142" s="1114"/>
      <c r="ER142" s="1114"/>
      <c r="ES142" s="1114"/>
      <c r="ET142" s="1114"/>
      <c r="EU142" s="1114"/>
      <c r="EV142" s="1114"/>
      <c r="EW142" s="1114"/>
      <c r="EX142" s="1114"/>
      <c r="EY142" s="1114"/>
      <c r="EZ142" s="1114"/>
      <c r="FA142" s="1114"/>
      <c r="FB142" s="1114"/>
      <c r="FC142" s="1114"/>
      <c r="FD142" s="1114"/>
      <c r="FE142" s="1114"/>
      <c r="FF142" s="1114"/>
      <c r="FG142" s="1114"/>
      <c r="FH142" s="1114"/>
      <c r="FI142" s="1114"/>
      <c r="FJ142" s="1114"/>
      <c r="FK142" s="1114"/>
      <c r="FL142" s="1114"/>
      <c r="FM142" s="1114"/>
      <c r="FN142" s="1114"/>
      <c r="FO142" s="1114"/>
      <c r="FP142" s="1114"/>
      <c r="FQ142" s="1114"/>
      <c r="FR142" s="1114"/>
      <c r="FS142" s="1114"/>
      <c r="FT142" s="1114"/>
      <c r="FU142" s="1114"/>
      <c r="FV142" s="1114"/>
      <c r="FW142" s="1114"/>
      <c r="FX142" s="1114"/>
      <c r="FY142" s="1114"/>
      <c r="FZ142" s="1114"/>
      <c r="GA142" s="1114"/>
      <c r="GB142" s="1114"/>
      <c r="GC142" s="1114"/>
      <c r="GD142" s="1114"/>
      <c r="GE142" s="1114"/>
      <c r="GF142" s="1114"/>
      <c r="GG142" s="1114"/>
      <c r="GH142" s="1114"/>
      <c r="GI142" s="1114"/>
      <c r="GJ142" s="1114"/>
      <c r="GK142" s="1114"/>
      <c r="GL142" s="1114"/>
      <c r="GM142" s="1114"/>
      <c r="GN142" s="1114"/>
      <c r="GO142" s="1114"/>
      <c r="GP142" s="1114"/>
      <c r="GQ142" s="1114"/>
      <c r="GR142" s="1114"/>
      <c r="GS142" s="1114"/>
      <c r="GT142" s="1114"/>
      <c r="GU142" s="1114"/>
      <c r="GV142" s="1114"/>
      <c r="GW142" s="1114"/>
      <c r="GX142" s="1114"/>
      <c r="GY142" s="1114"/>
      <c r="GZ142" s="1114"/>
      <c r="HA142" s="1114"/>
      <c r="HB142" s="1114"/>
      <c r="HC142" s="1114"/>
      <c r="HD142" s="1114"/>
      <c r="HE142" s="1114"/>
      <c r="HF142" s="1114"/>
      <c r="HG142" s="1114"/>
      <c r="HH142" s="1114"/>
      <c r="HI142" s="1114"/>
      <c r="HJ142" s="1114"/>
      <c r="HK142" s="1114"/>
      <c r="HL142" s="1114"/>
      <c r="HM142" s="1114"/>
      <c r="HN142" s="1114"/>
      <c r="HO142" s="1114"/>
      <c r="HP142" s="1114"/>
      <c r="HQ142" s="1114"/>
      <c r="HR142" s="1114"/>
      <c r="HS142" s="1114"/>
      <c r="HT142" s="1114"/>
      <c r="HU142" s="1114"/>
      <c r="HV142" s="1114"/>
      <c r="HW142" s="1114"/>
      <c r="HX142" s="1114"/>
      <c r="HY142" s="1114"/>
      <c r="HZ142" s="1114"/>
      <c r="IA142" s="1114"/>
      <c r="IB142" s="1114"/>
      <c r="IC142" s="1114"/>
      <c r="ID142" s="1114"/>
      <c r="IE142" s="1114"/>
      <c r="IF142" s="1114"/>
      <c r="IG142" s="1114"/>
      <c r="IH142" s="1114"/>
      <c r="II142" s="1114"/>
      <c r="IJ142" s="1114"/>
      <c r="IK142" s="1114"/>
      <c r="IL142" s="1114"/>
      <c r="IM142" s="1114"/>
    </row>
    <row r="143" spans="1:247" s="1219" customFormat="1" ht="18" customHeight="1" x14ac:dyDescent="0.3">
      <c r="A143" s="1119"/>
      <c r="B143" s="1212" t="s">
        <v>27</v>
      </c>
      <c r="C143" s="1212"/>
      <c r="D143" s="1212"/>
      <c r="E143" s="1214"/>
      <c r="F143" s="1218"/>
      <c r="G143" s="1216"/>
      <c r="H143" s="1217"/>
      <c r="I143" s="1217"/>
      <c r="J143" s="1217"/>
      <c r="K143" s="1114"/>
      <c r="L143" s="1114"/>
      <c r="M143" s="1114"/>
      <c r="N143" s="1114"/>
      <c r="O143" s="1114"/>
      <c r="P143" s="1114"/>
      <c r="Q143" s="1114"/>
      <c r="R143" s="1114"/>
      <c r="S143" s="1114"/>
      <c r="T143" s="1114"/>
      <c r="U143" s="1114"/>
      <c r="V143" s="1114"/>
      <c r="W143" s="1114"/>
      <c r="X143" s="1114"/>
      <c r="Y143" s="1114"/>
      <c r="Z143" s="1114"/>
      <c r="AA143" s="1114"/>
      <c r="AB143" s="1114"/>
      <c r="AC143" s="1114"/>
      <c r="AD143" s="1114"/>
      <c r="AE143" s="1114"/>
      <c r="AF143" s="1114"/>
      <c r="AG143" s="1114"/>
      <c r="AH143" s="1114"/>
      <c r="AI143" s="1114"/>
      <c r="AJ143" s="1114"/>
      <c r="AK143" s="1114"/>
      <c r="AL143" s="1114"/>
      <c r="AM143" s="1114"/>
      <c r="AN143" s="1114"/>
      <c r="AO143" s="1114"/>
      <c r="AP143" s="1114"/>
      <c r="AQ143" s="1114"/>
      <c r="AR143" s="1114"/>
      <c r="AS143" s="1114"/>
      <c r="AT143" s="1114"/>
      <c r="AU143" s="1114"/>
      <c r="AV143" s="1114"/>
      <c r="AW143" s="1114"/>
      <c r="AX143" s="1114"/>
      <c r="AY143" s="1114"/>
      <c r="AZ143" s="1114"/>
      <c r="BA143" s="1114"/>
      <c r="BB143" s="1114"/>
      <c r="BC143" s="1114"/>
      <c r="BD143" s="1114"/>
      <c r="BE143" s="1114"/>
      <c r="BF143" s="1114"/>
      <c r="BG143" s="1114"/>
      <c r="BH143" s="1114"/>
      <c r="BI143" s="1114"/>
      <c r="BJ143" s="1114"/>
      <c r="BK143" s="1114"/>
      <c r="BL143" s="1114"/>
      <c r="BM143" s="1114"/>
      <c r="BN143" s="1114"/>
      <c r="BO143" s="1114"/>
      <c r="BP143" s="1114"/>
      <c r="BQ143" s="1114"/>
      <c r="BR143" s="1114"/>
      <c r="BS143" s="1114"/>
      <c r="BT143" s="1114"/>
      <c r="BU143" s="1114"/>
      <c r="BV143" s="1114"/>
      <c r="BW143" s="1114"/>
      <c r="BX143" s="1114"/>
      <c r="BY143" s="1114"/>
      <c r="BZ143" s="1114"/>
      <c r="CA143" s="1114"/>
      <c r="CB143" s="1114"/>
      <c r="CC143" s="1114"/>
      <c r="CD143" s="1114"/>
      <c r="CE143" s="1114"/>
      <c r="CF143" s="1114"/>
      <c r="CG143" s="1114"/>
      <c r="CH143" s="1114"/>
      <c r="CI143" s="1114"/>
      <c r="CJ143" s="1114"/>
      <c r="CK143" s="1114"/>
      <c r="CL143" s="1114"/>
      <c r="CM143" s="1114"/>
      <c r="CN143" s="1114"/>
      <c r="CO143" s="1114"/>
      <c r="CP143" s="1114"/>
      <c r="CQ143" s="1114"/>
      <c r="CR143" s="1114"/>
      <c r="CS143" s="1114"/>
      <c r="CT143" s="1114"/>
      <c r="CU143" s="1114"/>
      <c r="CV143" s="1114"/>
      <c r="CW143" s="1114"/>
      <c r="CX143" s="1114"/>
      <c r="CY143" s="1114"/>
      <c r="CZ143" s="1114"/>
      <c r="DA143" s="1114"/>
      <c r="DB143" s="1114"/>
      <c r="DC143" s="1114"/>
      <c r="DD143" s="1114"/>
      <c r="DE143" s="1114"/>
      <c r="DF143" s="1114"/>
      <c r="DG143" s="1114"/>
      <c r="DH143" s="1114"/>
      <c r="DI143" s="1114"/>
      <c r="DJ143" s="1114"/>
      <c r="DK143" s="1114"/>
      <c r="DL143" s="1114"/>
      <c r="DM143" s="1114"/>
      <c r="DN143" s="1114"/>
      <c r="DO143" s="1114"/>
      <c r="DP143" s="1114"/>
      <c r="DQ143" s="1114"/>
      <c r="DR143" s="1114"/>
      <c r="DS143" s="1114"/>
      <c r="DT143" s="1114"/>
      <c r="DU143" s="1114"/>
      <c r="DV143" s="1114"/>
      <c r="DW143" s="1114"/>
      <c r="DX143" s="1114"/>
      <c r="DY143" s="1114"/>
      <c r="DZ143" s="1114"/>
      <c r="EA143" s="1114"/>
      <c r="EB143" s="1114"/>
      <c r="EC143" s="1114"/>
      <c r="ED143" s="1114"/>
      <c r="EE143" s="1114"/>
      <c r="EF143" s="1114"/>
      <c r="EG143" s="1114"/>
      <c r="EH143" s="1114"/>
      <c r="EI143" s="1114"/>
      <c r="EJ143" s="1114"/>
      <c r="EK143" s="1114"/>
      <c r="EL143" s="1114"/>
      <c r="EM143" s="1114"/>
      <c r="EN143" s="1114"/>
      <c r="EO143" s="1114"/>
      <c r="EP143" s="1114"/>
      <c r="EQ143" s="1114"/>
      <c r="ER143" s="1114"/>
      <c r="ES143" s="1114"/>
      <c r="ET143" s="1114"/>
      <c r="EU143" s="1114"/>
      <c r="EV143" s="1114"/>
      <c r="EW143" s="1114"/>
      <c r="EX143" s="1114"/>
      <c r="EY143" s="1114"/>
      <c r="EZ143" s="1114"/>
      <c r="FA143" s="1114"/>
      <c r="FB143" s="1114"/>
      <c r="FC143" s="1114"/>
      <c r="FD143" s="1114"/>
      <c r="FE143" s="1114"/>
      <c r="FF143" s="1114"/>
      <c r="FG143" s="1114"/>
      <c r="FH143" s="1114"/>
      <c r="FI143" s="1114"/>
      <c r="FJ143" s="1114"/>
      <c r="FK143" s="1114"/>
      <c r="FL143" s="1114"/>
      <c r="FM143" s="1114"/>
      <c r="FN143" s="1114"/>
      <c r="FO143" s="1114"/>
      <c r="FP143" s="1114"/>
      <c r="FQ143" s="1114"/>
      <c r="FR143" s="1114"/>
      <c r="FS143" s="1114"/>
      <c r="FT143" s="1114"/>
      <c r="FU143" s="1114"/>
      <c r="FV143" s="1114"/>
      <c r="FW143" s="1114"/>
      <c r="FX143" s="1114"/>
      <c r="FY143" s="1114"/>
      <c r="FZ143" s="1114"/>
      <c r="GA143" s="1114"/>
      <c r="GB143" s="1114"/>
      <c r="GC143" s="1114"/>
      <c r="GD143" s="1114"/>
      <c r="GE143" s="1114"/>
      <c r="GF143" s="1114"/>
      <c r="GG143" s="1114"/>
      <c r="GH143" s="1114"/>
      <c r="GI143" s="1114"/>
      <c r="GJ143" s="1114"/>
      <c r="GK143" s="1114"/>
      <c r="GL143" s="1114"/>
      <c r="GM143" s="1114"/>
      <c r="GN143" s="1114"/>
      <c r="GO143" s="1114"/>
      <c r="GP143" s="1114"/>
      <c r="GQ143" s="1114"/>
      <c r="GR143" s="1114"/>
      <c r="GS143" s="1114"/>
      <c r="GT143" s="1114"/>
      <c r="GU143" s="1114"/>
      <c r="GV143" s="1114"/>
      <c r="GW143" s="1114"/>
      <c r="GX143" s="1114"/>
      <c r="GY143" s="1114"/>
      <c r="GZ143" s="1114"/>
      <c r="HA143" s="1114"/>
      <c r="HB143" s="1114"/>
      <c r="HC143" s="1114"/>
      <c r="HD143" s="1114"/>
      <c r="HE143" s="1114"/>
      <c r="HF143" s="1114"/>
      <c r="HG143" s="1114"/>
      <c r="HH143" s="1114"/>
      <c r="HI143" s="1114"/>
      <c r="HJ143" s="1114"/>
      <c r="HK143" s="1114"/>
      <c r="HL143" s="1114"/>
      <c r="HM143" s="1114"/>
      <c r="HN143" s="1114"/>
      <c r="HO143" s="1114"/>
      <c r="HP143" s="1114"/>
      <c r="HQ143" s="1114"/>
      <c r="HR143" s="1114"/>
      <c r="HS143" s="1114"/>
      <c r="HT143" s="1114"/>
      <c r="HU143" s="1114"/>
      <c r="HV143" s="1114"/>
      <c r="HW143" s="1114"/>
      <c r="HX143" s="1114"/>
      <c r="HY143" s="1114"/>
      <c r="HZ143" s="1114"/>
      <c r="IA143" s="1114"/>
      <c r="IB143" s="1114"/>
      <c r="IC143" s="1114"/>
      <c r="ID143" s="1114"/>
      <c r="IE143" s="1114"/>
      <c r="IF143" s="1114"/>
      <c r="IG143" s="1114"/>
      <c r="IH143" s="1114"/>
      <c r="II143" s="1114"/>
      <c r="IJ143" s="1114"/>
      <c r="IK143" s="1114"/>
      <c r="IL143" s="1114"/>
      <c r="IM143" s="1114"/>
    </row>
    <row r="144" spans="1:247" s="1219" customFormat="1" x14ac:dyDescent="0.3">
      <c r="A144" s="1119"/>
      <c r="B144" s="1107"/>
      <c r="C144" s="1108"/>
      <c r="D144" s="1109"/>
      <c r="E144" s="1110"/>
      <c r="F144" s="1111"/>
      <c r="G144" s="1111"/>
      <c r="H144" s="1112"/>
      <c r="I144" s="1112"/>
      <c r="J144" s="1112"/>
      <c r="K144" s="1114"/>
      <c r="L144" s="1114"/>
      <c r="M144" s="1114"/>
      <c r="N144" s="1114"/>
      <c r="O144" s="1114"/>
      <c r="P144" s="1114"/>
      <c r="Q144" s="1114"/>
      <c r="R144" s="1114"/>
      <c r="S144" s="1114"/>
      <c r="T144" s="1114"/>
      <c r="U144" s="1114"/>
      <c r="V144" s="1114"/>
      <c r="W144" s="1114"/>
      <c r="X144" s="1114"/>
      <c r="Y144" s="1114"/>
      <c r="Z144" s="1114"/>
      <c r="AA144" s="1114"/>
      <c r="AB144" s="1114"/>
      <c r="AC144" s="1114"/>
      <c r="AD144" s="1114"/>
      <c r="AE144" s="1114"/>
      <c r="AF144" s="1114"/>
      <c r="AG144" s="1114"/>
      <c r="AH144" s="1114"/>
      <c r="AI144" s="1114"/>
      <c r="AJ144" s="1114"/>
      <c r="AK144" s="1114"/>
      <c r="AL144" s="1114"/>
      <c r="AM144" s="1114"/>
      <c r="AN144" s="1114"/>
      <c r="AO144" s="1114"/>
      <c r="AP144" s="1114"/>
      <c r="AQ144" s="1114"/>
      <c r="AR144" s="1114"/>
      <c r="AS144" s="1114"/>
      <c r="AT144" s="1114"/>
      <c r="AU144" s="1114"/>
      <c r="AV144" s="1114"/>
      <c r="AW144" s="1114"/>
      <c r="AX144" s="1114"/>
      <c r="AY144" s="1114"/>
      <c r="AZ144" s="1114"/>
      <c r="BA144" s="1114"/>
      <c r="BB144" s="1114"/>
      <c r="BC144" s="1114"/>
      <c r="BD144" s="1114"/>
      <c r="BE144" s="1114"/>
      <c r="BF144" s="1114"/>
      <c r="BG144" s="1114"/>
      <c r="BH144" s="1114"/>
      <c r="BI144" s="1114"/>
      <c r="BJ144" s="1114"/>
      <c r="BK144" s="1114"/>
      <c r="BL144" s="1114"/>
      <c r="BM144" s="1114"/>
      <c r="BN144" s="1114"/>
      <c r="BO144" s="1114"/>
      <c r="BP144" s="1114"/>
      <c r="BQ144" s="1114"/>
      <c r="BR144" s="1114"/>
      <c r="BS144" s="1114"/>
      <c r="BT144" s="1114"/>
      <c r="BU144" s="1114"/>
      <c r="BV144" s="1114"/>
      <c r="BW144" s="1114"/>
      <c r="BX144" s="1114"/>
      <c r="BY144" s="1114"/>
      <c r="BZ144" s="1114"/>
      <c r="CA144" s="1114"/>
      <c r="CB144" s="1114"/>
      <c r="CC144" s="1114"/>
      <c r="CD144" s="1114"/>
      <c r="CE144" s="1114"/>
      <c r="CF144" s="1114"/>
      <c r="CG144" s="1114"/>
      <c r="CH144" s="1114"/>
      <c r="CI144" s="1114"/>
      <c r="CJ144" s="1114"/>
      <c r="CK144" s="1114"/>
      <c r="CL144" s="1114"/>
      <c r="CM144" s="1114"/>
      <c r="CN144" s="1114"/>
      <c r="CO144" s="1114"/>
      <c r="CP144" s="1114"/>
      <c r="CQ144" s="1114"/>
      <c r="CR144" s="1114"/>
      <c r="CS144" s="1114"/>
      <c r="CT144" s="1114"/>
      <c r="CU144" s="1114"/>
      <c r="CV144" s="1114"/>
      <c r="CW144" s="1114"/>
      <c r="CX144" s="1114"/>
      <c r="CY144" s="1114"/>
      <c r="CZ144" s="1114"/>
      <c r="DA144" s="1114"/>
      <c r="DB144" s="1114"/>
      <c r="DC144" s="1114"/>
      <c r="DD144" s="1114"/>
      <c r="DE144" s="1114"/>
      <c r="DF144" s="1114"/>
      <c r="DG144" s="1114"/>
      <c r="DH144" s="1114"/>
      <c r="DI144" s="1114"/>
      <c r="DJ144" s="1114"/>
      <c r="DK144" s="1114"/>
      <c r="DL144" s="1114"/>
      <c r="DM144" s="1114"/>
      <c r="DN144" s="1114"/>
      <c r="DO144" s="1114"/>
      <c r="DP144" s="1114"/>
      <c r="DQ144" s="1114"/>
      <c r="DR144" s="1114"/>
      <c r="DS144" s="1114"/>
      <c r="DT144" s="1114"/>
      <c r="DU144" s="1114"/>
      <c r="DV144" s="1114"/>
      <c r="DW144" s="1114"/>
      <c r="DX144" s="1114"/>
      <c r="DY144" s="1114"/>
      <c r="DZ144" s="1114"/>
      <c r="EA144" s="1114"/>
      <c r="EB144" s="1114"/>
      <c r="EC144" s="1114"/>
      <c r="ED144" s="1114"/>
      <c r="EE144" s="1114"/>
      <c r="EF144" s="1114"/>
      <c r="EG144" s="1114"/>
      <c r="EH144" s="1114"/>
      <c r="EI144" s="1114"/>
      <c r="EJ144" s="1114"/>
      <c r="EK144" s="1114"/>
      <c r="EL144" s="1114"/>
      <c r="EM144" s="1114"/>
      <c r="EN144" s="1114"/>
      <c r="EO144" s="1114"/>
      <c r="EP144" s="1114"/>
      <c r="EQ144" s="1114"/>
      <c r="ER144" s="1114"/>
      <c r="ES144" s="1114"/>
      <c r="ET144" s="1114"/>
      <c r="EU144" s="1114"/>
      <c r="EV144" s="1114"/>
      <c r="EW144" s="1114"/>
      <c r="EX144" s="1114"/>
      <c r="EY144" s="1114"/>
      <c r="EZ144" s="1114"/>
      <c r="FA144" s="1114"/>
      <c r="FB144" s="1114"/>
      <c r="FC144" s="1114"/>
      <c r="FD144" s="1114"/>
      <c r="FE144" s="1114"/>
      <c r="FF144" s="1114"/>
      <c r="FG144" s="1114"/>
      <c r="FH144" s="1114"/>
      <c r="FI144" s="1114"/>
      <c r="FJ144" s="1114"/>
      <c r="FK144" s="1114"/>
      <c r="FL144" s="1114"/>
      <c r="FM144" s="1114"/>
      <c r="FN144" s="1114"/>
      <c r="FO144" s="1114"/>
      <c r="FP144" s="1114"/>
      <c r="FQ144" s="1114"/>
      <c r="FR144" s="1114"/>
      <c r="FS144" s="1114"/>
      <c r="FT144" s="1114"/>
      <c r="FU144" s="1114"/>
      <c r="FV144" s="1114"/>
      <c r="FW144" s="1114"/>
      <c r="FX144" s="1114"/>
      <c r="FY144" s="1114"/>
      <c r="FZ144" s="1114"/>
      <c r="GA144" s="1114"/>
      <c r="GB144" s="1114"/>
      <c r="GC144" s="1114"/>
      <c r="GD144" s="1114"/>
      <c r="GE144" s="1114"/>
      <c r="GF144" s="1114"/>
      <c r="GG144" s="1114"/>
      <c r="GH144" s="1114"/>
      <c r="GI144" s="1114"/>
      <c r="GJ144" s="1114"/>
      <c r="GK144" s="1114"/>
      <c r="GL144" s="1114"/>
      <c r="GM144" s="1114"/>
      <c r="GN144" s="1114"/>
      <c r="GO144" s="1114"/>
      <c r="GP144" s="1114"/>
      <c r="GQ144" s="1114"/>
      <c r="GR144" s="1114"/>
      <c r="GS144" s="1114"/>
      <c r="GT144" s="1114"/>
      <c r="GU144" s="1114"/>
      <c r="GV144" s="1114"/>
      <c r="GW144" s="1114"/>
      <c r="GX144" s="1114"/>
      <c r="GY144" s="1114"/>
      <c r="GZ144" s="1114"/>
      <c r="HA144" s="1114"/>
      <c r="HB144" s="1114"/>
      <c r="HC144" s="1114"/>
      <c r="HD144" s="1114"/>
      <c r="HE144" s="1114"/>
      <c r="HF144" s="1114"/>
      <c r="HG144" s="1114"/>
      <c r="HH144" s="1114"/>
      <c r="HI144" s="1114"/>
      <c r="HJ144" s="1114"/>
      <c r="HK144" s="1114"/>
      <c r="HL144" s="1114"/>
      <c r="HM144" s="1114"/>
      <c r="HN144" s="1114"/>
      <c r="HO144" s="1114"/>
      <c r="HP144" s="1114"/>
      <c r="HQ144" s="1114"/>
      <c r="HR144" s="1114"/>
      <c r="HS144" s="1114"/>
      <c r="HT144" s="1114"/>
      <c r="HU144" s="1114"/>
      <c r="HV144" s="1114"/>
      <c r="HW144" s="1114"/>
      <c r="HX144" s="1114"/>
      <c r="HY144" s="1114"/>
      <c r="HZ144" s="1114"/>
      <c r="IA144" s="1114"/>
      <c r="IB144" s="1114"/>
      <c r="IC144" s="1114"/>
      <c r="ID144" s="1114"/>
      <c r="IE144" s="1114"/>
      <c r="IF144" s="1114"/>
      <c r="IG144" s="1114"/>
      <c r="IH144" s="1114"/>
      <c r="II144" s="1114"/>
      <c r="IJ144" s="1114"/>
      <c r="IK144" s="1114"/>
      <c r="IL144" s="1114"/>
      <c r="IM144" s="1114"/>
    </row>
  </sheetData>
  <mergeCells count="17">
    <mergeCell ref="B140:D140"/>
    <mergeCell ref="B3:K3"/>
    <mergeCell ref="B4:K4"/>
    <mergeCell ref="B136:D136"/>
    <mergeCell ref="I7:I8"/>
    <mergeCell ref="F7:F8"/>
    <mergeCell ref="G7:G8"/>
    <mergeCell ref="H7:H8"/>
    <mergeCell ref="B121:D121"/>
    <mergeCell ref="B135:D135"/>
    <mergeCell ref="K7:K8"/>
    <mergeCell ref="J7:J8"/>
    <mergeCell ref="B1:D1"/>
    <mergeCell ref="B7:B8"/>
    <mergeCell ref="C7:C8"/>
    <mergeCell ref="D7:D8"/>
    <mergeCell ref="E7:E8"/>
  </mergeCells>
  <printOptions horizontalCentered="1"/>
  <pageMargins left="0.19685039370078741" right="0.19685039370078741" top="0.39370078740157483" bottom="0.39370078740157483" header="0.31496062992125984" footer="0.31496062992125984"/>
  <pageSetup paperSize="9" scale="59" fitToHeight="0" orientation="portrait"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49"/>
  <sheetViews>
    <sheetView view="pageBreakPreview" topLeftCell="A811" zoomScaleNormal="100" zoomScaleSheetLayoutView="100" workbookViewId="0">
      <selection activeCell="P823" sqref="P823"/>
    </sheetView>
  </sheetViews>
  <sheetFormatPr defaultColWidth="9.28515625" defaultRowHeight="17.25" x14ac:dyDescent="0.35"/>
  <cols>
    <col min="1" max="1" width="3.7109375" style="1528" customWidth="1"/>
    <col min="2" max="2" width="5.7109375" style="1566" customWidth="1"/>
    <col min="3" max="3" width="5.7109375" style="1855" customWidth="1"/>
    <col min="4" max="4" width="87.7109375" style="1856" customWidth="1"/>
    <col min="5" max="7" width="11.7109375" style="1509" customWidth="1"/>
    <col min="8" max="8" width="6.7109375" style="1566" customWidth="1"/>
    <col min="9" max="9" width="12.7109375" style="1857" customWidth="1"/>
    <col min="10" max="14" width="12.7109375" style="1509" customWidth="1"/>
    <col min="15" max="15" width="9.28515625" style="1509" bestFit="1" customWidth="1"/>
    <col min="16" max="16384" width="9.28515625" style="1509"/>
  </cols>
  <sheetData>
    <row r="1" spans="1:16" ht="16.5" x14ac:dyDescent="0.3">
      <c r="A1" s="1507"/>
      <c r="B1" s="1508" t="s">
        <v>757</v>
      </c>
      <c r="C1" s="1508"/>
      <c r="D1" s="1508"/>
      <c r="G1" s="1510"/>
      <c r="H1" s="1510"/>
      <c r="I1" s="1510"/>
      <c r="J1" s="1511"/>
      <c r="K1" s="1511"/>
      <c r="L1" s="1511"/>
      <c r="M1" s="1511"/>
      <c r="N1" s="1511"/>
    </row>
    <row r="2" spans="1:16" ht="24.75" customHeight="1" x14ac:dyDescent="0.35">
      <c r="A2" s="1507"/>
      <c r="B2" s="1512" t="s">
        <v>14</v>
      </c>
      <c r="C2" s="1512"/>
      <c r="D2" s="1512"/>
      <c r="E2" s="1512"/>
      <c r="F2" s="1512"/>
      <c r="G2" s="1512"/>
      <c r="H2" s="1512"/>
      <c r="I2" s="1512"/>
      <c r="J2" s="1512"/>
      <c r="K2" s="1512"/>
      <c r="L2" s="1512"/>
      <c r="M2" s="1512"/>
      <c r="N2" s="1512"/>
    </row>
    <row r="3" spans="1:16" s="1514" customFormat="1" ht="24.75" customHeight="1" x14ac:dyDescent="0.2">
      <c r="A3" s="1507"/>
      <c r="B3" s="1513" t="s">
        <v>765</v>
      </c>
      <c r="C3" s="1513"/>
      <c r="D3" s="1513"/>
      <c r="E3" s="1513"/>
      <c r="F3" s="1513"/>
      <c r="G3" s="1513"/>
      <c r="H3" s="1513"/>
      <c r="I3" s="1513"/>
      <c r="J3" s="1513"/>
      <c r="K3" s="1513"/>
      <c r="L3" s="1513"/>
      <c r="M3" s="1513"/>
      <c r="N3" s="1513"/>
    </row>
    <row r="4" spans="1:16" s="1519" customFormat="1" ht="15" x14ac:dyDescent="0.3">
      <c r="A4" s="1515"/>
      <c r="B4" s="1516"/>
      <c r="C4" s="1517"/>
      <c r="D4" s="1518"/>
      <c r="H4" s="1520"/>
      <c r="I4" s="1521"/>
      <c r="J4" s="1522"/>
      <c r="K4" s="1522"/>
      <c r="L4" s="1522"/>
      <c r="M4" s="1523" t="s">
        <v>0</v>
      </c>
      <c r="N4" s="1523"/>
    </row>
    <row r="5" spans="1:16" s="1525" customFormat="1" ht="15" thickBot="1" x14ac:dyDescent="0.35">
      <c r="A5" s="1524"/>
      <c r="B5" s="1525" t="s">
        <v>1</v>
      </c>
      <c r="C5" s="1525" t="s">
        <v>3</v>
      </c>
      <c r="D5" s="1526" t="s">
        <v>2</v>
      </c>
      <c r="E5" s="1525" t="s">
        <v>4</v>
      </c>
      <c r="F5" s="1525" t="s">
        <v>5</v>
      </c>
      <c r="G5" s="1525" t="s">
        <v>15</v>
      </c>
      <c r="H5" s="1527" t="s">
        <v>16</v>
      </c>
      <c r="I5" s="1525" t="s">
        <v>17</v>
      </c>
      <c r="J5" s="1525" t="s">
        <v>32</v>
      </c>
      <c r="K5" s="1525" t="s">
        <v>28</v>
      </c>
      <c r="L5" s="1525" t="s">
        <v>23</v>
      </c>
      <c r="M5" s="1525" t="s">
        <v>33</v>
      </c>
      <c r="N5" s="1525" t="s">
        <v>34</v>
      </c>
    </row>
    <row r="6" spans="1:16" s="1538" customFormat="1" ht="34.5" customHeight="1" x14ac:dyDescent="0.2">
      <c r="A6" s="1528"/>
      <c r="B6" s="1529" t="s">
        <v>18</v>
      </c>
      <c r="C6" s="1530" t="s">
        <v>19</v>
      </c>
      <c r="D6" s="1531" t="s">
        <v>6</v>
      </c>
      <c r="E6" s="1532" t="s">
        <v>398</v>
      </c>
      <c r="F6" s="1532" t="s">
        <v>494</v>
      </c>
      <c r="G6" s="1533" t="s">
        <v>676</v>
      </c>
      <c r="H6" s="1534" t="s">
        <v>20</v>
      </c>
      <c r="I6" s="1535" t="s">
        <v>508</v>
      </c>
      <c r="J6" s="1536" t="s">
        <v>35</v>
      </c>
      <c r="K6" s="1536"/>
      <c r="L6" s="1536"/>
      <c r="M6" s="1536"/>
      <c r="N6" s="1537"/>
    </row>
    <row r="7" spans="1:16" s="1538" customFormat="1" ht="45.75" thickBot="1" x14ac:dyDescent="0.25">
      <c r="A7" s="1528"/>
      <c r="B7" s="1539"/>
      <c r="C7" s="1540"/>
      <c r="D7" s="1541"/>
      <c r="E7" s="1542"/>
      <c r="F7" s="1542"/>
      <c r="G7" s="1543"/>
      <c r="H7" s="1544"/>
      <c r="I7" s="1545"/>
      <c r="J7" s="1546" t="s">
        <v>36</v>
      </c>
      <c r="K7" s="1546" t="s">
        <v>622</v>
      </c>
      <c r="L7" s="1546" t="s">
        <v>38</v>
      </c>
      <c r="M7" s="1546" t="s">
        <v>174</v>
      </c>
      <c r="N7" s="1547" t="s">
        <v>39</v>
      </c>
    </row>
    <row r="8" spans="1:16" s="1538" customFormat="1" ht="23.25" customHeight="1" x14ac:dyDescent="0.3">
      <c r="A8" s="1528">
        <v>1</v>
      </c>
      <c r="B8" s="1548">
        <v>18</v>
      </c>
      <c r="C8" s="1549" t="s">
        <v>309</v>
      </c>
      <c r="D8" s="1550"/>
      <c r="E8" s="1551"/>
      <c r="F8" s="1551"/>
      <c r="G8" s="1552"/>
      <c r="H8" s="1553"/>
      <c r="I8" s="1554"/>
      <c r="J8" s="1555"/>
      <c r="K8" s="1555"/>
      <c r="L8" s="1555"/>
      <c r="M8" s="1555"/>
      <c r="N8" s="1556"/>
    </row>
    <row r="9" spans="1:16" s="1566" customFormat="1" ht="22.5" customHeight="1" x14ac:dyDescent="0.3">
      <c r="A9" s="1528">
        <v>2</v>
      </c>
      <c r="B9" s="1557"/>
      <c r="C9" s="1558">
        <v>1</v>
      </c>
      <c r="D9" s="1559" t="s">
        <v>40</v>
      </c>
      <c r="E9" s="1560">
        <v>833</v>
      </c>
      <c r="F9" s="1560">
        <v>1412</v>
      </c>
      <c r="G9" s="1561">
        <v>1060</v>
      </c>
      <c r="H9" s="1562" t="s">
        <v>23</v>
      </c>
      <c r="I9" s="1563"/>
      <c r="J9" s="1564"/>
      <c r="K9" s="1564"/>
      <c r="L9" s="1564"/>
      <c r="M9" s="1564"/>
      <c r="N9" s="1565"/>
    </row>
    <row r="10" spans="1:16" s="1577" customFormat="1" ht="18" customHeight="1" x14ac:dyDescent="0.3">
      <c r="A10" s="1528">
        <v>3</v>
      </c>
      <c r="B10" s="1567"/>
      <c r="C10" s="1568"/>
      <c r="D10" s="1569" t="s">
        <v>239</v>
      </c>
      <c r="E10" s="1570"/>
      <c r="F10" s="1570"/>
      <c r="G10" s="1571"/>
      <c r="H10" s="1572"/>
      <c r="I10" s="1573">
        <f>SUM(J10:N10)</f>
        <v>2164</v>
      </c>
      <c r="J10" s="1574"/>
      <c r="K10" s="1574"/>
      <c r="L10" s="1575">
        <f>1612+552</f>
        <v>2164</v>
      </c>
      <c r="M10" s="1574"/>
      <c r="N10" s="1576"/>
    </row>
    <row r="11" spans="1:16" s="1577" customFormat="1" ht="18" customHeight="1" x14ac:dyDescent="0.3">
      <c r="A11" s="1528">
        <v>4</v>
      </c>
      <c r="B11" s="1567"/>
      <c r="C11" s="1568"/>
      <c r="D11" s="1578" t="s">
        <v>702</v>
      </c>
      <c r="E11" s="1570"/>
      <c r="F11" s="1570"/>
      <c r="G11" s="1571"/>
      <c r="H11" s="1579"/>
      <c r="I11" s="1580">
        <f>SUM(J11:N11)</f>
        <v>2164</v>
      </c>
      <c r="J11" s="1564"/>
      <c r="K11" s="1564"/>
      <c r="L11" s="1581">
        <v>2164</v>
      </c>
      <c r="M11" s="1582"/>
      <c r="N11" s="1583"/>
    </row>
    <row r="12" spans="1:16" s="1577" customFormat="1" ht="18" customHeight="1" x14ac:dyDescent="0.3">
      <c r="A12" s="1528">
        <v>5</v>
      </c>
      <c r="B12" s="1567"/>
      <c r="C12" s="1568"/>
      <c r="D12" s="1584" t="s">
        <v>745</v>
      </c>
      <c r="E12" s="1570"/>
      <c r="F12" s="1570"/>
      <c r="G12" s="1571"/>
      <c r="H12" s="1579"/>
      <c r="I12" s="1585">
        <f>SUM(J12:Q12)</f>
        <v>237</v>
      </c>
      <c r="J12" s="1586"/>
      <c r="K12" s="1586"/>
      <c r="L12" s="1586">
        <v>237</v>
      </c>
      <c r="M12" s="1586"/>
      <c r="N12" s="1587"/>
    </row>
    <row r="13" spans="1:16" s="1566" customFormat="1" ht="22.5" customHeight="1" x14ac:dyDescent="0.3">
      <c r="A13" s="1528">
        <v>7</v>
      </c>
      <c r="B13" s="1588"/>
      <c r="C13" s="1589">
        <v>2</v>
      </c>
      <c r="D13" s="1590" t="s">
        <v>609</v>
      </c>
      <c r="E13" s="1570">
        <v>580</v>
      </c>
      <c r="F13" s="1570">
        <v>5479</v>
      </c>
      <c r="G13" s="1571">
        <v>68</v>
      </c>
      <c r="H13" s="1572" t="s">
        <v>24</v>
      </c>
      <c r="I13" s="1591"/>
      <c r="J13" s="1582"/>
      <c r="K13" s="1582"/>
      <c r="L13" s="1582"/>
      <c r="M13" s="1582"/>
      <c r="N13" s="1583"/>
      <c r="P13" s="1577"/>
    </row>
    <row r="14" spans="1:16" s="1577" customFormat="1" ht="18" customHeight="1" x14ac:dyDescent="0.3">
      <c r="A14" s="1528">
        <v>8</v>
      </c>
      <c r="B14" s="1567"/>
      <c r="C14" s="1568"/>
      <c r="D14" s="1569" t="s">
        <v>239</v>
      </c>
      <c r="E14" s="1570"/>
      <c r="F14" s="1570"/>
      <c r="G14" s="1571"/>
      <c r="H14" s="1572"/>
      <c r="I14" s="1573">
        <f>SUM(J14:N14)</f>
        <v>5000</v>
      </c>
      <c r="J14" s="1574"/>
      <c r="K14" s="1574"/>
      <c r="L14" s="1575">
        <v>5000</v>
      </c>
      <c r="M14" s="1574"/>
      <c r="N14" s="1592"/>
    </row>
    <row r="15" spans="1:16" s="1577" customFormat="1" ht="18" customHeight="1" x14ac:dyDescent="0.3">
      <c r="A15" s="1528">
        <v>9</v>
      </c>
      <c r="B15" s="1567"/>
      <c r="C15" s="1568"/>
      <c r="D15" s="1578" t="s">
        <v>702</v>
      </c>
      <c r="E15" s="1570"/>
      <c r="F15" s="1570"/>
      <c r="G15" s="1571"/>
      <c r="H15" s="1572"/>
      <c r="I15" s="1593">
        <f>SUM(J15:N15)</f>
        <v>47100</v>
      </c>
      <c r="J15" s="1594"/>
      <c r="K15" s="1594"/>
      <c r="L15" s="1595">
        <v>25100</v>
      </c>
      <c r="M15" s="1574"/>
      <c r="N15" s="1596">
        <v>22000</v>
      </c>
    </row>
    <row r="16" spans="1:16" s="1577" customFormat="1" ht="18" customHeight="1" x14ac:dyDescent="0.3">
      <c r="A16" s="1528">
        <v>10</v>
      </c>
      <c r="B16" s="1567"/>
      <c r="C16" s="1568"/>
      <c r="D16" s="1584" t="s">
        <v>745</v>
      </c>
      <c r="E16" s="1570"/>
      <c r="F16" s="1570"/>
      <c r="G16" s="1571"/>
      <c r="H16" s="1572"/>
      <c r="I16" s="1585">
        <f>SUM(J16:Q16)</f>
        <v>0</v>
      </c>
      <c r="J16" s="1597"/>
      <c r="K16" s="1597"/>
      <c r="L16" s="1597">
        <v>0</v>
      </c>
      <c r="M16" s="1597"/>
      <c r="N16" s="1598">
        <v>0</v>
      </c>
    </row>
    <row r="17" spans="1:16" s="1566" customFormat="1" ht="22.5" customHeight="1" x14ac:dyDescent="0.3">
      <c r="A17" s="1528">
        <v>13</v>
      </c>
      <c r="B17" s="1588"/>
      <c r="C17" s="1589">
        <v>3</v>
      </c>
      <c r="D17" s="1590" t="s">
        <v>41</v>
      </c>
      <c r="E17" s="1570">
        <v>6103</v>
      </c>
      <c r="F17" s="1570">
        <v>41684</v>
      </c>
      <c r="G17" s="1571">
        <v>3754</v>
      </c>
      <c r="H17" s="1572" t="s">
        <v>24</v>
      </c>
      <c r="I17" s="1599"/>
      <c r="J17" s="1600"/>
      <c r="K17" s="1600"/>
      <c r="L17" s="1600"/>
      <c r="M17" s="1600"/>
      <c r="N17" s="1601"/>
      <c r="P17" s="1577"/>
    </row>
    <row r="18" spans="1:16" s="1566" customFormat="1" ht="18" customHeight="1" x14ac:dyDescent="0.3">
      <c r="A18" s="1528">
        <v>14</v>
      </c>
      <c r="B18" s="1588"/>
      <c r="C18" s="1589"/>
      <c r="D18" s="1569" t="s">
        <v>239</v>
      </c>
      <c r="E18" s="1570"/>
      <c r="F18" s="1570"/>
      <c r="G18" s="1571"/>
      <c r="H18" s="1572"/>
      <c r="I18" s="1573">
        <f>SUM(J18:N18)</f>
        <v>20000</v>
      </c>
      <c r="J18" s="1602">
        <v>1500</v>
      </c>
      <c r="K18" s="1602">
        <v>500</v>
      </c>
      <c r="L18" s="1602">
        <v>9500</v>
      </c>
      <c r="M18" s="1600"/>
      <c r="N18" s="1603">
        <v>8500</v>
      </c>
      <c r="P18" s="1577"/>
    </row>
    <row r="19" spans="1:16" s="1566" customFormat="1" ht="18" customHeight="1" x14ac:dyDescent="0.3">
      <c r="A19" s="1528">
        <v>15</v>
      </c>
      <c r="B19" s="1588"/>
      <c r="C19" s="1589"/>
      <c r="D19" s="1578" t="s">
        <v>702</v>
      </c>
      <c r="E19" s="1570"/>
      <c r="F19" s="1570"/>
      <c r="G19" s="1571"/>
      <c r="H19" s="1572"/>
      <c r="I19" s="1593">
        <f>SUM(J19:N19)</f>
        <v>43000</v>
      </c>
      <c r="J19" s="1604">
        <v>2250</v>
      </c>
      <c r="K19" s="1604">
        <v>750</v>
      </c>
      <c r="L19" s="1604">
        <v>26500</v>
      </c>
      <c r="M19" s="1605"/>
      <c r="N19" s="1606">
        <v>13500</v>
      </c>
      <c r="P19" s="1577"/>
    </row>
    <row r="20" spans="1:16" s="1566" customFormat="1" ht="18" customHeight="1" x14ac:dyDescent="0.3">
      <c r="A20" s="1528">
        <v>16</v>
      </c>
      <c r="B20" s="1588"/>
      <c r="C20" s="1589"/>
      <c r="D20" s="1584" t="s">
        <v>745</v>
      </c>
      <c r="E20" s="1570"/>
      <c r="F20" s="1570"/>
      <c r="G20" s="1571"/>
      <c r="H20" s="1572"/>
      <c r="I20" s="1585">
        <f>SUM(J20:Q20)</f>
        <v>13463</v>
      </c>
      <c r="J20" s="1607">
        <v>1396</v>
      </c>
      <c r="K20" s="1607">
        <v>473</v>
      </c>
      <c r="L20" s="1607">
        <v>3444</v>
      </c>
      <c r="M20" s="1607"/>
      <c r="N20" s="1608">
        <v>8150</v>
      </c>
      <c r="P20" s="1577"/>
    </row>
    <row r="21" spans="1:16" s="1566" customFormat="1" ht="22.5" customHeight="1" x14ac:dyDescent="0.3">
      <c r="A21" s="1528">
        <v>18</v>
      </c>
      <c r="B21" s="1588"/>
      <c r="C21" s="1589">
        <v>4</v>
      </c>
      <c r="D21" s="1590" t="s">
        <v>42</v>
      </c>
      <c r="E21" s="1570">
        <v>6857</v>
      </c>
      <c r="F21" s="1570">
        <v>74055</v>
      </c>
      <c r="G21" s="1571">
        <v>30951</v>
      </c>
      <c r="H21" s="1572" t="s">
        <v>24</v>
      </c>
      <c r="I21" s="1573"/>
      <c r="J21" s="1574"/>
      <c r="K21" s="1574"/>
      <c r="L21" s="1574"/>
      <c r="M21" s="1574"/>
      <c r="N21" s="1576"/>
      <c r="P21" s="1577"/>
    </row>
    <row r="22" spans="1:16" s="1577" customFormat="1" ht="18" customHeight="1" x14ac:dyDescent="0.3">
      <c r="A22" s="1528">
        <v>19</v>
      </c>
      <c r="B22" s="1567"/>
      <c r="C22" s="1568"/>
      <c r="D22" s="1569" t="s">
        <v>239</v>
      </c>
      <c r="F22" s="1609"/>
      <c r="H22" s="1572"/>
      <c r="I22" s="1573">
        <f>SUM(J22:N22)</f>
        <v>57448</v>
      </c>
      <c r="J22" s="1575">
        <f>1180</f>
        <v>1180</v>
      </c>
      <c r="K22" s="1575">
        <f>501</f>
        <v>501</v>
      </c>
      <c r="L22" s="1575">
        <v>55767</v>
      </c>
      <c r="M22" s="1574"/>
      <c r="N22" s="1576"/>
    </row>
    <row r="23" spans="1:16" s="1577" customFormat="1" ht="18" customHeight="1" x14ac:dyDescent="0.3">
      <c r="A23" s="1528">
        <v>20</v>
      </c>
      <c r="B23" s="1567"/>
      <c r="C23" s="1568"/>
      <c r="D23" s="1578" t="s">
        <v>702</v>
      </c>
      <c r="E23" s="1610"/>
      <c r="F23" s="1611"/>
      <c r="G23" s="1612"/>
      <c r="H23" s="1572"/>
      <c r="I23" s="1593">
        <f>SUM(J23:N23)</f>
        <v>70523</v>
      </c>
      <c r="J23" s="1595">
        <v>3511</v>
      </c>
      <c r="K23" s="1595">
        <v>1245</v>
      </c>
      <c r="L23" s="1595">
        <v>65767</v>
      </c>
      <c r="M23" s="1574"/>
      <c r="N23" s="1576"/>
    </row>
    <row r="24" spans="1:16" s="1577" customFormat="1" ht="18" customHeight="1" x14ac:dyDescent="0.3">
      <c r="A24" s="1528">
        <v>21</v>
      </c>
      <c r="B24" s="1567"/>
      <c r="C24" s="1568"/>
      <c r="D24" s="1584" t="s">
        <v>745</v>
      </c>
      <c r="E24" s="1610"/>
      <c r="F24" s="1611"/>
      <c r="G24" s="1612"/>
      <c r="H24" s="1572"/>
      <c r="I24" s="1585">
        <f>SUM(J24:Q24)</f>
        <v>25596</v>
      </c>
      <c r="J24" s="1597">
        <v>34</v>
      </c>
      <c r="K24" s="1597">
        <v>26</v>
      </c>
      <c r="L24" s="1597">
        <v>25536</v>
      </c>
      <c r="M24" s="1574"/>
      <c r="N24" s="1576"/>
    </row>
    <row r="25" spans="1:16" s="1566" customFormat="1" ht="22.5" customHeight="1" x14ac:dyDescent="0.3">
      <c r="A25" s="1528">
        <v>23</v>
      </c>
      <c r="B25" s="1588"/>
      <c r="C25" s="1589">
        <v>5</v>
      </c>
      <c r="D25" s="1590" t="s">
        <v>12</v>
      </c>
      <c r="E25" s="1570">
        <v>18833</v>
      </c>
      <c r="F25" s="1570">
        <v>32429</v>
      </c>
      <c r="G25" s="1571">
        <v>29901</v>
      </c>
      <c r="H25" s="1572" t="s">
        <v>24</v>
      </c>
      <c r="I25" s="1599"/>
      <c r="J25" s="1600"/>
      <c r="K25" s="1600"/>
      <c r="L25" s="1600"/>
      <c r="M25" s="1600"/>
      <c r="N25" s="1601"/>
      <c r="O25" s="1577"/>
      <c r="P25" s="1577"/>
    </row>
    <row r="26" spans="1:16" s="1618" customFormat="1" ht="18" customHeight="1" x14ac:dyDescent="0.3">
      <c r="A26" s="1528">
        <v>24</v>
      </c>
      <c r="B26" s="1613"/>
      <c r="C26" s="1614"/>
      <c r="D26" s="1569" t="s">
        <v>239</v>
      </c>
      <c r="E26" s="1615"/>
      <c r="F26" s="1615"/>
      <c r="G26" s="1616"/>
      <c r="H26" s="1617"/>
      <c r="I26" s="1573">
        <f>SUM(J26:N26)</f>
        <v>32128</v>
      </c>
      <c r="J26" s="1575">
        <f>12704+383</f>
        <v>13087</v>
      </c>
      <c r="K26" s="1575">
        <f>2483+656</f>
        <v>3139</v>
      </c>
      <c r="L26" s="1575">
        <f>14463+1089</f>
        <v>15552</v>
      </c>
      <c r="M26" s="1575"/>
      <c r="N26" s="1592">
        <v>350</v>
      </c>
    </row>
    <row r="27" spans="1:16" s="1618" customFormat="1" ht="18" customHeight="1" x14ac:dyDescent="0.3">
      <c r="A27" s="1528">
        <v>25</v>
      </c>
      <c r="B27" s="1613"/>
      <c r="C27" s="1614"/>
      <c r="D27" s="1578" t="s">
        <v>702</v>
      </c>
      <c r="E27" s="1615"/>
      <c r="F27" s="1615"/>
      <c r="G27" s="1616"/>
      <c r="H27" s="1617"/>
      <c r="I27" s="1593">
        <f>SUM(J27:N27)</f>
        <v>33082</v>
      </c>
      <c r="J27" s="1595">
        <v>13931</v>
      </c>
      <c r="K27" s="1595">
        <v>3249</v>
      </c>
      <c r="L27" s="1595">
        <v>15552</v>
      </c>
      <c r="M27" s="1595"/>
      <c r="N27" s="1596">
        <v>350</v>
      </c>
    </row>
    <row r="28" spans="1:16" s="1618" customFormat="1" ht="18" customHeight="1" x14ac:dyDescent="0.3">
      <c r="A28" s="1528">
        <v>26</v>
      </c>
      <c r="B28" s="1613"/>
      <c r="C28" s="1614"/>
      <c r="D28" s="1584" t="s">
        <v>745</v>
      </c>
      <c r="E28" s="1615"/>
      <c r="F28" s="1615"/>
      <c r="G28" s="1616"/>
      <c r="H28" s="1617"/>
      <c r="I28" s="1585">
        <f>SUM(J28:Q28)</f>
        <v>14839</v>
      </c>
      <c r="J28" s="1597">
        <v>6967</v>
      </c>
      <c r="K28" s="1597">
        <v>1166</v>
      </c>
      <c r="L28" s="1597">
        <v>6380</v>
      </c>
      <c r="M28" s="1597"/>
      <c r="N28" s="1598">
        <v>326</v>
      </c>
    </row>
    <row r="29" spans="1:16" s="1618" customFormat="1" ht="22.5" customHeight="1" x14ac:dyDescent="0.3">
      <c r="A29" s="1528">
        <v>28</v>
      </c>
      <c r="B29" s="1613"/>
      <c r="C29" s="1589">
        <v>6</v>
      </c>
      <c r="D29" s="1590" t="s">
        <v>350</v>
      </c>
      <c r="E29" s="1570"/>
      <c r="F29" s="1570">
        <v>34500</v>
      </c>
      <c r="G29" s="1570">
        <v>9365</v>
      </c>
      <c r="H29" s="1572" t="s">
        <v>24</v>
      </c>
      <c r="I29" s="1573"/>
      <c r="J29" s="1575"/>
      <c r="K29" s="1575"/>
      <c r="L29" s="1575"/>
      <c r="M29" s="1575"/>
      <c r="N29" s="1592"/>
    </row>
    <row r="30" spans="1:16" s="1618" customFormat="1" ht="18" customHeight="1" x14ac:dyDescent="0.3">
      <c r="A30" s="1528">
        <v>29</v>
      </c>
      <c r="B30" s="1613"/>
      <c r="C30" s="1589"/>
      <c r="D30" s="1569" t="s">
        <v>239</v>
      </c>
      <c r="E30" s="1570"/>
      <c r="F30" s="1570"/>
      <c r="G30" s="1571"/>
      <c r="H30" s="1617"/>
      <c r="I30" s="1573">
        <f>SUM(J30:N30)</f>
        <v>43775</v>
      </c>
      <c r="J30" s="1575"/>
      <c r="K30" s="1575"/>
      <c r="L30" s="1575">
        <v>43775</v>
      </c>
      <c r="M30" s="1575"/>
      <c r="N30" s="1592"/>
    </row>
    <row r="31" spans="1:16" s="1618" customFormat="1" ht="18" customHeight="1" x14ac:dyDescent="0.3">
      <c r="A31" s="1528">
        <v>30</v>
      </c>
      <c r="B31" s="1613"/>
      <c r="C31" s="1589"/>
      <c r="D31" s="1578" t="s">
        <v>702</v>
      </c>
      <c r="E31" s="1570"/>
      <c r="F31" s="1570"/>
      <c r="G31" s="1571"/>
      <c r="H31" s="1617"/>
      <c r="I31" s="1593">
        <f>SUM(J31:N31)</f>
        <v>43775</v>
      </c>
      <c r="J31" s="1595"/>
      <c r="K31" s="1595"/>
      <c r="L31" s="1595">
        <v>43775</v>
      </c>
      <c r="M31" s="1575"/>
      <c r="N31" s="1592"/>
    </row>
    <row r="32" spans="1:16" s="1618" customFormat="1" ht="18" customHeight="1" x14ac:dyDescent="0.3">
      <c r="A32" s="1528">
        <v>31</v>
      </c>
      <c r="B32" s="1613"/>
      <c r="C32" s="1589"/>
      <c r="D32" s="1584" t="s">
        <v>745</v>
      </c>
      <c r="E32" s="1570"/>
      <c r="F32" s="1570"/>
      <c r="G32" s="1571"/>
      <c r="H32" s="1617"/>
      <c r="I32" s="1585">
        <f>SUM(J32:Q32)</f>
        <v>14174</v>
      </c>
      <c r="J32" s="1575"/>
      <c r="K32" s="1575"/>
      <c r="L32" s="1597">
        <v>14174</v>
      </c>
      <c r="M32" s="1575"/>
      <c r="N32" s="1592"/>
    </row>
    <row r="33" spans="1:16" s="1566" customFormat="1" ht="22.5" customHeight="1" x14ac:dyDescent="0.3">
      <c r="A33" s="1528">
        <v>33</v>
      </c>
      <c r="B33" s="1588"/>
      <c r="C33" s="1589">
        <v>7</v>
      </c>
      <c r="D33" s="1590" t="s">
        <v>10</v>
      </c>
      <c r="E33" s="1570">
        <f>SUM(E37,E41,E45,E49,E53)+E57+E61</f>
        <v>122000</v>
      </c>
      <c r="F33" s="1570">
        <f>SUM(F37,F41,F45,F49,F53)+F57+F61+F70+F74+F78</f>
        <v>203000</v>
      </c>
      <c r="G33" s="1570">
        <f>SUM(G37,G41,G45,G49,G53)+G57+G61+G70+G74+G78</f>
        <v>195000</v>
      </c>
      <c r="H33" s="1572" t="s">
        <v>24</v>
      </c>
      <c r="I33" s="1599"/>
      <c r="J33" s="1600"/>
      <c r="K33" s="1600"/>
      <c r="L33" s="1600"/>
      <c r="M33" s="1600"/>
      <c r="N33" s="1601"/>
      <c r="O33" s="1577"/>
      <c r="P33" s="1577"/>
    </row>
    <row r="34" spans="1:16" s="1577" customFormat="1" ht="18" customHeight="1" x14ac:dyDescent="0.3">
      <c r="A34" s="1528">
        <v>34</v>
      </c>
      <c r="B34" s="1567"/>
      <c r="C34" s="1568"/>
      <c r="D34" s="1569" t="s">
        <v>239</v>
      </c>
      <c r="E34" s="1570"/>
      <c r="F34" s="1570"/>
      <c r="G34" s="1571"/>
      <c r="H34" s="1572"/>
      <c r="I34" s="1573">
        <f>SUM(J34:N34)</f>
        <v>276000</v>
      </c>
      <c r="J34" s="1575">
        <f>SUM(J42,J58,)+J38+J46+J50+J54+J71+J75+J79+J63+J67</f>
        <v>0</v>
      </c>
      <c r="K34" s="1575">
        <f>SUM(K42,K58,)+K38+K46+K50+K54+K71+K75+K79+K63+K67</f>
        <v>0</v>
      </c>
      <c r="L34" s="1575">
        <f>SUM(L42,L58,)+L38+L46+L50+L54+L71+L75+L79+L63+L67</f>
        <v>0</v>
      </c>
      <c r="M34" s="1575">
        <f>SUM(M42,M58,)+M38+M46+M50+M54+M71+M75+M79+M63+M67</f>
        <v>0</v>
      </c>
      <c r="N34" s="1592">
        <f>SUM(N42,N58,)+N38+N46+N50+N54+N71+N75+N79+N63+N67</f>
        <v>276000</v>
      </c>
    </row>
    <row r="35" spans="1:16" s="1577" customFormat="1" ht="18" customHeight="1" x14ac:dyDescent="0.3">
      <c r="A35" s="1528">
        <v>35</v>
      </c>
      <c r="B35" s="1567"/>
      <c r="C35" s="1568"/>
      <c r="D35" s="1578" t="s">
        <v>702</v>
      </c>
      <c r="E35" s="1570"/>
      <c r="F35" s="1570"/>
      <c r="G35" s="1571"/>
      <c r="H35" s="1572"/>
      <c r="I35" s="1593">
        <f>SUM(J35:N35)</f>
        <v>308500</v>
      </c>
      <c r="J35" s="1595">
        <f>J39+J43+J47+J51+J55+J59+J64+J68+J72+J76+J80+J83</f>
        <v>0</v>
      </c>
      <c r="K35" s="1595">
        <f>K39+K43+K47+K51+K55+K59+K64+K68+K72+K76+K80+K83</f>
        <v>0</v>
      </c>
      <c r="L35" s="1595">
        <f>L39+L43+L47+L51+L55+L59+L64+L68+L72+L76+L80+L83</f>
        <v>0</v>
      </c>
      <c r="M35" s="1595">
        <f>M39+M43+M47+M51+M55+M59+M64+M68+M72+M76+M80+M83</f>
        <v>0</v>
      </c>
      <c r="N35" s="1596">
        <f>N39+N43+N47+N51+N55+N59+N64+N68+N72+N76+N80+N83</f>
        <v>308500</v>
      </c>
    </row>
    <row r="36" spans="1:16" s="1577" customFormat="1" ht="18" customHeight="1" x14ac:dyDescent="0.3">
      <c r="A36" s="1528">
        <v>36</v>
      </c>
      <c r="B36" s="1567"/>
      <c r="C36" s="1568"/>
      <c r="D36" s="1584" t="s">
        <v>745</v>
      </c>
      <c r="E36" s="1570"/>
      <c r="F36" s="1570"/>
      <c r="G36" s="1571"/>
      <c r="H36" s="1572"/>
      <c r="I36" s="1585">
        <f>SUM(J36:Q36)</f>
        <v>216150</v>
      </c>
      <c r="J36" s="1597">
        <f>SUM(J44,J60,)+J40+J48+J52+J56+J73+J77+J81+J65+J69+J84</f>
        <v>0</v>
      </c>
      <c r="K36" s="1597">
        <f>SUM(K44,K60,)+K40+K48+K52+K56+K73+K77+K81+K65+K69+K84</f>
        <v>0</v>
      </c>
      <c r="L36" s="1597">
        <f>SUM(L44,L60,)+L40+L48+L52+L56+L73+L77+L81+L65+L69+L84</f>
        <v>0</v>
      </c>
      <c r="M36" s="1597">
        <f>SUM(M44,M60,)+M40+M48+M52+M56+M73+M77+M81+M65+M69+M84</f>
        <v>0</v>
      </c>
      <c r="N36" s="1598">
        <v>216150</v>
      </c>
    </row>
    <row r="37" spans="1:16" s="1626" customFormat="1" ht="18" customHeight="1" x14ac:dyDescent="0.3">
      <c r="A37" s="1528">
        <v>38</v>
      </c>
      <c r="B37" s="1619"/>
      <c r="C37" s="1620"/>
      <c r="D37" s="1621" t="s">
        <v>412</v>
      </c>
      <c r="E37" s="1570">
        <v>40000</v>
      </c>
      <c r="F37" s="1570">
        <v>40000</v>
      </c>
      <c r="G37" s="1571">
        <v>40000</v>
      </c>
      <c r="H37" s="1622"/>
      <c r="I37" s="1623"/>
      <c r="J37" s="1624"/>
      <c r="K37" s="1624"/>
      <c r="L37" s="1624"/>
      <c r="M37" s="1624"/>
      <c r="N37" s="1625"/>
      <c r="P37" s="1577"/>
    </row>
    <row r="38" spans="1:16" s="1626" customFormat="1" ht="18" customHeight="1" x14ac:dyDescent="0.3">
      <c r="A38" s="1528">
        <v>39</v>
      </c>
      <c r="B38" s="1619"/>
      <c r="C38" s="1620"/>
      <c r="D38" s="1627" t="s">
        <v>239</v>
      </c>
      <c r="E38" s="1570"/>
      <c r="F38" s="1570"/>
      <c r="G38" s="1571"/>
      <c r="H38" s="1622"/>
      <c r="I38" s="1628">
        <f>SUM(J38:N38)</f>
        <v>30000</v>
      </c>
      <c r="J38" s="1624"/>
      <c r="K38" s="1624"/>
      <c r="L38" s="1624"/>
      <c r="M38" s="1624"/>
      <c r="N38" s="1625">
        <v>30000</v>
      </c>
      <c r="P38" s="1577"/>
    </row>
    <row r="39" spans="1:16" s="1626" customFormat="1" ht="18" customHeight="1" x14ac:dyDescent="0.3">
      <c r="A39" s="1528">
        <v>40</v>
      </c>
      <c r="B39" s="1619"/>
      <c r="C39" s="1620"/>
      <c r="D39" s="1629" t="s">
        <v>702</v>
      </c>
      <c r="E39" s="1570"/>
      <c r="F39" s="1570"/>
      <c r="G39" s="1571"/>
      <c r="H39" s="1622"/>
      <c r="I39" s="1630">
        <f>SUM(J39:N39)</f>
        <v>30000</v>
      </c>
      <c r="J39" s="1597"/>
      <c r="K39" s="1597"/>
      <c r="L39" s="1597"/>
      <c r="M39" s="1597"/>
      <c r="N39" s="1598">
        <v>30000</v>
      </c>
      <c r="P39" s="1577"/>
    </row>
    <row r="40" spans="1:16" s="1626" customFormat="1" ht="18" customHeight="1" x14ac:dyDescent="0.3">
      <c r="A40" s="1528">
        <v>41</v>
      </c>
      <c r="B40" s="1619"/>
      <c r="C40" s="1620"/>
      <c r="D40" s="1629" t="s">
        <v>745</v>
      </c>
      <c r="E40" s="1570"/>
      <c r="F40" s="1570"/>
      <c r="G40" s="1571"/>
      <c r="H40" s="1622"/>
      <c r="I40" s="1585">
        <f>SUM(J40:Q40)</f>
        <v>15000</v>
      </c>
      <c r="J40" s="1624"/>
      <c r="K40" s="1624"/>
      <c r="L40" s="1624"/>
      <c r="M40" s="1624"/>
      <c r="N40" s="1598">
        <v>15000</v>
      </c>
      <c r="P40" s="1577"/>
    </row>
    <row r="41" spans="1:16" s="1626" customFormat="1" ht="18" customHeight="1" x14ac:dyDescent="0.3">
      <c r="A41" s="1528">
        <v>43</v>
      </c>
      <c r="B41" s="1619"/>
      <c r="C41" s="1620"/>
      <c r="D41" s="1621" t="s">
        <v>43</v>
      </c>
      <c r="E41" s="1570">
        <v>20000</v>
      </c>
      <c r="F41" s="1570"/>
      <c r="G41" s="1571"/>
      <c r="H41" s="1622"/>
      <c r="I41" s="1631"/>
      <c r="J41" s="1632"/>
      <c r="K41" s="1632"/>
      <c r="L41" s="1632"/>
      <c r="M41" s="1632"/>
      <c r="N41" s="1633"/>
      <c r="P41" s="1577"/>
    </row>
    <row r="42" spans="1:16" s="1626" customFormat="1" ht="18" customHeight="1" x14ac:dyDescent="0.3">
      <c r="A42" s="1528">
        <v>44</v>
      </c>
      <c r="B42" s="1619"/>
      <c r="C42" s="1568"/>
      <c r="D42" s="1627" t="s">
        <v>239</v>
      </c>
      <c r="E42" s="1570"/>
      <c r="F42" s="1570"/>
      <c r="G42" s="1571"/>
      <c r="H42" s="1622"/>
      <c r="I42" s="1628">
        <f>SUM(J42:N42)</f>
        <v>50000</v>
      </c>
      <c r="J42" s="1624"/>
      <c r="K42" s="1624"/>
      <c r="L42" s="1624"/>
      <c r="M42" s="1624"/>
      <c r="N42" s="1625">
        <v>50000</v>
      </c>
      <c r="P42" s="1577"/>
    </row>
    <row r="43" spans="1:16" s="1626" customFormat="1" ht="18" customHeight="1" x14ac:dyDescent="0.3">
      <c r="A43" s="1528">
        <v>45</v>
      </c>
      <c r="B43" s="1619"/>
      <c r="C43" s="1568"/>
      <c r="D43" s="1629" t="s">
        <v>702</v>
      </c>
      <c r="E43" s="1570"/>
      <c r="F43" s="1570"/>
      <c r="G43" s="1571"/>
      <c r="H43" s="1622"/>
      <c r="I43" s="1630">
        <f>SUM(J43:N43)</f>
        <v>75000</v>
      </c>
      <c r="J43" s="1597"/>
      <c r="K43" s="1597"/>
      <c r="L43" s="1597"/>
      <c r="M43" s="1597"/>
      <c r="N43" s="1598">
        <v>75000</v>
      </c>
      <c r="P43" s="1577"/>
    </row>
    <row r="44" spans="1:16" s="1626" customFormat="1" ht="18" customHeight="1" x14ac:dyDescent="0.3">
      <c r="A44" s="1528">
        <v>46</v>
      </c>
      <c r="B44" s="1619"/>
      <c r="C44" s="1568"/>
      <c r="D44" s="1629" t="s">
        <v>745</v>
      </c>
      <c r="E44" s="1570"/>
      <c r="F44" s="1570"/>
      <c r="G44" s="1571"/>
      <c r="H44" s="1622"/>
      <c r="I44" s="1585">
        <f>SUM(J44:Q44)</f>
        <v>63650</v>
      </c>
      <c r="J44" s="1624"/>
      <c r="K44" s="1624"/>
      <c r="L44" s="1624"/>
      <c r="M44" s="1624"/>
      <c r="N44" s="1598">
        <v>63650</v>
      </c>
      <c r="P44" s="1577"/>
    </row>
    <row r="45" spans="1:16" s="1626" customFormat="1" ht="18" customHeight="1" x14ac:dyDescent="0.3">
      <c r="A45" s="1528">
        <v>48</v>
      </c>
      <c r="B45" s="1619"/>
      <c r="C45" s="1620"/>
      <c r="D45" s="1621" t="s">
        <v>44</v>
      </c>
      <c r="E45" s="1570">
        <v>5000</v>
      </c>
      <c r="F45" s="1570">
        <v>20000</v>
      </c>
      <c r="G45" s="1571">
        <v>20000</v>
      </c>
      <c r="H45" s="1622"/>
      <c r="I45" s="1631"/>
      <c r="J45" s="1632"/>
      <c r="K45" s="1632"/>
      <c r="L45" s="1632"/>
      <c r="M45" s="1632"/>
      <c r="N45" s="1633"/>
      <c r="P45" s="1577"/>
    </row>
    <row r="46" spans="1:16" s="1626" customFormat="1" ht="18" customHeight="1" x14ac:dyDescent="0.3">
      <c r="A46" s="1528">
        <v>49</v>
      </c>
      <c r="B46" s="1619"/>
      <c r="C46" s="1620"/>
      <c r="D46" s="1627" t="s">
        <v>239</v>
      </c>
      <c r="E46" s="1570"/>
      <c r="F46" s="1570"/>
      <c r="G46" s="1571"/>
      <c r="H46" s="1622"/>
      <c r="I46" s="1628">
        <f>SUM(J46:N46)</f>
        <v>20000</v>
      </c>
      <c r="J46" s="1632"/>
      <c r="K46" s="1632"/>
      <c r="L46" s="1632"/>
      <c r="M46" s="1632"/>
      <c r="N46" s="1633">
        <v>20000</v>
      </c>
      <c r="P46" s="1577"/>
    </row>
    <row r="47" spans="1:16" s="1626" customFormat="1" ht="18" customHeight="1" x14ac:dyDescent="0.3">
      <c r="A47" s="1528">
        <v>50</v>
      </c>
      <c r="B47" s="1619"/>
      <c r="C47" s="1620"/>
      <c r="D47" s="1629" t="s">
        <v>702</v>
      </c>
      <c r="E47" s="1570"/>
      <c r="F47" s="1570"/>
      <c r="G47" s="1571"/>
      <c r="H47" s="1622"/>
      <c r="I47" s="1630">
        <f>SUM(J47:N47)</f>
        <v>20000</v>
      </c>
      <c r="J47" s="1607"/>
      <c r="K47" s="1607"/>
      <c r="L47" s="1607"/>
      <c r="M47" s="1607"/>
      <c r="N47" s="1608">
        <v>20000</v>
      </c>
      <c r="P47" s="1577"/>
    </row>
    <row r="48" spans="1:16" s="1626" customFormat="1" ht="18" customHeight="1" x14ac:dyDescent="0.3">
      <c r="A48" s="1528">
        <v>51</v>
      </c>
      <c r="B48" s="1619"/>
      <c r="C48" s="1620"/>
      <c r="D48" s="1629" t="s">
        <v>745</v>
      </c>
      <c r="E48" s="1570"/>
      <c r="F48" s="1570"/>
      <c r="G48" s="1571"/>
      <c r="H48" s="1622"/>
      <c r="I48" s="1585">
        <f>SUM(J48:Q48)</f>
        <v>20000</v>
      </c>
      <c r="J48" s="1632"/>
      <c r="K48" s="1632"/>
      <c r="L48" s="1632"/>
      <c r="M48" s="1632"/>
      <c r="N48" s="1598">
        <v>20000</v>
      </c>
      <c r="P48" s="1577"/>
    </row>
    <row r="49" spans="1:16" s="1626" customFormat="1" ht="18" customHeight="1" x14ac:dyDescent="0.3">
      <c r="A49" s="1528">
        <v>53</v>
      </c>
      <c r="B49" s="1619"/>
      <c r="C49" s="1620"/>
      <c r="D49" s="1621" t="s">
        <v>45</v>
      </c>
      <c r="E49" s="1570">
        <v>15000</v>
      </c>
      <c r="F49" s="1570">
        <v>30000</v>
      </c>
      <c r="G49" s="1571">
        <v>65000</v>
      </c>
      <c r="H49" s="1622"/>
      <c r="I49" s="1631"/>
      <c r="J49" s="1632"/>
      <c r="K49" s="1632"/>
      <c r="L49" s="1632"/>
      <c r="M49" s="1632"/>
      <c r="N49" s="1633"/>
      <c r="P49" s="1577"/>
    </row>
    <row r="50" spans="1:16" s="1626" customFormat="1" ht="18" customHeight="1" x14ac:dyDescent="0.3">
      <c r="A50" s="1528">
        <v>54</v>
      </c>
      <c r="B50" s="1619"/>
      <c r="C50" s="1620"/>
      <c r="D50" s="1627" t="s">
        <v>239</v>
      </c>
      <c r="E50" s="1570"/>
      <c r="F50" s="1570"/>
      <c r="G50" s="1571"/>
      <c r="H50" s="1622"/>
      <c r="I50" s="1628">
        <f>SUM(J50:N50)</f>
        <v>65000</v>
      </c>
      <c r="J50" s="1632"/>
      <c r="K50" s="1632"/>
      <c r="L50" s="1632"/>
      <c r="M50" s="1632"/>
      <c r="N50" s="1633">
        <v>65000</v>
      </c>
      <c r="P50" s="1577"/>
    </row>
    <row r="51" spans="1:16" s="1626" customFormat="1" ht="18" customHeight="1" x14ac:dyDescent="0.3">
      <c r="A51" s="1528">
        <v>55</v>
      </c>
      <c r="B51" s="1619"/>
      <c r="C51" s="1620"/>
      <c r="D51" s="1629" t="s">
        <v>702</v>
      </c>
      <c r="E51" s="1570"/>
      <c r="F51" s="1570"/>
      <c r="G51" s="1571"/>
      <c r="H51" s="1622"/>
      <c r="I51" s="1630">
        <f>SUM(J51:N51)</f>
        <v>65000</v>
      </c>
      <c r="J51" s="1607"/>
      <c r="K51" s="1607"/>
      <c r="L51" s="1607"/>
      <c r="M51" s="1607"/>
      <c r="N51" s="1608">
        <v>65000</v>
      </c>
      <c r="P51" s="1577"/>
    </row>
    <row r="52" spans="1:16" s="1626" customFormat="1" ht="18" customHeight="1" x14ac:dyDescent="0.3">
      <c r="A52" s="1528">
        <v>56</v>
      </c>
      <c r="B52" s="1619"/>
      <c r="C52" s="1620"/>
      <c r="D52" s="1629" t="s">
        <v>745</v>
      </c>
      <c r="E52" s="1570"/>
      <c r="F52" s="1570"/>
      <c r="G52" s="1571"/>
      <c r="H52" s="1622"/>
      <c r="I52" s="1585">
        <f>SUM(J52:Q52)</f>
        <v>30000</v>
      </c>
      <c r="J52" s="1632"/>
      <c r="K52" s="1632"/>
      <c r="L52" s="1632"/>
      <c r="M52" s="1632"/>
      <c r="N52" s="1598">
        <v>30000</v>
      </c>
      <c r="P52" s="1577"/>
    </row>
    <row r="53" spans="1:16" s="1626" customFormat="1" ht="18" customHeight="1" x14ac:dyDescent="0.3">
      <c r="A53" s="1528">
        <v>58</v>
      </c>
      <c r="B53" s="1619"/>
      <c r="C53" s="1568"/>
      <c r="D53" s="1621" t="s">
        <v>46</v>
      </c>
      <c r="E53" s="1570">
        <v>10000</v>
      </c>
      <c r="F53" s="1570">
        <v>40000</v>
      </c>
      <c r="G53" s="1571">
        <v>40000</v>
      </c>
      <c r="H53" s="1622"/>
      <c r="I53" s="1631"/>
      <c r="J53" s="1632"/>
      <c r="K53" s="1632"/>
      <c r="L53" s="1632"/>
      <c r="M53" s="1632"/>
      <c r="N53" s="1633"/>
    </row>
    <row r="54" spans="1:16" s="1626" customFormat="1" ht="18" customHeight="1" x14ac:dyDescent="0.3">
      <c r="A54" s="1528">
        <v>59</v>
      </c>
      <c r="B54" s="1619"/>
      <c r="C54" s="1568"/>
      <c r="D54" s="1627" t="s">
        <v>239</v>
      </c>
      <c r="E54" s="1570"/>
      <c r="F54" s="1570"/>
      <c r="G54" s="1571"/>
      <c r="H54" s="1622"/>
      <c r="I54" s="1628">
        <f>SUM(J54:N54)</f>
        <v>20000</v>
      </c>
      <c r="J54" s="1632"/>
      <c r="K54" s="1632"/>
      <c r="L54" s="1632"/>
      <c r="M54" s="1632"/>
      <c r="N54" s="1633">
        <v>20000</v>
      </c>
    </row>
    <row r="55" spans="1:16" s="1626" customFormat="1" ht="18" customHeight="1" x14ac:dyDescent="0.3">
      <c r="A55" s="1528">
        <v>60</v>
      </c>
      <c r="B55" s="1619"/>
      <c r="C55" s="1568"/>
      <c r="D55" s="1629" t="s">
        <v>702</v>
      </c>
      <c r="E55" s="1570"/>
      <c r="F55" s="1570"/>
      <c r="G55" s="1571"/>
      <c r="H55" s="1622"/>
      <c r="I55" s="1630">
        <f>SUM(J55:N55)</f>
        <v>50000</v>
      </c>
      <c r="J55" s="1607"/>
      <c r="K55" s="1607"/>
      <c r="L55" s="1607"/>
      <c r="M55" s="1607"/>
      <c r="N55" s="1608">
        <v>50000</v>
      </c>
    </row>
    <row r="56" spans="1:16" s="1626" customFormat="1" ht="18" customHeight="1" x14ac:dyDescent="0.3">
      <c r="A56" s="1528">
        <v>61</v>
      </c>
      <c r="B56" s="1619"/>
      <c r="C56" s="1568"/>
      <c r="D56" s="1629" t="s">
        <v>745</v>
      </c>
      <c r="E56" s="1570"/>
      <c r="F56" s="1570"/>
      <c r="G56" s="1571"/>
      <c r="H56" s="1622"/>
      <c r="I56" s="1585">
        <f>SUM(J56:Q56)</f>
        <v>50000</v>
      </c>
      <c r="J56" s="1632"/>
      <c r="K56" s="1632"/>
      <c r="L56" s="1632"/>
      <c r="M56" s="1632"/>
      <c r="N56" s="1608">
        <v>50000</v>
      </c>
    </row>
    <row r="57" spans="1:16" s="1626" customFormat="1" ht="18" customHeight="1" x14ac:dyDescent="0.3">
      <c r="A57" s="1528">
        <v>63</v>
      </c>
      <c r="B57" s="1619"/>
      <c r="C57" s="1568"/>
      <c r="D57" s="1621" t="s">
        <v>346</v>
      </c>
      <c r="E57" s="1570">
        <v>20000</v>
      </c>
      <c r="F57" s="1570">
        <v>20000</v>
      </c>
      <c r="G57" s="1571">
        <v>20000</v>
      </c>
      <c r="H57" s="1622"/>
      <c r="I57" s="1623"/>
      <c r="J57" s="1624"/>
      <c r="K57" s="1624"/>
      <c r="L57" s="1624"/>
      <c r="M57" s="1624"/>
      <c r="N57" s="1625"/>
    </row>
    <row r="58" spans="1:16" s="1626" customFormat="1" ht="18" customHeight="1" x14ac:dyDescent="0.3">
      <c r="A58" s="1528">
        <v>64</v>
      </c>
      <c r="B58" s="1619"/>
      <c r="C58" s="1568"/>
      <c r="D58" s="1627" t="s">
        <v>239</v>
      </c>
      <c r="E58" s="1570"/>
      <c r="F58" s="1570"/>
      <c r="G58" s="1571"/>
      <c r="H58" s="1622"/>
      <c r="I58" s="1628">
        <f>SUM(J58:N58)</f>
        <v>10000</v>
      </c>
      <c r="J58" s="1624"/>
      <c r="K58" s="1624"/>
      <c r="L58" s="1624"/>
      <c r="M58" s="1624"/>
      <c r="N58" s="1625">
        <v>10000</v>
      </c>
    </row>
    <row r="59" spans="1:16" s="1626" customFormat="1" ht="18" customHeight="1" x14ac:dyDescent="0.3">
      <c r="A59" s="1528">
        <v>65</v>
      </c>
      <c r="B59" s="1619"/>
      <c r="C59" s="1568"/>
      <c r="D59" s="1629" t="s">
        <v>702</v>
      </c>
      <c r="E59" s="1570"/>
      <c r="F59" s="1570"/>
      <c r="G59" s="1571"/>
      <c r="H59" s="1622"/>
      <c r="I59" s="1630">
        <f>SUM(J59:N59)</f>
        <v>10000</v>
      </c>
      <c r="J59" s="1597"/>
      <c r="K59" s="1597"/>
      <c r="L59" s="1597"/>
      <c r="M59" s="1597"/>
      <c r="N59" s="1598">
        <v>10000</v>
      </c>
    </row>
    <row r="60" spans="1:16" s="1626" customFormat="1" ht="18" customHeight="1" x14ac:dyDescent="0.3">
      <c r="A60" s="1528">
        <v>66</v>
      </c>
      <c r="B60" s="1619"/>
      <c r="C60" s="1568"/>
      <c r="D60" s="1629" t="s">
        <v>745</v>
      </c>
      <c r="E60" s="1570"/>
      <c r="F60" s="1570"/>
      <c r="G60" s="1571"/>
      <c r="H60" s="1622"/>
      <c r="I60" s="1585">
        <f>SUM(J60:Q60)</f>
        <v>10000</v>
      </c>
      <c r="J60" s="1624"/>
      <c r="K60" s="1624"/>
      <c r="L60" s="1624"/>
      <c r="M60" s="1624"/>
      <c r="N60" s="1608">
        <v>10000</v>
      </c>
    </row>
    <row r="61" spans="1:16" s="1626" customFormat="1" ht="18" customHeight="1" x14ac:dyDescent="0.3">
      <c r="A61" s="1528">
        <v>68</v>
      </c>
      <c r="B61" s="1619"/>
      <c r="C61" s="1568"/>
      <c r="D61" s="1621" t="s">
        <v>347</v>
      </c>
      <c r="E61" s="1570">
        <v>12000</v>
      </c>
      <c r="F61" s="1570">
        <v>10000</v>
      </c>
      <c r="G61" s="1571">
        <v>10000</v>
      </c>
      <c r="H61" s="1622"/>
      <c r="I61" s="1623"/>
      <c r="J61" s="1624"/>
      <c r="K61" s="1624"/>
      <c r="L61" s="1624"/>
      <c r="M61" s="1624"/>
      <c r="N61" s="1625"/>
    </row>
    <row r="62" spans="1:16" s="1626" customFormat="1" ht="18" customHeight="1" x14ac:dyDescent="0.3">
      <c r="A62" s="1528">
        <v>69</v>
      </c>
      <c r="B62" s="1619"/>
      <c r="C62" s="1568"/>
      <c r="D62" s="1621" t="s">
        <v>550</v>
      </c>
      <c r="E62" s="1570"/>
      <c r="F62" s="1570"/>
      <c r="G62" s="1571"/>
      <c r="H62" s="1622"/>
      <c r="I62" s="1628"/>
      <c r="J62" s="1624"/>
      <c r="K62" s="1624"/>
      <c r="L62" s="1624"/>
      <c r="M62" s="1624"/>
      <c r="N62" s="1625"/>
    </row>
    <row r="63" spans="1:16" s="1626" customFormat="1" ht="18" customHeight="1" x14ac:dyDescent="0.3">
      <c r="A63" s="1528">
        <v>70</v>
      </c>
      <c r="B63" s="1619"/>
      <c r="C63" s="1568"/>
      <c r="D63" s="1627" t="s">
        <v>239</v>
      </c>
      <c r="E63" s="1570"/>
      <c r="F63" s="1570"/>
      <c r="G63" s="1571"/>
      <c r="H63" s="1622"/>
      <c r="I63" s="1628">
        <f>SUM(J63:N63)</f>
        <v>50000</v>
      </c>
      <c r="J63" s="1624"/>
      <c r="K63" s="1624"/>
      <c r="L63" s="1624"/>
      <c r="M63" s="1624"/>
      <c r="N63" s="1625">
        <v>50000</v>
      </c>
    </row>
    <row r="64" spans="1:16" s="1626" customFormat="1" ht="18" customHeight="1" x14ac:dyDescent="0.3">
      <c r="A64" s="1528">
        <v>71</v>
      </c>
      <c r="B64" s="1619"/>
      <c r="C64" s="1568"/>
      <c r="D64" s="1629" t="s">
        <v>702</v>
      </c>
      <c r="E64" s="1570"/>
      <c r="F64" s="1570"/>
      <c r="G64" s="1571"/>
      <c r="H64" s="1622"/>
      <c r="I64" s="1630">
        <f>SUM(J64:N64)</f>
        <v>50000</v>
      </c>
      <c r="J64" s="1597"/>
      <c r="K64" s="1597"/>
      <c r="L64" s="1597"/>
      <c r="M64" s="1597"/>
      <c r="N64" s="1598">
        <v>50000</v>
      </c>
    </row>
    <row r="65" spans="1:14" s="1626" customFormat="1" ht="18" customHeight="1" x14ac:dyDescent="0.3">
      <c r="A65" s="1528">
        <v>72</v>
      </c>
      <c r="B65" s="1619"/>
      <c r="C65" s="1568"/>
      <c r="D65" s="1629" t="s">
        <v>745</v>
      </c>
      <c r="E65" s="1570"/>
      <c r="F65" s="1570"/>
      <c r="G65" s="1571"/>
      <c r="H65" s="1622"/>
      <c r="I65" s="1585">
        <f>SUM(J65:Q65)</f>
        <v>25000</v>
      </c>
      <c r="J65" s="1624"/>
      <c r="K65" s="1624"/>
      <c r="L65" s="1624"/>
      <c r="M65" s="1624"/>
      <c r="N65" s="1608">
        <v>25000</v>
      </c>
    </row>
    <row r="66" spans="1:14" s="1626" customFormat="1" ht="18" customHeight="1" x14ac:dyDescent="0.3">
      <c r="A66" s="1528">
        <v>74</v>
      </c>
      <c r="B66" s="1619"/>
      <c r="C66" s="1568"/>
      <c r="D66" s="1621" t="s">
        <v>551</v>
      </c>
      <c r="E66" s="1570"/>
      <c r="F66" s="1570"/>
      <c r="G66" s="1571"/>
      <c r="H66" s="1622"/>
      <c r="I66" s="1628"/>
      <c r="J66" s="1624"/>
      <c r="K66" s="1624"/>
      <c r="L66" s="1624"/>
      <c r="M66" s="1624"/>
      <c r="N66" s="1625"/>
    </row>
    <row r="67" spans="1:14" s="1626" customFormat="1" ht="18" customHeight="1" x14ac:dyDescent="0.3">
      <c r="A67" s="1528">
        <v>75</v>
      </c>
      <c r="B67" s="1619"/>
      <c r="C67" s="1568"/>
      <c r="D67" s="1627" t="s">
        <v>239</v>
      </c>
      <c r="E67" s="1570"/>
      <c r="F67" s="1570"/>
      <c r="G67" s="1571"/>
      <c r="H67" s="1622"/>
      <c r="I67" s="1628">
        <f>SUM(J67:N67)</f>
        <v>5000</v>
      </c>
      <c r="J67" s="1624"/>
      <c r="K67" s="1624"/>
      <c r="L67" s="1624"/>
      <c r="M67" s="1624"/>
      <c r="N67" s="1625">
        <v>5000</v>
      </c>
    </row>
    <row r="68" spans="1:14" s="1626" customFormat="1" ht="18" customHeight="1" x14ac:dyDescent="0.3">
      <c r="A68" s="1528">
        <v>76</v>
      </c>
      <c r="B68" s="1619"/>
      <c r="C68" s="1568"/>
      <c r="D68" s="1629" t="s">
        <v>702</v>
      </c>
      <c r="E68" s="1570"/>
      <c r="F68" s="1570"/>
      <c r="G68" s="1571"/>
      <c r="H68" s="1622"/>
      <c r="I68" s="1630">
        <f>SUM(J68:N68)</f>
        <v>5000</v>
      </c>
      <c r="J68" s="1597"/>
      <c r="K68" s="1597"/>
      <c r="L68" s="1597"/>
      <c r="M68" s="1597"/>
      <c r="N68" s="1598">
        <v>5000</v>
      </c>
    </row>
    <row r="69" spans="1:14" s="1626" customFormat="1" ht="18" customHeight="1" x14ac:dyDescent="0.3">
      <c r="A69" s="1528">
        <v>77</v>
      </c>
      <c r="B69" s="1619"/>
      <c r="C69" s="1568"/>
      <c r="D69" s="1629" t="s">
        <v>745</v>
      </c>
      <c r="E69" s="1570"/>
      <c r="F69" s="1570"/>
      <c r="G69" s="1571"/>
      <c r="H69" s="1622"/>
      <c r="I69" s="1585">
        <f>SUM(J69:Q69)</f>
        <v>2500</v>
      </c>
      <c r="J69" s="1624"/>
      <c r="K69" s="1624"/>
      <c r="L69" s="1624"/>
      <c r="M69" s="1624"/>
      <c r="N69" s="1608">
        <v>2500</v>
      </c>
    </row>
    <row r="70" spans="1:14" s="1626" customFormat="1" ht="18" customHeight="1" x14ac:dyDescent="0.3">
      <c r="A70" s="1528">
        <v>79</v>
      </c>
      <c r="B70" s="1619"/>
      <c r="C70" s="1568"/>
      <c r="D70" s="1621" t="s">
        <v>413</v>
      </c>
      <c r="E70" s="1570"/>
      <c r="F70" s="1570">
        <v>10000</v>
      </c>
      <c r="G70" s="1571"/>
      <c r="H70" s="1622"/>
      <c r="I70" s="1628"/>
      <c r="J70" s="1624"/>
      <c r="K70" s="1624"/>
      <c r="L70" s="1624"/>
      <c r="M70" s="1624"/>
      <c r="N70" s="1625"/>
    </row>
    <row r="71" spans="1:14" s="1626" customFormat="1" ht="18" customHeight="1" x14ac:dyDescent="0.3">
      <c r="A71" s="1528">
        <v>80</v>
      </c>
      <c r="B71" s="1619"/>
      <c r="C71" s="1568"/>
      <c r="D71" s="1627" t="s">
        <v>239</v>
      </c>
      <c r="E71" s="1570"/>
      <c r="F71" s="1570"/>
      <c r="G71" s="1571"/>
      <c r="H71" s="1622"/>
      <c r="I71" s="1628">
        <f>SUM(J71:N71)</f>
        <v>10000</v>
      </c>
      <c r="J71" s="1624"/>
      <c r="K71" s="1624"/>
      <c r="L71" s="1624"/>
      <c r="M71" s="1624"/>
      <c r="N71" s="1625">
        <v>10000</v>
      </c>
    </row>
    <row r="72" spans="1:14" s="1626" customFormat="1" ht="18" customHeight="1" x14ac:dyDescent="0.3">
      <c r="A72" s="1528">
        <v>81</v>
      </c>
      <c r="B72" s="1619"/>
      <c r="C72" s="1568"/>
      <c r="D72" s="1629" t="s">
        <v>702</v>
      </c>
      <c r="E72" s="1570"/>
      <c r="F72" s="1570"/>
      <c r="G72" s="1571"/>
      <c r="H72" s="1622"/>
      <c r="I72" s="1630">
        <f>SUM(J72:N72)</f>
        <v>0</v>
      </c>
      <c r="J72" s="1597"/>
      <c r="K72" s="1597"/>
      <c r="L72" s="1597"/>
      <c r="M72" s="1597"/>
      <c r="N72" s="1598">
        <v>0</v>
      </c>
    </row>
    <row r="73" spans="1:14" s="1626" customFormat="1" ht="18" customHeight="1" x14ac:dyDescent="0.3">
      <c r="A73" s="1528">
        <v>82</v>
      </c>
      <c r="B73" s="1619"/>
      <c r="C73" s="1568"/>
      <c r="D73" s="1629" t="s">
        <v>745</v>
      </c>
      <c r="E73" s="1570"/>
      <c r="F73" s="1570"/>
      <c r="G73" s="1571"/>
      <c r="H73" s="1622"/>
      <c r="I73" s="1585">
        <f>SUM(J73:Q73)</f>
        <v>0</v>
      </c>
      <c r="J73" s="1597"/>
      <c r="K73" s="1597"/>
      <c r="L73" s="1597"/>
      <c r="M73" s="1597"/>
      <c r="N73" s="1598">
        <v>0</v>
      </c>
    </row>
    <row r="74" spans="1:14" s="1626" customFormat="1" ht="18" customHeight="1" x14ac:dyDescent="0.3">
      <c r="A74" s="1528">
        <v>84</v>
      </c>
      <c r="B74" s="1619"/>
      <c r="C74" s="1568"/>
      <c r="D74" s="1621" t="s">
        <v>414</v>
      </c>
      <c r="E74" s="1570"/>
      <c r="F74" s="1570">
        <v>22000</v>
      </c>
      <c r="G74" s="1571"/>
      <c r="H74" s="1622"/>
      <c r="I74" s="1628"/>
      <c r="J74" s="1624"/>
      <c r="K74" s="1624"/>
      <c r="L74" s="1624"/>
      <c r="M74" s="1624"/>
      <c r="N74" s="1625"/>
    </row>
    <row r="75" spans="1:14" s="1626" customFormat="1" ht="18" customHeight="1" x14ac:dyDescent="0.3">
      <c r="A75" s="1528">
        <v>85</v>
      </c>
      <c r="B75" s="1619"/>
      <c r="C75" s="1568"/>
      <c r="D75" s="1627" t="s">
        <v>239</v>
      </c>
      <c r="E75" s="1570"/>
      <c r="F75" s="1570"/>
      <c r="G75" s="1571"/>
      <c r="H75" s="1622"/>
      <c r="I75" s="1628">
        <f>SUM(J75:N75)</f>
        <v>10000</v>
      </c>
      <c r="J75" s="1624"/>
      <c r="K75" s="1624"/>
      <c r="L75" s="1624"/>
      <c r="M75" s="1624"/>
      <c r="N75" s="1625">
        <v>10000</v>
      </c>
    </row>
    <row r="76" spans="1:14" s="1626" customFormat="1" ht="18" customHeight="1" x14ac:dyDescent="0.3">
      <c r="A76" s="1528">
        <v>86</v>
      </c>
      <c r="B76" s="1619"/>
      <c r="C76" s="1568"/>
      <c r="D76" s="1629" t="s">
        <v>702</v>
      </c>
      <c r="E76" s="1570"/>
      <c r="F76" s="1570"/>
      <c r="G76" s="1571"/>
      <c r="H76" s="1622"/>
      <c r="I76" s="1630">
        <f>SUM(J76:N76)</f>
        <v>0</v>
      </c>
      <c r="J76" s="1597"/>
      <c r="K76" s="1597"/>
      <c r="L76" s="1597"/>
      <c r="M76" s="1597"/>
      <c r="N76" s="1598">
        <v>0</v>
      </c>
    </row>
    <row r="77" spans="1:14" s="1626" customFormat="1" ht="18" customHeight="1" x14ac:dyDescent="0.3">
      <c r="A77" s="1528">
        <v>87</v>
      </c>
      <c r="B77" s="1619"/>
      <c r="C77" s="1568"/>
      <c r="D77" s="1629" t="s">
        <v>745</v>
      </c>
      <c r="E77" s="1570"/>
      <c r="F77" s="1570"/>
      <c r="G77" s="1571"/>
      <c r="H77" s="1622"/>
      <c r="I77" s="1585">
        <f>SUM(J77:Q77)</f>
        <v>0</v>
      </c>
      <c r="J77" s="1624"/>
      <c r="K77" s="1624"/>
      <c r="L77" s="1624"/>
      <c r="M77" s="1624"/>
      <c r="N77" s="1598">
        <v>0</v>
      </c>
    </row>
    <row r="78" spans="1:14" s="1626" customFormat="1" ht="18" customHeight="1" x14ac:dyDescent="0.3">
      <c r="A78" s="1528">
        <v>89</v>
      </c>
      <c r="B78" s="1619"/>
      <c r="C78" s="1568"/>
      <c r="D78" s="1621" t="s">
        <v>415</v>
      </c>
      <c r="E78" s="1570"/>
      <c r="F78" s="1570">
        <v>11000</v>
      </c>
      <c r="G78" s="1571"/>
      <c r="H78" s="1622"/>
      <c r="I78" s="1628"/>
      <c r="J78" s="1624"/>
      <c r="K78" s="1624"/>
      <c r="L78" s="1624"/>
      <c r="M78" s="1624"/>
      <c r="N78" s="1625"/>
    </row>
    <row r="79" spans="1:14" s="1626" customFormat="1" ht="18" customHeight="1" x14ac:dyDescent="0.3">
      <c r="A79" s="1528">
        <v>90</v>
      </c>
      <c r="B79" s="1619"/>
      <c r="C79" s="1568"/>
      <c r="D79" s="1627" t="s">
        <v>239</v>
      </c>
      <c r="E79" s="1570"/>
      <c r="F79" s="1570"/>
      <c r="G79" s="1571"/>
      <c r="H79" s="1622"/>
      <c r="I79" s="1628">
        <f>SUM(J79:N79)</f>
        <v>6000</v>
      </c>
      <c r="J79" s="1624"/>
      <c r="K79" s="1624"/>
      <c r="L79" s="1624"/>
      <c r="M79" s="1624"/>
      <c r="N79" s="1625">
        <v>6000</v>
      </c>
    </row>
    <row r="80" spans="1:14" s="1626" customFormat="1" ht="18" customHeight="1" x14ac:dyDescent="0.3">
      <c r="A80" s="1528">
        <v>91</v>
      </c>
      <c r="B80" s="1619"/>
      <c r="C80" s="1568"/>
      <c r="D80" s="1629" t="s">
        <v>702</v>
      </c>
      <c r="E80" s="1570"/>
      <c r="F80" s="1570"/>
      <c r="G80" s="1571"/>
      <c r="H80" s="1622"/>
      <c r="I80" s="1630">
        <f>SUM(J80:N80)</f>
        <v>0</v>
      </c>
      <c r="J80" s="1597"/>
      <c r="K80" s="1597"/>
      <c r="L80" s="1597"/>
      <c r="M80" s="1597"/>
      <c r="N80" s="1598">
        <v>0</v>
      </c>
    </row>
    <row r="81" spans="1:16" s="1626" customFormat="1" ht="18" customHeight="1" x14ac:dyDescent="0.3">
      <c r="A81" s="1528">
        <v>92</v>
      </c>
      <c r="B81" s="1619"/>
      <c r="C81" s="1568"/>
      <c r="D81" s="1629" t="s">
        <v>745</v>
      </c>
      <c r="E81" s="1570"/>
      <c r="F81" s="1570"/>
      <c r="G81" s="1571"/>
      <c r="H81" s="1622"/>
      <c r="I81" s="1585">
        <f>SUM(J81:Q81)</f>
        <v>0</v>
      </c>
      <c r="J81" s="1624"/>
      <c r="K81" s="1624"/>
      <c r="L81" s="1624"/>
      <c r="M81" s="1624"/>
      <c r="N81" s="1598">
        <v>0</v>
      </c>
    </row>
    <row r="82" spans="1:16" s="1626" customFormat="1" ht="18" customHeight="1" x14ac:dyDescent="0.3">
      <c r="A82" s="1528">
        <v>94</v>
      </c>
      <c r="B82" s="1619"/>
      <c r="C82" s="1568"/>
      <c r="D82" s="1621" t="s">
        <v>665</v>
      </c>
      <c r="E82" s="1570"/>
      <c r="F82" s="1570"/>
      <c r="G82" s="1571"/>
      <c r="H82" s="1622"/>
      <c r="I82" s="1634"/>
      <c r="J82" s="1597"/>
      <c r="K82" s="1597"/>
      <c r="L82" s="1597"/>
      <c r="M82" s="1597"/>
      <c r="N82" s="1598"/>
    </row>
    <row r="83" spans="1:16" s="1626" customFormat="1" ht="18" customHeight="1" x14ac:dyDescent="0.3">
      <c r="A83" s="1528">
        <v>95</v>
      </c>
      <c r="B83" s="1619"/>
      <c r="C83" s="1568"/>
      <c r="D83" s="1629" t="s">
        <v>702</v>
      </c>
      <c r="E83" s="1570"/>
      <c r="F83" s="1570"/>
      <c r="G83" s="1571"/>
      <c r="H83" s="1622"/>
      <c r="I83" s="1585">
        <f>SUM(J83:N83)</f>
        <v>3500</v>
      </c>
      <c r="J83" s="1597"/>
      <c r="K83" s="1597"/>
      <c r="L83" s="1597"/>
      <c r="M83" s="1597"/>
      <c r="N83" s="1598">
        <v>3500</v>
      </c>
    </row>
    <row r="84" spans="1:16" s="1626" customFormat="1" ht="18" customHeight="1" x14ac:dyDescent="0.3">
      <c r="A84" s="1528">
        <v>96</v>
      </c>
      <c r="B84" s="1619"/>
      <c r="C84" s="1568"/>
      <c r="D84" s="1629" t="s">
        <v>745</v>
      </c>
      <c r="E84" s="1570"/>
      <c r="F84" s="1570"/>
      <c r="G84" s="1571"/>
      <c r="H84" s="1622"/>
      <c r="I84" s="1585">
        <f>SUM(J84:N84)</f>
        <v>0</v>
      </c>
      <c r="J84" s="1597"/>
      <c r="K84" s="1597"/>
      <c r="L84" s="1597"/>
      <c r="M84" s="1597"/>
      <c r="N84" s="1598">
        <v>0</v>
      </c>
    </row>
    <row r="85" spans="1:16" s="1626" customFormat="1" ht="22.5" customHeight="1" x14ac:dyDescent="0.3">
      <c r="A85" s="1528">
        <v>98</v>
      </c>
      <c r="B85" s="1619"/>
      <c r="C85" s="1589">
        <v>8</v>
      </c>
      <c r="D85" s="1590" t="s">
        <v>422</v>
      </c>
      <c r="E85" s="1570"/>
      <c r="F85" s="1570">
        <v>9300</v>
      </c>
      <c r="G85" s="1571">
        <v>9300</v>
      </c>
      <c r="H85" s="1572" t="s">
        <v>24</v>
      </c>
      <c r="I85" s="1628"/>
      <c r="J85" s="1624"/>
      <c r="K85" s="1624"/>
      <c r="L85" s="1624"/>
      <c r="M85" s="1624"/>
      <c r="N85" s="1625"/>
    </row>
    <row r="86" spans="1:16" s="1626" customFormat="1" ht="18" customHeight="1" x14ac:dyDescent="0.3">
      <c r="A86" s="1528">
        <v>99</v>
      </c>
      <c r="B86" s="1619"/>
      <c r="C86" s="1568"/>
      <c r="D86" s="1569" t="s">
        <v>239</v>
      </c>
      <c r="E86" s="1570"/>
      <c r="F86" s="1570"/>
      <c r="G86" s="1571"/>
      <c r="H86" s="1622"/>
      <c r="I86" s="1573">
        <f>SUM(J86:N86)</f>
        <v>5000</v>
      </c>
      <c r="J86" s="1624"/>
      <c r="K86" s="1624"/>
      <c r="L86" s="1624"/>
      <c r="M86" s="1624"/>
      <c r="N86" s="1592">
        <v>5000</v>
      </c>
    </row>
    <row r="87" spans="1:16" s="1626" customFormat="1" ht="18" customHeight="1" x14ac:dyDescent="0.3">
      <c r="A87" s="1528">
        <v>100</v>
      </c>
      <c r="B87" s="1619"/>
      <c r="C87" s="1568"/>
      <c r="D87" s="1578" t="s">
        <v>702</v>
      </c>
      <c r="E87" s="1570"/>
      <c r="F87" s="1570"/>
      <c r="G87" s="1571"/>
      <c r="H87" s="1622"/>
      <c r="I87" s="1593">
        <f>SUM(J87:N87)</f>
        <v>5000</v>
      </c>
      <c r="J87" s="1597"/>
      <c r="K87" s="1597"/>
      <c r="L87" s="1597"/>
      <c r="M87" s="1597"/>
      <c r="N87" s="1596">
        <v>5000</v>
      </c>
    </row>
    <row r="88" spans="1:16" s="1626" customFormat="1" ht="18" customHeight="1" x14ac:dyDescent="0.3">
      <c r="A88" s="1528">
        <v>101</v>
      </c>
      <c r="B88" s="1619"/>
      <c r="C88" s="1568"/>
      <c r="D88" s="1584" t="s">
        <v>745</v>
      </c>
      <c r="E88" s="1570"/>
      <c r="F88" s="1570"/>
      <c r="G88" s="1571"/>
      <c r="H88" s="1622"/>
      <c r="I88" s="1585">
        <f>SUM(J88:Q88)</f>
        <v>5000</v>
      </c>
      <c r="J88" s="1624"/>
      <c r="K88" s="1624"/>
      <c r="L88" s="1624"/>
      <c r="M88" s="1624"/>
      <c r="N88" s="1598">
        <v>5000</v>
      </c>
    </row>
    <row r="89" spans="1:16" s="1566" customFormat="1" ht="22.5" customHeight="1" x14ac:dyDescent="0.3">
      <c r="A89" s="1528">
        <v>103</v>
      </c>
      <c r="B89" s="1588"/>
      <c r="C89" s="1589">
        <v>9</v>
      </c>
      <c r="D89" s="1590" t="s">
        <v>218</v>
      </c>
      <c r="E89" s="1570">
        <v>7547</v>
      </c>
      <c r="F89" s="1570">
        <v>35253</v>
      </c>
      <c r="G89" s="1571">
        <v>24165</v>
      </c>
      <c r="H89" s="1572" t="s">
        <v>24</v>
      </c>
      <c r="I89" s="1573"/>
      <c r="J89" s="1574"/>
      <c r="K89" s="1574"/>
      <c r="L89" s="1574"/>
      <c r="M89" s="1574"/>
      <c r="N89" s="1576"/>
      <c r="P89" s="1577"/>
    </row>
    <row r="90" spans="1:16" s="1577" customFormat="1" ht="18" customHeight="1" x14ac:dyDescent="0.3">
      <c r="A90" s="1528">
        <v>104</v>
      </c>
      <c r="B90" s="1567"/>
      <c r="C90" s="1568"/>
      <c r="D90" s="1569" t="s">
        <v>239</v>
      </c>
      <c r="F90" s="1611"/>
      <c r="H90" s="1572"/>
      <c r="I90" s="1573">
        <f>SUM(J90:N90)</f>
        <v>21088</v>
      </c>
      <c r="J90" s="1575">
        <v>376</v>
      </c>
      <c r="K90" s="1575">
        <v>2622</v>
      </c>
      <c r="L90" s="1575">
        <f>21088-2998</f>
        <v>18090</v>
      </c>
      <c r="M90" s="1574"/>
      <c r="N90" s="1576"/>
    </row>
    <row r="91" spans="1:16" s="1577" customFormat="1" ht="18" customHeight="1" x14ac:dyDescent="0.3">
      <c r="A91" s="1528">
        <v>105</v>
      </c>
      <c r="B91" s="1567"/>
      <c r="C91" s="1568"/>
      <c r="D91" s="1578" t="s">
        <v>702</v>
      </c>
      <c r="F91" s="1611"/>
      <c r="H91" s="1572"/>
      <c r="I91" s="1593">
        <f>SUM(J91:N91)</f>
        <v>46088</v>
      </c>
      <c r="J91" s="1595">
        <v>2616</v>
      </c>
      <c r="K91" s="1595">
        <v>3382</v>
      </c>
      <c r="L91" s="1595">
        <v>30090</v>
      </c>
      <c r="M91" s="1574"/>
      <c r="N91" s="1596">
        <v>10000</v>
      </c>
    </row>
    <row r="92" spans="1:16" s="1577" customFormat="1" ht="18" customHeight="1" x14ac:dyDescent="0.3">
      <c r="A92" s="1528">
        <v>106</v>
      </c>
      <c r="B92" s="1567"/>
      <c r="C92" s="1568"/>
      <c r="D92" s="1584" t="s">
        <v>745</v>
      </c>
      <c r="E92" s="1611"/>
      <c r="F92" s="1611"/>
      <c r="G92" s="1635"/>
      <c r="H92" s="1572"/>
      <c r="I92" s="1585">
        <f>SUM(J92:Q92)</f>
        <v>10286</v>
      </c>
      <c r="J92" s="1597">
        <v>1270</v>
      </c>
      <c r="K92" s="1597">
        <v>2997</v>
      </c>
      <c r="L92" s="1597">
        <v>6019</v>
      </c>
      <c r="M92" s="1597"/>
      <c r="N92" s="1598">
        <v>0</v>
      </c>
    </row>
    <row r="93" spans="1:16" s="1566" customFormat="1" ht="22.5" customHeight="1" x14ac:dyDescent="0.3">
      <c r="A93" s="1528">
        <v>108</v>
      </c>
      <c r="B93" s="1588"/>
      <c r="C93" s="1589">
        <v>10</v>
      </c>
      <c r="D93" s="1590" t="s">
        <v>47</v>
      </c>
      <c r="E93" s="1570">
        <v>7988</v>
      </c>
      <c r="F93" s="1570">
        <v>16516</v>
      </c>
      <c r="G93" s="1571">
        <v>9404</v>
      </c>
      <c r="H93" s="1572" t="s">
        <v>24</v>
      </c>
      <c r="I93" s="1573"/>
      <c r="J93" s="1574"/>
      <c r="K93" s="1574"/>
      <c r="L93" s="1574"/>
      <c r="M93" s="1574"/>
      <c r="N93" s="1576"/>
      <c r="P93" s="1577"/>
    </row>
    <row r="94" spans="1:16" s="1577" customFormat="1" ht="18" customHeight="1" x14ac:dyDescent="0.3">
      <c r="A94" s="1528">
        <v>109</v>
      </c>
      <c r="B94" s="1567"/>
      <c r="C94" s="1568"/>
      <c r="D94" s="1569" t="s">
        <v>239</v>
      </c>
      <c r="E94" s="1570"/>
      <c r="F94" s="1570"/>
      <c r="G94" s="1571"/>
      <c r="H94" s="1572"/>
      <c r="I94" s="1573">
        <f>SUM(J94:N94)</f>
        <v>11011</v>
      </c>
      <c r="J94" s="1575">
        <v>3006</v>
      </c>
      <c r="K94" s="1575">
        <v>1242</v>
      </c>
      <c r="L94" s="1575">
        <f>3752+3011</f>
        <v>6763</v>
      </c>
      <c r="M94" s="1574"/>
      <c r="N94" s="1576"/>
    </row>
    <row r="95" spans="1:16" s="1577" customFormat="1" ht="18" customHeight="1" x14ac:dyDescent="0.3">
      <c r="A95" s="1528">
        <v>110</v>
      </c>
      <c r="B95" s="1567"/>
      <c r="C95" s="1568"/>
      <c r="D95" s="1578" t="s">
        <v>702</v>
      </c>
      <c r="E95" s="1570"/>
      <c r="F95" s="1570"/>
      <c r="G95" s="1571"/>
      <c r="H95" s="1562"/>
      <c r="I95" s="1593">
        <f>SUM(J95:N95)</f>
        <v>11011</v>
      </c>
      <c r="J95" s="1595">
        <v>3006</v>
      </c>
      <c r="K95" s="1595">
        <v>1242</v>
      </c>
      <c r="L95" s="1595">
        <v>6763</v>
      </c>
      <c r="M95" s="1574"/>
      <c r="N95" s="1576"/>
    </row>
    <row r="96" spans="1:16" s="1577" customFormat="1" ht="18" customHeight="1" x14ac:dyDescent="0.3">
      <c r="A96" s="1528">
        <v>111</v>
      </c>
      <c r="B96" s="1567"/>
      <c r="C96" s="1568"/>
      <c r="D96" s="1584" t="s">
        <v>745</v>
      </c>
      <c r="E96" s="1570"/>
      <c r="F96" s="1570"/>
      <c r="G96" s="1571"/>
      <c r="H96" s="1562"/>
      <c r="I96" s="1585">
        <f>SUM(J96:Q96)</f>
        <v>4589</v>
      </c>
      <c r="J96" s="1597">
        <v>727</v>
      </c>
      <c r="K96" s="1597">
        <v>371</v>
      </c>
      <c r="L96" s="1597">
        <v>3491</v>
      </c>
      <c r="M96" s="1597"/>
      <c r="N96" s="1598"/>
    </row>
    <row r="97" spans="1:16" s="1566" customFormat="1" ht="22.5" customHeight="1" x14ac:dyDescent="0.3">
      <c r="A97" s="1528">
        <v>113</v>
      </c>
      <c r="B97" s="1588"/>
      <c r="C97" s="1589">
        <v>11</v>
      </c>
      <c r="D97" s="1590" t="s">
        <v>48</v>
      </c>
      <c r="E97" s="1570">
        <v>536</v>
      </c>
      <c r="F97" s="1570">
        <v>15441</v>
      </c>
      <c r="G97" s="1571">
        <v>468</v>
      </c>
      <c r="H97" s="1562" t="s">
        <v>24</v>
      </c>
      <c r="I97" s="1573"/>
      <c r="J97" s="1574"/>
      <c r="K97" s="1574"/>
      <c r="L97" s="1574"/>
      <c r="M97" s="1574"/>
      <c r="N97" s="1576"/>
      <c r="P97" s="1577"/>
    </row>
    <row r="98" spans="1:16" s="1566" customFormat="1" ht="18" customHeight="1" x14ac:dyDescent="0.3">
      <c r="A98" s="1528">
        <v>114</v>
      </c>
      <c r="B98" s="1588"/>
      <c r="C98" s="1589"/>
      <c r="D98" s="1569" t="s">
        <v>239</v>
      </c>
      <c r="E98" s="1570"/>
      <c r="F98" s="1570"/>
      <c r="G98" s="1571"/>
      <c r="H98" s="1562"/>
      <c r="I98" s="1573">
        <f>SUM(J98:N98)</f>
        <v>6150</v>
      </c>
      <c r="J98" s="1574"/>
      <c r="K98" s="1574"/>
      <c r="L98" s="1575">
        <f>3000+3150</f>
        <v>6150</v>
      </c>
      <c r="M98" s="1574"/>
      <c r="N98" s="1592"/>
      <c r="P98" s="1577"/>
    </row>
    <row r="99" spans="1:16" s="1566" customFormat="1" ht="18" customHeight="1" x14ac:dyDescent="0.3">
      <c r="A99" s="1528">
        <v>115</v>
      </c>
      <c r="B99" s="1588"/>
      <c r="C99" s="1589"/>
      <c r="D99" s="1578" t="s">
        <v>702</v>
      </c>
      <c r="E99" s="1570"/>
      <c r="F99" s="1570"/>
      <c r="G99" s="1571"/>
      <c r="H99" s="1562"/>
      <c r="I99" s="1593">
        <f>SUM(J99:N99)</f>
        <v>1650</v>
      </c>
      <c r="J99" s="1594"/>
      <c r="K99" s="1594"/>
      <c r="L99" s="1595">
        <v>1650</v>
      </c>
      <c r="M99" s="1574"/>
      <c r="N99" s="1592"/>
      <c r="P99" s="1577"/>
    </row>
    <row r="100" spans="1:16" s="1566" customFormat="1" ht="18" customHeight="1" x14ac:dyDescent="0.3">
      <c r="A100" s="1528">
        <v>116</v>
      </c>
      <c r="B100" s="1588"/>
      <c r="C100" s="1589"/>
      <c r="D100" s="1584" t="s">
        <v>745</v>
      </c>
      <c r="E100" s="1570"/>
      <c r="F100" s="1570"/>
      <c r="G100" s="1571"/>
      <c r="H100" s="1562"/>
      <c r="I100" s="1585">
        <f>SUM(J100:Q100)</f>
        <v>220</v>
      </c>
      <c r="J100" s="1597"/>
      <c r="K100" s="1597"/>
      <c r="L100" s="1597">
        <v>220</v>
      </c>
      <c r="M100" s="1597"/>
      <c r="N100" s="1636"/>
      <c r="P100" s="1577"/>
    </row>
    <row r="101" spans="1:16" s="1566" customFormat="1" ht="22.5" customHeight="1" x14ac:dyDescent="0.3">
      <c r="A101" s="1528">
        <v>118</v>
      </c>
      <c r="B101" s="1588"/>
      <c r="C101" s="1589">
        <v>13</v>
      </c>
      <c r="D101" s="1590" t="s">
        <v>49</v>
      </c>
      <c r="E101" s="1570">
        <f>SUM(E105,E109,E115,E116)+E113+E114+E119+E120+E124+E125+E126+E136+E137+5199</f>
        <v>9199</v>
      </c>
      <c r="F101" s="1570">
        <f>SUM(F105,F109,F115,F116)+F113+F114+F119+F120+F124+F125+F126+F136+F137</f>
        <v>29241</v>
      </c>
      <c r="G101" s="1570">
        <f>SUM(G105,G109,G115,G116)+G113+G114+G119+G120+G124+G125+G126+G136+G137</f>
        <v>12531</v>
      </c>
      <c r="H101" s="1572" t="s">
        <v>24</v>
      </c>
      <c r="I101" s="1573"/>
      <c r="J101" s="1574"/>
      <c r="K101" s="1574"/>
      <c r="L101" s="1574"/>
      <c r="M101" s="1574"/>
      <c r="N101" s="1576"/>
      <c r="P101" s="1577"/>
    </row>
    <row r="102" spans="1:16" s="1566" customFormat="1" ht="18" customHeight="1" x14ac:dyDescent="0.3">
      <c r="A102" s="1528">
        <v>119</v>
      </c>
      <c r="B102" s="1588"/>
      <c r="C102" s="1589"/>
      <c r="D102" s="1569" t="s">
        <v>239</v>
      </c>
      <c r="E102" s="1570"/>
      <c r="F102" s="1570"/>
      <c r="G102" s="1571"/>
      <c r="H102" s="1572"/>
      <c r="I102" s="1573">
        <f>SUM(J102:N102)</f>
        <v>12754</v>
      </c>
      <c r="J102" s="1575">
        <f>J110+J106+J127+J121</f>
        <v>0</v>
      </c>
      <c r="K102" s="1575">
        <f>K110+K106+K127+K121</f>
        <v>0</v>
      </c>
      <c r="L102" s="1575">
        <f>L110+L106+L127+L121</f>
        <v>0</v>
      </c>
      <c r="M102" s="1575">
        <f>M110+M106+M127+M121</f>
        <v>0</v>
      </c>
      <c r="N102" s="1592">
        <f>N110+N106+N127+N121</f>
        <v>12754</v>
      </c>
      <c r="P102" s="1577"/>
    </row>
    <row r="103" spans="1:16" s="1566" customFormat="1" ht="18" customHeight="1" x14ac:dyDescent="0.3">
      <c r="A103" s="1528">
        <v>120</v>
      </c>
      <c r="B103" s="1588"/>
      <c r="C103" s="1589"/>
      <c r="D103" s="1578" t="s">
        <v>702</v>
      </c>
      <c r="E103" s="1570"/>
      <c r="F103" s="1570"/>
      <c r="G103" s="1571"/>
      <c r="H103" s="1572"/>
      <c r="I103" s="1593">
        <f>SUM(J103:N103)</f>
        <v>19830</v>
      </c>
      <c r="J103" s="1595">
        <f>J107+J111+J117+J122+J128+J131+J134</f>
        <v>750</v>
      </c>
      <c r="K103" s="1595">
        <f>K107+K111+K117+K122+K128+K131+K134</f>
        <v>88</v>
      </c>
      <c r="L103" s="1595">
        <f>L107+L111+L117+L122+L128+L131+L134</f>
        <v>4292</v>
      </c>
      <c r="M103" s="1595">
        <f>M107+M111+M117+M122+M128+M131+M134</f>
        <v>0</v>
      </c>
      <c r="N103" s="1596">
        <f>N107+N111+N117+N122+N128+N131+N134</f>
        <v>14700</v>
      </c>
      <c r="P103" s="1577"/>
    </row>
    <row r="104" spans="1:16" s="1566" customFormat="1" ht="18" customHeight="1" x14ac:dyDescent="0.3">
      <c r="A104" s="1528">
        <v>121</v>
      </c>
      <c r="B104" s="1588"/>
      <c r="C104" s="1589"/>
      <c r="D104" s="1584" t="s">
        <v>745</v>
      </c>
      <c r="E104" s="1570"/>
      <c r="F104" s="1570"/>
      <c r="G104" s="1571"/>
      <c r="H104" s="1572"/>
      <c r="I104" s="1585">
        <f>SUM(J104:Q104)</f>
        <v>2700</v>
      </c>
      <c r="J104" s="1597">
        <f>J112+J108+J129+J123+J118+J132+J135</f>
        <v>0</v>
      </c>
      <c r="K104" s="1597">
        <f>K112+K108+K129+K123+K118+K132+K135</f>
        <v>0</v>
      </c>
      <c r="L104" s="1597">
        <f>L112+L108+L129+L123+L118+L132+L135</f>
        <v>0</v>
      </c>
      <c r="M104" s="1597">
        <f>M112+M108+M129+M123+M118+M132+M135</f>
        <v>0</v>
      </c>
      <c r="N104" s="1598">
        <v>2700</v>
      </c>
      <c r="P104" s="1577"/>
    </row>
    <row r="105" spans="1:16" s="1626" customFormat="1" ht="18" customHeight="1" x14ac:dyDescent="0.3">
      <c r="A105" s="1528">
        <v>123</v>
      </c>
      <c r="B105" s="1619"/>
      <c r="C105" s="1568"/>
      <c r="D105" s="1637" t="s">
        <v>387</v>
      </c>
      <c r="E105" s="1570"/>
      <c r="F105" s="1570">
        <v>2500</v>
      </c>
      <c r="G105" s="1571"/>
      <c r="H105" s="1622"/>
      <c r="I105" s="1623"/>
      <c r="J105" s="1624"/>
      <c r="K105" s="1624"/>
      <c r="L105" s="1624"/>
      <c r="M105" s="1624"/>
      <c r="N105" s="1625"/>
    </row>
    <row r="106" spans="1:16" s="1626" customFormat="1" ht="18" customHeight="1" x14ac:dyDescent="0.3">
      <c r="A106" s="1528">
        <v>124</v>
      </c>
      <c r="B106" s="1619"/>
      <c r="C106" s="1568"/>
      <c r="D106" s="1638" t="s">
        <v>239</v>
      </c>
      <c r="E106" s="1570"/>
      <c r="F106" s="1570"/>
      <c r="G106" s="1571"/>
      <c r="H106" s="1622"/>
      <c r="I106" s="1628">
        <f>SUM(J106:N106)</f>
        <v>3054</v>
      </c>
      <c r="J106" s="1624"/>
      <c r="K106" s="1624"/>
      <c r="L106" s="1624"/>
      <c r="M106" s="1624"/>
      <c r="N106" s="1625">
        <v>3054</v>
      </c>
    </row>
    <row r="107" spans="1:16" s="1626" customFormat="1" ht="18" customHeight="1" x14ac:dyDescent="0.3">
      <c r="A107" s="1528">
        <v>125</v>
      </c>
      <c r="B107" s="1619"/>
      <c r="C107" s="1568"/>
      <c r="D107" s="1629" t="s">
        <v>702</v>
      </c>
      <c r="E107" s="1570"/>
      <c r="F107" s="1570"/>
      <c r="G107" s="1571"/>
      <c r="H107" s="1622"/>
      <c r="I107" s="1630">
        <f>SUM(J107:N107)</f>
        <v>0</v>
      </c>
      <c r="J107" s="1597"/>
      <c r="K107" s="1597"/>
      <c r="L107" s="1597"/>
      <c r="M107" s="1597"/>
      <c r="N107" s="1598">
        <v>0</v>
      </c>
    </row>
    <row r="108" spans="1:16" s="1626" customFormat="1" ht="18" customHeight="1" x14ac:dyDescent="0.3">
      <c r="A108" s="1528">
        <v>126</v>
      </c>
      <c r="B108" s="1619"/>
      <c r="C108" s="1568"/>
      <c r="D108" s="1629" t="s">
        <v>745</v>
      </c>
      <c r="E108" s="1570"/>
      <c r="F108" s="1570"/>
      <c r="G108" s="1571"/>
      <c r="H108" s="1622"/>
      <c r="I108" s="1585">
        <f>SUM(J108:Q108)</f>
        <v>0</v>
      </c>
      <c r="J108" s="1624"/>
      <c r="K108" s="1624"/>
      <c r="L108" s="1624"/>
      <c r="M108" s="1624"/>
      <c r="N108" s="1598">
        <v>0</v>
      </c>
    </row>
    <row r="109" spans="1:16" s="1626" customFormat="1" ht="18" customHeight="1" x14ac:dyDescent="0.3">
      <c r="A109" s="1528">
        <v>128</v>
      </c>
      <c r="B109" s="1619"/>
      <c r="C109" s="1568"/>
      <c r="D109" s="1637" t="s">
        <v>479</v>
      </c>
      <c r="E109" s="1570">
        <v>4000</v>
      </c>
      <c r="F109" s="1570">
        <v>4000</v>
      </c>
      <c r="G109" s="1571">
        <v>4000</v>
      </c>
      <c r="H109" s="1622"/>
      <c r="I109" s="1631"/>
      <c r="J109" s="1632"/>
      <c r="K109" s="1632"/>
      <c r="L109" s="1632"/>
      <c r="M109" s="1632"/>
      <c r="N109" s="1633"/>
    </row>
    <row r="110" spans="1:16" s="1626" customFormat="1" ht="18" customHeight="1" x14ac:dyDescent="0.3">
      <c r="A110" s="1528">
        <v>129</v>
      </c>
      <c r="B110" s="1619"/>
      <c r="C110" s="1568"/>
      <c r="D110" s="1638" t="s">
        <v>239</v>
      </c>
      <c r="E110" s="1570"/>
      <c r="F110" s="1570"/>
      <c r="G110" s="1571"/>
      <c r="H110" s="1622"/>
      <c r="I110" s="1628">
        <f>SUM(J110:N110)</f>
        <v>4000</v>
      </c>
      <c r="J110" s="1632"/>
      <c r="K110" s="1632"/>
      <c r="L110" s="1632"/>
      <c r="M110" s="1632"/>
      <c r="N110" s="1633">
        <v>4000</v>
      </c>
    </row>
    <row r="111" spans="1:16" s="1626" customFormat="1" ht="18" customHeight="1" x14ac:dyDescent="0.3">
      <c r="A111" s="1528">
        <v>130</v>
      </c>
      <c r="B111" s="1619"/>
      <c r="C111" s="1568"/>
      <c r="D111" s="1629" t="s">
        <v>702</v>
      </c>
      <c r="E111" s="1570"/>
      <c r="F111" s="1570"/>
      <c r="G111" s="1571"/>
      <c r="H111" s="1622"/>
      <c r="I111" s="1630">
        <f>SUM(J111:N111)</f>
        <v>4000</v>
      </c>
      <c r="J111" s="1607"/>
      <c r="K111" s="1607"/>
      <c r="L111" s="1607"/>
      <c r="M111" s="1607"/>
      <c r="N111" s="1608">
        <v>4000</v>
      </c>
    </row>
    <row r="112" spans="1:16" s="1626" customFormat="1" ht="18" customHeight="1" x14ac:dyDescent="0.3">
      <c r="A112" s="1528">
        <v>131</v>
      </c>
      <c r="B112" s="1619"/>
      <c r="C112" s="1568"/>
      <c r="D112" s="1629" t="s">
        <v>745</v>
      </c>
      <c r="E112" s="1570"/>
      <c r="F112" s="1570"/>
      <c r="G112" s="1571"/>
      <c r="H112" s="1622"/>
      <c r="I112" s="1585">
        <f>SUM(J112:Q112)</f>
        <v>2000</v>
      </c>
      <c r="J112" s="1607"/>
      <c r="K112" s="1607"/>
      <c r="L112" s="1607"/>
      <c r="M112" s="1607"/>
      <c r="N112" s="1608">
        <v>2000</v>
      </c>
    </row>
    <row r="113" spans="1:14" s="1626" customFormat="1" ht="18" customHeight="1" x14ac:dyDescent="0.3">
      <c r="A113" s="1528">
        <v>133</v>
      </c>
      <c r="B113" s="1619"/>
      <c r="C113" s="1568"/>
      <c r="D113" s="1637" t="s">
        <v>497</v>
      </c>
      <c r="E113" s="1570"/>
      <c r="F113" s="1570">
        <v>1500</v>
      </c>
      <c r="G113" s="1571">
        <v>1500</v>
      </c>
      <c r="H113" s="1622"/>
      <c r="I113" s="1628"/>
      <c r="J113" s="1632"/>
      <c r="K113" s="1632"/>
      <c r="L113" s="1632"/>
      <c r="M113" s="1632"/>
      <c r="N113" s="1633"/>
    </row>
    <row r="114" spans="1:14" s="1626" customFormat="1" ht="18" customHeight="1" x14ac:dyDescent="0.3">
      <c r="A114" s="1528">
        <v>134</v>
      </c>
      <c r="B114" s="1619"/>
      <c r="C114" s="1568"/>
      <c r="D114" s="1637" t="s">
        <v>480</v>
      </c>
      <c r="E114" s="1570"/>
      <c r="F114" s="1570">
        <v>2200</v>
      </c>
      <c r="G114" s="1571">
        <v>2200</v>
      </c>
      <c r="H114" s="1622"/>
      <c r="I114" s="1628"/>
      <c r="J114" s="1632"/>
      <c r="K114" s="1632"/>
      <c r="L114" s="1632"/>
      <c r="M114" s="1632"/>
      <c r="N114" s="1633"/>
    </row>
    <row r="115" spans="1:14" s="1626" customFormat="1" ht="18" customHeight="1" x14ac:dyDescent="0.3">
      <c r="A115" s="1528">
        <v>135</v>
      </c>
      <c r="B115" s="1619"/>
      <c r="C115" s="1568"/>
      <c r="D115" s="1637" t="s">
        <v>329</v>
      </c>
      <c r="E115" s="1570"/>
      <c r="F115" s="1570"/>
      <c r="G115" s="1571"/>
      <c r="H115" s="1622"/>
      <c r="I115" s="1628"/>
      <c r="J115" s="1624"/>
      <c r="K115" s="1624"/>
      <c r="L115" s="1624"/>
      <c r="M115" s="1624"/>
      <c r="N115" s="1625"/>
    </row>
    <row r="116" spans="1:14" s="1626" customFormat="1" ht="18" customHeight="1" x14ac:dyDescent="0.3">
      <c r="A116" s="1528">
        <v>136</v>
      </c>
      <c r="B116" s="1619"/>
      <c r="C116" s="1568"/>
      <c r="D116" s="1637" t="s">
        <v>336</v>
      </c>
      <c r="E116" s="1570"/>
      <c r="F116" s="1570"/>
      <c r="G116" s="1571"/>
      <c r="H116" s="1622"/>
      <c r="I116" s="1623"/>
      <c r="J116" s="1624"/>
      <c r="K116" s="1624"/>
      <c r="L116" s="1624"/>
      <c r="M116" s="1624"/>
      <c r="N116" s="1625"/>
    </row>
    <row r="117" spans="1:14" s="1626" customFormat="1" ht="18" customHeight="1" x14ac:dyDescent="0.3">
      <c r="A117" s="1528">
        <v>137</v>
      </c>
      <c r="B117" s="1619"/>
      <c r="C117" s="1568"/>
      <c r="D117" s="1629" t="s">
        <v>702</v>
      </c>
      <c r="E117" s="1570"/>
      <c r="F117" s="1570"/>
      <c r="G117" s="1571"/>
      <c r="H117" s="1622"/>
      <c r="I117" s="1585">
        <f>SUM(J117:Q117)</f>
        <v>5000</v>
      </c>
      <c r="J117" s="1624"/>
      <c r="K117" s="1624"/>
      <c r="L117" s="1624"/>
      <c r="M117" s="1624"/>
      <c r="N117" s="1598">
        <v>5000</v>
      </c>
    </row>
    <row r="118" spans="1:14" s="1626" customFormat="1" ht="18" customHeight="1" x14ac:dyDescent="0.3">
      <c r="A118" s="1528">
        <v>138</v>
      </c>
      <c r="B118" s="1619"/>
      <c r="C118" s="1568"/>
      <c r="D118" s="1629" t="s">
        <v>745</v>
      </c>
      <c r="E118" s="1570"/>
      <c r="F118" s="1570"/>
      <c r="G118" s="1571"/>
      <c r="H118" s="1622"/>
      <c r="I118" s="1585">
        <f>SUM(J118:Q118)</f>
        <v>0</v>
      </c>
      <c r="J118" s="1624"/>
      <c r="K118" s="1624"/>
      <c r="L118" s="1624"/>
      <c r="M118" s="1624"/>
      <c r="N118" s="1598">
        <v>0</v>
      </c>
    </row>
    <row r="119" spans="1:14" s="1626" customFormat="1" ht="18" customHeight="1" x14ac:dyDescent="0.3">
      <c r="A119" s="1528">
        <v>140</v>
      </c>
      <c r="B119" s="1619"/>
      <c r="C119" s="1568"/>
      <c r="D119" s="1637" t="s">
        <v>416</v>
      </c>
      <c r="E119" s="1570"/>
      <c r="F119" s="1570">
        <v>1500</v>
      </c>
      <c r="G119" s="1571">
        <v>1500</v>
      </c>
      <c r="H119" s="1622"/>
      <c r="I119" s="1628"/>
      <c r="J119" s="1624"/>
      <c r="K119" s="1624"/>
      <c r="L119" s="1624"/>
      <c r="M119" s="1624"/>
      <c r="N119" s="1625"/>
    </row>
    <row r="120" spans="1:14" s="1626" customFormat="1" ht="18" customHeight="1" x14ac:dyDescent="0.3">
      <c r="A120" s="1528">
        <v>141</v>
      </c>
      <c r="B120" s="1619"/>
      <c r="C120" s="1568"/>
      <c r="D120" s="1637" t="s">
        <v>636</v>
      </c>
      <c r="E120" s="1570"/>
      <c r="F120" s="1570">
        <v>1400</v>
      </c>
      <c r="G120" s="1571">
        <v>1400</v>
      </c>
      <c r="H120" s="1622"/>
      <c r="I120" s="1623"/>
      <c r="J120" s="1624"/>
      <c r="K120" s="1624"/>
      <c r="L120" s="1624"/>
      <c r="M120" s="1624"/>
      <c r="N120" s="1625"/>
    </row>
    <row r="121" spans="1:14" s="1626" customFormat="1" ht="18" customHeight="1" x14ac:dyDescent="0.3">
      <c r="A121" s="1528">
        <v>142</v>
      </c>
      <c r="B121" s="1619"/>
      <c r="C121" s="1568"/>
      <c r="D121" s="1638" t="s">
        <v>239</v>
      </c>
      <c r="E121" s="1570"/>
      <c r="F121" s="1570"/>
      <c r="G121" s="1571"/>
      <c r="H121" s="1622"/>
      <c r="I121" s="1628">
        <f>SUM(J121:N121)</f>
        <v>1500</v>
      </c>
      <c r="J121" s="1624"/>
      <c r="K121" s="1624"/>
      <c r="L121" s="1624"/>
      <c r="M121" s="1624"/>
      <c r="N121" s="1625">
        <v>1500</v>
      </c>
    </row>
    <row r="122" spans="1:14" s="1626" customFormat="1" ht="18" customHeight="1" x14ac:dyDescent="0.3">
      <c r="A122" s="1528">
        <v>143</v>
      </c>
      <c r="B122" s="1619"/>
      <c r="C122" s="1568"/>
      <c r="D122" s="1629" t="s">
        <v>702</v>
      </c>
      <c r="E122" s="1570"/>
      <c r="F122" s="1570"/>
      <c r="G122" s="1571"/>
      <c r="H122" s="1622"/>
      <c r="I122" s="1630">
        <f>SUM(J122:N122)</f>
        <v>1500</v>
      </c>
      <c r="J122" s="1597"/>
      <c r="K122" s="1597"/>
      <c r="L122" s="1597"/>
      <c r="M122" s="1597"/>
      <c r="N122" s="1598">
        <v>1500</v>
      </c>
    </row>
    <row r="123" spans="1:14" s="1626" customFormat="1" ht="18" customHeight="1" x14ac:dyDescent="0.3">
      <c r="A123" s="1528">
        <v>144</v>
      </c>
      <c r="B123" s="1619"/>
      <c r="C123" s="1568"/>
      <c r="D123" s="1629" t="s">
        <v>745</v>
      </c>
      <c r="E123" s="1570"/>
      <c r="F123" s="1570"/>
      <c r="G123" s="1571"/>
      <c r="H123" s="1622"/>
      <c r="I123" s="1585">
        <f>SUM(J123:Q123)</f>
        <v>700</v>
      </c>
      <c r="J123" s="1624"/>
      <c r="K123" s="1624"/>
      <c r="L123" s="1624"/>
      <c r="M123" s="1624"/>
      <c r="N123" s="1598">
        <v>700</v>
      </c>
    </row>
    <row r="124" spans="1:14" s="1626" customFormat="1" ht="18" customHeight="1" x14ac:dyDescent="0.3">
      <c r="A124" s="1528">
        <v>146</v>
      </c>
      <c r="B124" s="1619"/>
      <c r="C124" s="1568"/>
      <c r="D124" s="1637" t="s">
        <v>417</v>
      </c>
      <c r="E124" s="1570"/>
      <c r="F124" s="1570">
        <v>10000</v>
      </c>
      <c r="G124" s="1571"/>
      <c r="H124" s="1622"/>
      <c r="I124" s="1623"/>
      <c r="J124" s="1624"/>
      <c r="K124" s="1624"/>
      <c r="L124" s="1624"/>
      <c r="M124" s="1624"/>
      <c r="N124" s="1625"/>
    </row>
    <row r="125" spans="1:14" s="1626" customFormat="1" ht="18" customHeight="1" x14ac:dyDescent="0.3">
      <c r="A125" s="1528">
        <v>147</v>
      </c>
      <c r="B125" s="1619"/>
      <c r="C125" s="1568"/>
      <c r="D125" s="1639" t="s">
        <v>487</v>
      </c>
      <c r="E125" s="1640"/>
      <c r="F125" s="1570">
        <v>500</v>
      </c>
      <c r="G125" s="1571">
        <v>500</v>
      </c>
      <c r="H125" s="1622"/>
      <c r="I125" s="1623"/>
      <c r="J125" s="1624"/>
      <c r="K125" s="1624"/>
      <c r="L125" s="1624"/>
      <c r="M125" s="1624"/>
      <c r="N125" s="1625"/>
    </row>
    <row r="126" spans="1:14" s="1626" customFormat="1" ht="18" customHeight="1" x14ac:dyDescent="0.3">
      <c r="A126" s="1528">
        <v>148</v>
      </c>
      <c r="B126" s="1619"/>
      <c r="C126" s="1568"/>
      <c r="D126" s="1637" t="s">
        <v>418</v>
      </c>
      <c r="E126" s="1570"/>
      <c r="F126" s="1570">
        <v>4200</v>
      </c>
      <c r="G126" s="1571"/>
      <c r="H126" s="1622"/>
      <c r="I126" s="1623"/>
      <c r="J126" s="1624"/>
      <c r="K126" s="1624"/>
      <c r="L126" s="1624"/>
      <c r="M126" s="1624"/>
      <c r="N126" s="1625"/>
    </row>
    <row r="127" spans="1:14" s="1626" customFormat="1" ht="18" customHeight="1" x14ac:dyDescent="0.3">
      <c r="A127" s="1528">
        <v>149</v>
      </c>
      <c r="B127" s="1619"/>
      <c r="C127" s="1568"/>
      <c r="D127" s="1638" t="s">
        <v>239</v>
      </c>
      <c r="E127" s="1570"/>
      <c r="F127" s="1570"/>
      <c r="G127" s="1571"/>
      <c r="H127" s="1622"/>
      <c r="I127" s="1628">
        <f>SUM(J127:N127)</f>
        <v>4200</v>
      </c>
      <c r="J127" s="1624"/>
      <c r="K127" s="1624"/>
      <c r="L127" s="1624"/>
      <c r="M127" s="1624"/>
      <c r="N127" s="1625">
        <f>3000+1200</f>
        <v>4200</v>
      </c>
    </row>
    <row r="128" spans="1:14" s="1626" customFormat="1" ht="18" customHeight="1" x14ac:dyDescent="0.3">
      <c r="A128" s="1528">
        <v>150</v>
      </c>
      <c r="B128" s="1619"/>
      <c r="C128" s="1568"/>
      <c r="D128" s="1629" t="s">
        <v>702</v>
      </c>
      <c r="E128" s="1570"/>
      <c r="F128" s="1570"/>
      <c r="G128" s="1571"/>
      <c r="H128" s="1622"/>
      <c r="I128" s="1630">
        <f>SUM(J128:N128)</f>
        <v>4200</v>
      </c>
      <c r="J128" s="1597"/>
      <c r="K128" s="1597"/>
      <c r="L128" s="1597"/>
      <c r="M128" s="1597"/>
      <c r="N128" s="1598">
        <v>4200</v>
      </c>
    </row>
    <row r="129" spans="1:14" s="1626" customFormat="1" ht="18" customHeight="1" x14ac:dyDescent="0.3">
      <c r="A129" s="1528">
        <v>151</v>
      </c>
      <c r="B129" s="1619"/>
      <c r="C129" s="1568"/>
      <c r="D129" s="1629" t="s">
        <v>745</v>
      </c>
      <c r="E129" s="1570"/>
      <c r="F129" s="1570"/>
      <c r="G129" s="1571"/>
      <c r="H129" s="1622"/>
      <c r="I129" s="1585">
        <f>SUM(J129:Q129)</f>
        <v>0</v>
      </c>
      <c r="J129" s="1624"/>
      <c r="K129" s="1624"/>
      <c r="L129" s="1624"/>
      <c r="M129" s="1624"/>
      <c r="N129" s="1641">
        <v>0</v>
      </c>
    </row>
    <row r="130" spans="1:14" s="1626" customFormat="1" ht="18" customHeight="1" x14ac:dyDescent="0.3">
      <c r="A130" s="1528">
        <v>153</v>
      </c>
      <c r="B130" s="1619"/>
      <c r="C130" s="1568"/>
      <c r="D130" s="1637" t="s">
        <v>695</v>
      </c>
      <c r="E130" s="1570"/>
      <c r="F130" s="1570"/>
      <c r="G130" s="1571"/>
      <c r="H130" s="1622"/>
      <c r="I130" s="1634"/>
      <c r="J130" s="1597"/>
      <c r="K130" s="1597"/>
      <c r="L130" s="1597"/>
      <c r="M130" s="1597"/>
      <c r="N130" s="1598"/>
    </row>
    <row r="131" spans="1:14" s="1626" customFormat="1" ht="18" customHeight="1" x14ac:dyDescent="0.3">
      <c r="A131" s="1528">
        <v>154</v>
      </c>
      <c r="B131" s="1619"/>
      <c r="C131" s="1568"/>
      <c r="D131" s="1629" t="s">
        <v>702</v>
      </c>
      <c r="E131" s="1570"/>
      <c r="F131" s="1570"/>
      <c r="G131" s="1571"/>
      <c r="H131" s="1622"/>
      <c r="I131" s="1585">
        <f>SUM(J131:Q131)</f>
        <v>4500</v>
      </c>
      <c r="J131" s="1597">
        <v>750</v>
      </c>
      <c r="K131" s="1597">
        <v>88</v>
      </c>
      <c r="L131" s="1597">
        <v>3662</v>
      </c>
      <c r="M131" s="1597"/>
      <c r="N131" s="1598">
        <v>0</v>
      </c>
    </row>
    <row r="132" spans="1:14" s="1626" customFormat="1" ht="18" customHeight="1" x14ac:dyDescent="0.3">
      <c r="A132" s="1528">
        <v>155</v>
      </c>
      <c r="B132" s="1619"/>
      <c r="C132" s="1568"/>
      <c r="D132" s="1629" t="s">
        <v>745</v>
      </c>
      <c r="E132" s="1570"/>
      <c r="F132" s="1570"/>
      <c r="G132" s="1571"/>
      <c r="H132" s="1622"/>
      <c r="I132" s="1585">
        <f>SUM(J132:Q132)</f>
        <v>0</v>
      </c>
      <c r="J132" s="1597">
        <v>0</v>
      </c>
      <c r="K132" s="1597">
        <v>0</v>
      </c>
      <c r="L132" s="1597">
        <v>0</v>
      </c>
      <c r="M132" s="1597"/>
      <c r="N132" s="1598">
        <v>0</v>
      </c>
    </row>
    <row r="133" spans="1:14" s="1626" customFormat="1" ht="18" customHeight="1" x14ac:dyDescent="0.3">
      <c r="A133" s="1528">
        <v>157</v>
      </c>
      <c r="B133" s="1619"/>
      <c r="C133" s="1568"/>
      <c r="D133" s="1637" t="s">
        <v>719</v>
      </c>
      <c r="E133" s="1570"/>
      <c r="F133" s="1570"/>
      <c r="G133" s="1571"/>
      <c r="H133" s="1622"/>
      <c r="I133" s="1585"/>
      <c r="J133" s="1597"/>
      <c r="K133" s="1597"/>
      <c r="L133" s="1597"/>
      <c r="M133" s="1597"/>
      <c r="N133" s="1598"/>
    </row>
    <row r="134" spans="1:14" s="1626" customFormat="1" ht="18" customHeight="1" x14ac:dyDescent="0.3">
      <c r="A134" s="1528">
        <v>158</v>
      </c>
      <c r="B134" s="1619"/>
      <c r="C134" s="1568"/>
      <c r="D134" s="1629" t="s">
        <v>702</v>
      </c>
      <c r="E134" s="1570"/>
      <c r="F134" s="1570"/>
      <c r="G134" s="1571"/>
      <c r="H134" s="1622"/>
      <c r="I134" s="1585">
        <f>SUM(J134:Q134)</f>
        <v>630</v>
      </c>
      <c r="J134" s="1597"/>
      <c r="K134" s="1597"/>
      <c r="L134" s="1597">
        <v>630</v>
      </c>
      <c r="M134" s="1597"/>
      <c r="N134" s="1598"/>
    </row>
    <row r="135" spans="1:14" s="1626" customFormat="1" ht="18" customHeight="1" x14ac:dyDescent="0.3">
      <c r="A135" s="1528">
        <v>159</v>
      </c>
      <c r="B135" s="1619"/>
      <c r="C135" s="1568"/>
      <c r="D135" s="1629" t="s">
        <v>745</v>
      </c>
      <c r="E135" s="1570"/>
      <c r="F135" s="1570"/>
      <c r="G135" s="1571"/>
      <c r="H135" s="1622"/>
      <c r="I135" s="1585">
        <f>SUM(J135:Q135)</f>
        <v>0</v>
      </c>
      <c r="J135" s="1597"/>
      <c r="K135" s="1597"/>
      <c r="L135" s="1597">
        <v>0</v>
      </c>
      <c r="M135" s="1597"/>
      <c r="N135" s="1598"/>
    </row>
    <row r="136" spans="1:14" s="1626" customFormat="1" ht="18" customHeight="1" x14ac:dyDescent="0.3">
      <c r="A136" s="1528">
        <v>161</v>
      </c>
      <c r="B136" s="1619"/>
      <c r="C136" s="1568"/>
      <c r="D136" s="1637" t="s">
        <v>419</v>
      </c>
      <c r="E136" s="1570"/>
      <c r="F136" s="1570">
        <v>1000</v>
      </c>
      <c r="G136" s="1571">
        <v>990</v>
      </c>
      <c r="H136" s="1622"/>
      <c r="I136" s="1628"/>
      <c r="J136" s="1624"/>
      <c r="K136" s="1624"/>
      <c r="L136" s="1624"/>
      <c r="M136" s="1624"/>
      <c r="N136" s="1625"/>
    </row>
    <row r="137" spans="1:14" s="1626" customFormat="1" ht="18" customHeight="1" x14ac:dyDescent="0.3">
      <c r="A137" s="1528">
        <v>162</v>
      </c>
      <c r="B137" s="1619"/>
      <c r="C137" s="1568"/>
      <c r="D137" s="1637" t="s">
        <v>420</v>
      </c>
      <c r="E137" s="1570"/>
      <c r="F137" s="1570">
        <v>441</v>
      </c>
      <c r="G137" s="1571">
        <v>441</v>
      </c>
      <c r="H137" s="1622"/>
      <c r="I137" s="1623"/>
      <c r="J137" s="1624"/>
      <c r="K137" s="1624"/>
      <c r="L137" s="1624"/>
      <c r="M137" s="1624"/>
      <c r="N137" s="1625"/>
    </row>
    <row r="138" spans="1:14" s="1626" customFormat="1" ht="22.5" customHeight="1" x14ac:dyDescent="0.3">
      <c r="A138" s="1528">
        <v>163</v>
      </c>
      <c r="B138" s="1619"/>
      <c r="C138" s="1589">
        <v>14</v>
      </c>
      <c r="D138" s="1590" t="s">
        <v>320</v>
      </c>
      <c r="E138" s="1570">
        <v>1250</v>
      </c>
      <c r="F138" s="1570">
        <v>1250</v>
      </c>
      <c r="G138" s="1571">
        <v>1250</v>
      </c>
      <c r="H138" s="1572" t="s">
        <v>24</v>
      </c>
      <c r="I138" s="1623"/>
      <c r="J138" s="1624"/>
      <c r="K138" s="1624"/>
      <c r="L138" s="1624"/>
      <c r="M138" s="1624"/>
      <c r="N138" s="1625"/>
    </row>
    <row r="139" spans="1:14" s="1644" customFormat="1" ht="18" customHeight="1" x14ac:dyDescent="0.3">
      <c r="A139" s="1528">
        <v>164</v>
      </c>
      <c r="B139" s="1642"/>
      <c r="C139" s="1614"/>
      <c r="D139" s="1569" t="s">
        <v>239</v>
      </c>
      <c r="E139" s="1615"/>
      <c r="F139" s="1615"/>
      <c r="G139" s="1616"/>
      <c r="H139" s="1617"/>
      <c r="I139" s="1573">
        <f>SUM(J139:N139)</f>
        <v>1250</v>
      </c>
      <c r="J139" s="1643"/>
      <c r="K139" s="1643"/>
      <c r="L139" s="1643"/>
      <c r="M139" s="1643"/>
      <c r="N139" s="1592">
        <v>1250</v>
      </c>
    </row>
    <row r="140" spans="1:14" s="1644" customFormat="1" ht="18" customHeight="1" x14ac:dyDescent="0.3">
      <c r="A140" s="1528">
        <v>165</v>
      </c>
      <c r="B140" s="1642"/>
      <c r="C140" s="1614"/>
      <c r="D140" s="1578" t="s">
        <v>702</v>
      </c>
      <c r="E140" s="1615"/>
      <c r="F140" s="1615"/>
      <c r="G140" s="1616"/>
      <c r="H140" s="1617"/>
      <c r="I140" s="1593">
        <f>SUM(J140:N140)</f>
        <v>5597</v>
      </c>
      <c r="J140" s="1645"/>
      <c r="K140" s="1645"/>
      <c r="L140" s="1645"/>
      <c r="M140" s="1645"/>
      <c r="N140" s="1596">
        <v>5597</v>
      </c>
    </row>
    <row r="141" spans="1:14" s="1644" customFormat="1" ht="18" customHeight="1" x14ac:dyDescent="0.3">
      <c r="A141" s="1528">
        <v>166</v>
      </c>
      <c r="B141" s="1642"/>
      <c r="C141" s="1614"/>
      <c r="D141" s="1584" t="s">
        <v>745</v>
      </c>
      <c r="E141" s="1615"/>
      <c r="F141" s="1615"/>
      <c r="G141" s="1616"/>
      <c r="H141" s="1617"/>
      <c r="I141" s="1585">
        <f>SUM(J141:Q141)</f>
        <v>1250</v>
      </c>
      <c r="J141" s="1595"/>
      <c r="K141" s="1595"/>
      <c r="L141" s="1595"/>
      <c r="M141" s="1595"/>
      <c r="N141" s="1598">
        <v>1250</v>
      </c>
    </row>
    <row r="142" spans="1:14" s="1626" customFormat="1" ht="22.5" customHeight="1" x14ac:dyDescent="0.3">
      <c r="A142" s="1528">
        <v>168</v>
      </c>
      <c r="B142" s="1619"/>
      <c r="C142" s="1589">
        <v>15</v>
      </c>
      <c r="D142" s="1590" t="s">
        <v>321</v>
      </c>
      <c r="E142" s="1570">
        <v>5653</v>
      </c>
      <c r="F142" s="1570">
        <v>5000</v>
      </c>
      <c r="G142" s="1571">
        <v>5000</v>
      </c>
      <c r="H142" s="1572" t="s">
        <v>24</v>
      </c>
      <c r="I142" s="1623"/>
      <c r="J142" s="1624"/>
      <c r="K142" s="1624"/>
      <c r="L142" s="1624"/>
      <c r="M142" s="1624"/>
      <c r="N142" s="1625"/>
    </row>
    <row r="143" spans="1:14" s="1644" customFormat="1" ht="18" customHeight="1" x14ac:dyDescent="0.3">
      <c r="A143" s="1528">
        <v>169</v>
      </c>
      <c r="B143" s="1642"/>
      <c r="C143" s="1614"/>
      <c r="D143" s="1569" t="s">
        <v>239</v>
      </c>
      <c r="E143" s="1615"/>
      <c r="F143" s="1615"/>
      <c r="G143" s="1616"/>
      <c r="H143" s="1617"/>
      <c r="I143" s="1573">
        <f>SUM(J143:N143)</f>
        <v>1250</v>
      </c>
      <c r="J143" s="1643"/>
      <c r="K143" s="1643"/>
      <c r="L143" s="1643"/>
      <c r="M143" s="1643"/>
      <c r="N143" s="1592">
        <v>1250</v>
      </c>
    </row>
    <row r="144" spans="1:14" s="1644" customFormat="1" ht="18" customHeight="1" x14ac:dyDescent="0.3">
      <c r="A144" s="1528">
        <v>170</v>
      </c>
      <c r="B144" s="1642"/>
      <c r="C144" s="1614"/>
      <c r="D144" s="1578" t="s">
        <v>702</v>
      </c>
      <c r="E144" s="1615"/>
      <c r="F144" s="1615"/>
      <c r="G144" s="1616"/>
      <c r="H144" s="1617"/>
      <c r="I144" s="1593">
        <f>SUM(J144:N144)</f>
        <v>1250</v>
      </c>
      <c r="J144" s="1645"/>
      <c r="K144" s="1645"/>
      <c r="L144" s="1645"/>
      <c r="M144" s="1645"/>
      <c r="N144" s="1596">
        <v>1250</v>
      </c>
    </row>
    <row r="145" spans="1:16" s="1644" customFormat="1" ht="18" customHeight="1" x14ac:dyDescent="0.3">
      <c r="A145" s="1528">
        <v>171</v>
      </c>
      <c r="B145" s="1642"/>
      <c r="C145" s="1614"/>
      <c r="D145" s="1584" t="s">
        <v>745</v>
      </c>
      <c r="E145" s="1615"/>
      <c r="F145" s="1615"/>
      <c r="G145" s="1616"/>
      <c r="H145" s="1617"/>
      <c r="I145" s="1585">
        <f>SUM(J145:Q145)</f>
        <v>1250</v>
      </c>
      <c r="J145" s="1595"/>
      <c r="K145" s="1595"/>
      <c r="L145" s="1595"/>
      <c r="M145" s="1595"/>
      <c r="N145" s="1641">
        <v>1250</v>
      </c>
    </row>
    <row r="146" spans="1:16" s="1626" customFormat="1" ht="22.5" customHeight="1" x14ac:dyDescent="0.3">
      <c r="A146" s="1528">
        <v>173</v>
      </c>
      <c r="B146" s="1619"/>
      <c r="C146" s="1589">
        <v>16</v>
      </c>
      <c r="D146" s="1590" t="s">
        <v>507</v>
      </c>
      <c r="E146" s="1570"/>
      <c r="F146" s="1570">
        <v>2100</v>
      </c>
      <c r="G146" s="1571">
        <v>2100</v>
      </c>
      <c r="H146" s="1572" t="s">
        <v>24</v>
      </c>
      <c r="I146" s="1623"/>
      <c r="J146" s="1624"/>
      <c r="K146" s="1624"/>
      <c r="L146" s="1624"/>
      <c r="M146" s="1624"/>
      <c r="N146" s="1625"/>
    </row>
    <row r="147" spans="1:16" s="1644" customFormat="1" ht="18" customHeight="1" x14ac:dyDescent="0.3">
      <c r="A147" s="1528">
        <v>174</v>
      </c>
      <c r="B147" s="1642"/>
      <c r="C147" s="1614"/>
      <c r="D147" s="1569" t="s">
        <v>239</v>
      </c>
      <c r="E147" s="1615"/>
      <c r="F147" s="1615"/>
      <c r="G147" s="1616"/>
      <c r="H147" s="1646"/>
      <c r="I147" s="1573">
        <f>SUM(J147:N147)</f>
        <v>1250</v>
      </c>
      <c r="J147" s="1643"/>
      <c r="K147" s="1643"/>
      <c r="L147" s="1643"/>
      <c r="M147" s="1643"/>
      <c r="N147" s="1592">
        <v>1250</v>
      </c>
    </row>
    <row r="148" spans="1:16" s="1644" customFormat="1" ht="18" customHeight="1" x14ac:dyDescent="0.3">
      <c r="A148" s="1528">
        <v>175</v>
      </c>
      <c r="B148" s="1642"/>
      <c r="C148" s="1614"/>
      <c r="D148" s="1578" t="s">
        <v>702</v>
      </c>
      <c r="E148" s="1615"/>
      <c r="F148" s="1615"/>
      <c r="G148" s="1616"/>
      <c r="H148" s="1646"/>
      <c r="I148" s="1593">
        <f>SUM(J148:N148)</f>
        <v>1250</v>
      </c>
      <c r="J148" s="1645"/>
      <c r="K148" s="1645"/>
      <c r="L148" s="1645"/>
      <c r="M148" s="1645"/>
      <c r="N148" s="1596">
        <v>1250</v>
      </c>
    </row>
    <row r="149" spans="1:16" s="1644" customFormat="1" ht="18" customHeight="1" x14ac:dyDescent="0.3">
      <c r="A149" s="1528">
        <v>176</v>
      </c>
      <c r="B149" s="1642"/>
      <c r="C149" s="1614"/>
      <c r="D149" s="1584" t="s">
        <v>745</v>
      </c>
      <c r="E149" s="1615"/>
      <c r="F149" s="1615"/>
      <c r="G149" s="1616"/>
      <c r="H149" s="1646"/>
      <c r="I149" s="1585">
        <f>SUM(J149:Q149)</f>
        <v>0</v>
      </c>
      <c r="J149" s="1595"/>
      <c r="K149" s="1595"/>
      <c r="L149" s="1595"/>
      <c r="M149" s="1595"/>
      <c r="N149" s="1641">
        <v>0</v>
      </c>
    </row>
    <row r="150" spans="1:16" s="1626" customFormat="1" ht="23.45" customHeight="1" x14ac:dyDescent="0.3">
      <c r="A150" s="1528">
        <v>178</v>
      </c>
      <c r="B150" s="1619"/>
      <c r="C150" s="1589">
        <v>17</v>
      </c>
      <c r="D150" s="1590" t="s">
        <v>291</v>
      </c>
      <c r="E150" s="1570">
        <v>500</v>
      </c>
      <c r="F150" s="1570">
        <v>2500</v>
      </c>
      <c r="G150" s="1571">
        <v>4200</v>
      </c>
      <c r="H150" s="1572" t="s">
        <v>24</v>
      </c>
      <c r="I150" s="1623"/>
      <c r="J150" s="1624"/>
      <c r="K150" s="1624"/>
      <c r="L150" s="1624"/>
      <c r="M150" s="1624"/>
      <c r="N150" s="1625"/>
    </row>
    <row r="151" spans="1:16" s="1566" customFormat="1" ht="22.5" customHeight="1" x14ac:dyDescent="0.3">
      <c r="A151" s="1528">
        <v>179</v>
      </c>
      <c r="B151" s="1588"/>
      <c r="C151" s="1589">
        <v>19</v>
      </c>
      <c r="D151" s="1590" t="s">
        <v>203</v>
      </c>
      <c r="E151" s="1570">
        <f>SUM(E155,E159,E163,E167,E171)+E175</f>
        <v>101000</v>
      </c>
      <c r="F151" s="1570">
        <f>SUM(F155,F159,F163,F167,F171)+F175</f>
        <v>141100</v>
      </c>
      <c r="G151" s="1571">
        <f>SUM(G155,G159,G163,G167,G171)+G175</f>
        <v>149100</v>
      </c>
      <c r="H151" s="1572" t="s">
        <v>24</v>
      </c>
      <c r="I151" s="1599"/>
      <c r="J151" s="1600"/>
      <c r="K151" s="1600"/>
      <c r="L151" s="1600"/>
      <c r="M151" s="1600"/>
      <c r="N151" s="1601"/>
      <c r="O151" s="1577"/>
      <c r="P151" s="1577"/>
    </row>
    <row r="152" spans="1:16" s="1618" customFormat="1" ht="18" customHeight="1" x14ac:dyDescent="0.3">
      <c r="A152" s="1528">
        <v>180</v>
      </c>
      <c r="B152" s="1613"/>
      <c r="C152" s="1614"/>
      <c r="D152" s="1569" t="s">
        <v>239</v>
      </c>
      <c r="E152" s="1615"/>
      <c r="F152" s="1615"/>
      <c r="G152" s="1616"/>
      <c r="H152" s="1617"/>
      <c r="I152" s="1573">
        <f>SUM(J152:N152)</f>
        <v>183000</v>
      </c>
      <c r="J152" s="1602">
        <f t="shared" ref="J152:N154" si="0">SUM(J156,)+J160+J164+J168+J172+J176+J180</f>
        <v>0</v>
      </c>
      <c r="K152" s="1602">
        <f t="shared" si="0"/>
        <v>0</v>
      </c>
      <c r="L152" s="1602">
        <f t="shared" si="0"/>
        <v>0</v>
      </c>
      <c r="M152" s="1602">
        <f t="shared" si="0"/>
        <v>0</v>
      </c>
      <c r="N152" s="1603">
        <f t="shared" si="0"/>
        <v>183000</v>
      </c>
    </row>
    <row r="153" spans="1:16" s="1618" customFormat="1" ht="18" customHeight="1" x14ac:dyDescent="0.3">
      <c r="A153" s="1528">
        <v>181</v>
      </c>
      <c r="B153" s="1613"/>
      <c r="C153" s="1614"/>
      <c r="D153" s="1578" t="s">
        <v>702</v>
      </c>
      <c r="E153" s="1615"/>
      <c r="F153" s="1615"/>
      <c r="G153" s="1616"/>
      <c r="H153" s="1617"/>
      <c r="I153" s="1593">
        <f>SUM(J153:N153)</f>
        <v>186000</v>
      </c>
      <c r="J153" s="1604">
        <f t="shared" si="0"/>
        <v>0</v>
      </c>
      <c r="K153" s="1604">
        <f t="shared" si="0"/>
        <v>0</v>
      </c>
      <c r="L153" s="1604">
        <f t="shared" si="0"/>
        <v>0</v>
      </c>
      <c r="M153" s="1604">
        <f t="shared" si="0"/>
        <v>0</v>
      </c>
      <c r="N153" s="1606">
        <f t="shared" si="0"/>
        <v>186000</v>
      </c>
    </row>
    <row r="154" spans="1:16" s="1618" customFormat="1" ht="18" customHeight="1" x14ac:dyDescent="0.3">
      <c r="A154" s="1528">
        <v>182</v>
      </c>
      <c r="B154" s="1613"/>
      <c r="C154" s="1614"/>
      <c r="D154" s="1584" t="s">
        <v>745</v>
      </c>
      <c r="E154" s="1615"/>
      <c r="F154" s="1615"/>
      <c r="G154" s="1616"/>
      <c r="H154" s="1617"/>
      <c r="I154" s="1585">
        <f>SUM(J154:Q154)</f>
        <v>94500</v>
      </c>
      <c r="J154" s="1607">
        <f t="shared" si="0"/>
        <v>0</v>
      </c>
      <c r="K154" s="1607">
        <f t="shared" si="0"/>
        <v>0</v>
      </c>
      <c r="L154" s="1607">
        <f t="shared" si="0"/>
        <v>0</v>
      </c>
      <c r="M154" s="1607">
        <f t="shared" si="0"/>
        <v>0</v>
      </c>
      <c r="N154" s="1608">
        <v>94500</v>
      </c>
    </row>
    <row r="155" spans="1:16" s="1626" customFormat="1" ht="18" customHeight="1" x14ac:dyDescent="0.3">
      <c r="A155" s="1528">
        <v>184</v>
      </c>
      <c r="B155" s="1619"/>
      <c r="C155" s="1620"/>
      <c r="D155" s="1647" t="s">
        <v>50</v>
      </c>
      <c r="E155" s="1570">
        <v>80000</v>
      </c>
      <c r="F155" s="1570">
        <v>98000</v>
      </c>
      <c r="G155" s="1571">
        <v>98000</v>
      </c>
      <c r="H155" s="1622"/>
      <c r="I155" s="1623"/>
      <c r="J155" s="1624"/>
      <c r="K155" s="1624"/>
      <c r="L155" s="1624"/>
      <c r="M155" s="1624"/>
      <c r="N155" s="1625"/>
      <c r="P155" s="1577"/>
    </row>
    <row r="156" spans="1:16" s="1644" customFormat="1" ht="18" customHeight="1" x14ac:dyDescent="0.3">
      <c r="A156" s="1528">
        <v>185</v>
      </c>
      <c r="B156" s="1642"/>
      <c r="C156" s="1614"/>
      <c r="D156" s="1638" t="s">
        <v>239</v>
      </c>
      <c r="E156" s="1615"/>
      <c r="F156" s="1615"/>
      <c r="G156" s="1616"/>
      <c r="H156" s="1646"/>
      <c r="I156" s="1628">
        <f>SUM(J156:N156)</f>
        <v>147000</v>
      </c>
      <c r="J156" s="1643"/>
      <c r="K156" s="1643"/>
      <c r="L156" s="1643"/>
      <c r="M156" s="1643"/>
      <c r="N156" s="1625">
        <v>147000</v>
      </c>
      <c r="P156" s="1618"/>
    </row>
    <row r="157" spans="1:16" s="1644" customFormat="1" ht="18" customHeight="1" x14ac:dyDescent="0.3">
      <c r="A157" s="1528">
        <v>186</v>
      </c>
      <c r="B157" s="1642"/>
      <c r="C157" s="1614"/>
      <c r="D157" s="1629" t="s">
        <v>702</v>
      </c>
      <c r="E157" s="1615"/>
      <c r="F157" s="1615"/>
      <c r="G157" s="1616"/>
      <c r="H157" s="1646"/>
      <c r="I157" s="1630">
        <f>SUM(J157:N157)</f>
        <v>147000</v>
      </c>
      <c r="J157" s="1645"/>
      <c r="K157" s="1645"/>
      <c r="L157" s="1645"/>
      <c r="M157" s="1645"/>
      <c r="N157" s="1598">
        <v>147000</v>
      </c>
      <c r="P157" s="1618"/>
    </row>
    <row r="158" spans="1:16" s="1644" customFormat="1" ht="18" customHeight="1" x14ac:dyDescent="0.3">
      <c r="A158" s="1528">
        <v>187</v>
      </c>
      <c r="B158" s="1642"/>
      <c r="C158" s="1614"/>
      <c r="D158" s="1629" t="s">
        <v>745</v>
      </c>
      <c r="E158" s="1615"/>
      <c r="F158" s="1615"/>
      <c r="G158" s="1616"/>
      <c r="H158" s="1646"/>
      <c r="I158" s="1585">
        <f>SUM(J158:Q158)</f>
        <v>73500</v>
      </c>
      <c r="J158" s="1643"/>
      <c r="K158" s="1643"/>
      <c r="L158" s="1643"/>
      <c r="M158" s="1643"/>
      <c r="N158" s="1641">
        <v>73500</v>
      </c>
      <c r="P158" s="1618"/>
    </row>
    <row r="159" spans="1:16" s="1626" customFormat="1" ht="18" customHeight="1" x14ac:dyDescent="0.3">
      <c r="A159" s="1528">
        <v>189</v>
      </c>
      <c r="B159" s="1619"/>
      <c r="C159" s="1620"/>
      <c r="D159" s="1648" t="s">
        <v>51</v>
      </c>
      <c r="E159" s="1570">
        <v>4500</v>
      </c>
      <c r="F159" s="1570">
        <v>11600</v>
      </c>
      <c r="G159" s="1571">
        <v>19600</v>
      </c>
      <c r="H159" s="1622"/>
      <c r="I159" s="1631"/>
      <c r="J159" s="1632"/>
      <c r="K159" s="1632"/>
      <c r="L159" s="1632"/>
      <c r="M159" s="1632"/>
      <c r="N159" s="1633"/>
      <c r="P159" s="1577"/>
    </row>
    <row r="160" spans="1:16" s="1626" customFormat="1" ht="18" customHeight="1" x14ac:dyDescent="0.3">
      <c r="A160" s="1528">
        <v>190</v>
      </c>
      <c r="B160" s="1619"/>
      <c r="C160" s="1620"/>
      <c r="D160" s="1638" t="s">
        <v>239</v>
      </c>
      <c r="E160" s="1570"/>
      <c r="F160" s="1570"/>
      <c r="G160" s="1571"/>
      <c r="H160" s="1622"/>
      <c r="I160" s="1628">
        <f>SUM(J160:N160)</f>
        <v>8000</v>
      </c>
      <c r="J160" s="1632"/>
      <c r="K160" s="1632"/>
      <c r="L160" s="1632"/>
      <c r="M160" s="1632"/>
      <c r="N160" s="1633">
        <v>8000</v>
      </c>
      <c r="P160" s="1577"/>
    </row>
    <row r="161" spans="1:16" s="1626" customFormat="1" ht="18" customHeight="1" x14ac:dyDescent="0.3">
      <c r="A161" s="1528">
        <v>191</v>
      </c>
      <c r="B161" s="1619"/>
      <c r="C161" s="1620"/>
      <c r="D161" s="1629" t="s">
        <v>702</v>
      </c>
      <c r="E161" s="1570"/>
      <c r="F161" s="1570"/>
      <c r="G161" s="1571"/>
      <c r="H161" s="1622"/>
      <c r="I161" s="1630">
        <f>SUM(J161:N161)</f>
        <v>8000</v>
      </c>
      <c r="J161" s="1607"/>
      <c r="K161" s="1607"/>
      <c r="L161" s="1607"/>
      <c r="M161" s="1607"/>
      <c r="N161" s="1608">
        <v>8000</v>
      </c>
      <c r="P161" s="1577"/>
    </row>
    <row r="162" spans="1:16" s="1626" customFormat="1" ht="18" customHeight="1" x14ac:dyDescent="0.3">
      <c r="A162" s="1528">
        <v>192</v>
      </c>
      <c r="B162" s="1619"/>
      <c r="C162" s="1620"/>
      <c r="D162" s="1629" t="s">
        <v>745</v>
      </c>
      <c r="E162" s="1570"/>
      <c r="F162" s="1570"/>
      <c r="G162" s="1571"/>
      <c r="H162" s="1622"/>
      <c r="I162" s="1585">
        <f>SUM(J162:Q162)</f>
        <v>4000</v>
      </c>
      <c r="J162" s="1632"/>
      <c r="K162" s="1632"/>
      <c r="L162" s="1632"/>
      <c r="M162" s="1632"/>
      <c r="N162" s="1641">
        <v>4000</v>
      </c>
      <c r="P162" s="1577"/>
    </row>
    <row r="163" spans="1:16" s="1626" customFormat="1" ht="18" customHeight="1" x14ac:dyDescent="0.3">
      <c r="A163" s="1528">
        <v>194</v>
      </c>
      <c r="B163" s="1619"/>
      <c r="C163" s="1568"/>
      <c r="D163" s="1648" t="s">
        <v>52</v>
      </c>
      <c r="E163" s="1570">
        <v>9500</v>
      </c>
      <c r="F163" s="1570">
        <v>9500</v>
      </c>
      <c r="G163" s="1571">
        <v>9500</v>
      </c>
      <c r="H163" s="1622"/>
      <c r="I163" s="1631"/>
      <c r="J163" s="1632"/>
      <c r="K163" s="1632"/>
      <c r="L163" s="1632"/>
      <c r="M163" s="1632"/>
      <c r="N163" s="1633"/>
      <c r="P163" s="1577"/>
    </row>
    <row r="164" spans="1:16" s="1626" customFormat="1" ht="18" customHeight="1" x14ac:dyDescent="0.3">
      <c r="A164" s="1528">
        <v>195</v>
      </c>
      <c r="B164" s="1619"/>
      <c r="C164" s="1568"/>
      <c r="D164" s="1638" t="s">
        <v>239</v>
      </c>
      <c r="E164" s="1570"/>
      <c r="F164" s="1570"/>
      <c r="G164" s="1571"/>
      <c r="H164" s="1622"/>
      <c r="I164" s="1628">
        <f>SUM(J164:N164)</f>
        <v>9500</v>
      </c>
      <c r="J164" s="1632"/>
      <c r="K164" s="1632"/>
      <c r="L164" s="1632"/>
      <c r="M164" s="1632"/>
      <c r="N164" s="1633">
        <v>9500</v>
      </c>
      <c r="P164" s="1577"/>
    </row>
    <row r="165" spans="1:16" s="1626" customFormat="1" ht="18" customHeight="1" x14ac:dyDescent="0.3">
      <c r="A165" s="1528">
        <v>196</v>
      </c>
      <c r="B165" s="1619"/>
      <c r="C165" s="1568"/>
      <c r="D165" s="1629" t="s">
        <v>702</v>
      </c>
      <c r="E165" s="1570"/>
      <c r="F165" s="1570"/>
      <c r="G165" s="1571"/>
      <c r="H165" s="1622"/>
      <c r="I165" s="1630">
        <f>SUM(J165:N165)</f>
        <v>12500</v>
      </c>
      <c r="J165" s="1607"/>
      <c r="K165" s="1607"/>
      <c r="L165" s="1607"/>
      <c r="M165" s="1607"/>
      <c r="N165" s="1608">
        <v>12500</v>
      </c>
      <c r="P165" s="1577"/>
    </row>
    <row r="166" spans="1:16" s="1626" customFormat="1" ht="18" customHeight="1" x14ac:dyDescent="0.3">
      <c r="A166" s="1528">
        <v>197</v>
      </c>
      <c r="B166" s="1619"/>
      <c r="C166" s="1568"/>
      <c r="D166" s="1629" t="s">
        <v>745</v>
      </c>
      <c r="E166" s="1570"/>
      <c r="F166" s="1570"/>
      <c r="G166" s="1571"/>
      <c r="H166" s="1622"/>
      <c r="I166" s="1585">
        <f>SUM(J166:Q166)</f>
        <v>7750</v>
      </c>
      <c r="J166" s="1632"/>
      <c r="K166" s="1632"/>
      <c r="L166" s="1632"/>
      <c r="M166" s="1632"/>
      <c r="N166" s="1608">
        <v>7750</v>
      </c>
      <c r="P166" s="1577"/>
    </row>
    <row r="167" spans="1:16" s="1626" customFormat="1" ht="18" customHeight="1" x14ac:dyDescent="0.3">
      <c r="A167" s="1528">
        <v>199</v>
      </c>
      <c r="B167" s="1619"/>
      <c r="C167" s="1568"/>
      <c r="D167" s="1648" t="s">
        <v>53</v>
      </c>
      <c r="E167" s="1570">
        <v>3000</v>
      </c>
      <c r="F167" s="1570">
        <v>8000</v>
      </c>
      <c r="G167" s="1571">
        <v>8000</v>
      </c>
      <c r="H167" s="1622"/>
      <c r="I167" s="1631"/>
      <c r="J167" s="1632"/>
      <c r="K167" s="1632"/>
      <c r="L167" s="1632"/>
      <c r="M167" s="1632"/>
      <c r="N167" s="1633"/>
      <c r="P167" s="1577"/>
    </row>
    <row r="168" spans="1:16" s="1626" customFormat="1" ht="18" customHeight="1" x14ac:dyDescent="0.3">
      <c r="A168" s="1528">
        <v>200</v>
      </c>
      <c r="B168" s="1619"/>
      <c r="C168" s="1568"/>
      <c r="D168" s="1638" t="s">
        <v>239</v>
      </c>
      <c r="E168" s="1570"/>
      <c r="F168" s="1570"/>
      <c r="G168" s="1571"/>
      <c r="H168" s="1622"/>
      <c r="I168" s="1628">
        <f>SUM(J168:N168)</f>
        <v>6000</v>
      </c>
      <c r="J168" s="1632"/>
      <c r="K168" s="1632"/>
      <c r="L168" s="1632"/>
      <c r="M168" s="1632"/>
      <c r="N168" s="1633">
        <v>6000</v>
      </c>
      <c r="P168" s="1577"/>
    </row>
    <row r="169" spans="1:16" s="1626" customFormat="1" ht="18" customHeight="1" x14ac:dyDescent="0.3">
      <c r="A169" s="1528">
        <v>201</v>
      </c>
      <c r="B169" s="1619"/>
      <c r="C169" s="1568"/>
      <c r="D169" s="1629" t="s">
        <v>702</v>
      </c>
      <c r="E169" s="1570"/>
      <c r="F169" s="1570"/>
      <c r="G169" s="1571"/>
      <c r="H169" s="1622"/>
      <c r="I169" s="1630">
        <f>SUM(J169:N169)</f>
        <v>6000</v>
      </c>
      <c r="J169" s="1607"/>
      <c r="K169" s="1607"/>
      <c r="L169" s="1607"/>
      <c r="M169" s="1607"/>
      <c r="N169" s="1608">
        <v>6000</v>
      </c>
      <c r="P169" s="1577"/>
    </row>
    <row r="170" spans="1:16" s="1626" customFormat="1" ht="18" customHeight="1" x14ac:dyDescent="0.3">
      <c r="A170" s="1528">
        <v>202</v>
      </c>
      <c r="B170" s="1619"/>
      <c r="C170" s="1568"/>
      <c r="D170" s="1629" t="s">
        <v>745</v>
      </c>
      <c r="E170" s="1570"/>
      <c r="F170" s="1570"/>
      <c r="G170" s="1571"/>
      <c r="H170" s="1622"/>
      <c r="I170" s="1585">
        <f>SUM(J170:Q170)</f>
        <v>3000</v>
      </c>
      <c r="J170" s="1632"/>
      <c r="K170" s="1632"/>
      <c r="L170" s="1632"/>
      <c r="M170" s="1632"/>
      <c r="N170" s="1641">
        <v>3000</v>
      </c>
      <c r="P170" s="1577"/>
    </row>
    <row r="171" spans="1:16" s="1626" customFormat="1" ht="18" customHeight="1" x14ac:dyDescent="0.3">
      <c r="A171" s="1528">
        <v>204</v>
      </c>
      <c r="B171" s="1619"/>
      <c r="C171" s="1568"/>
      <c r="D171" s="1648" t="s">
        <v>247</v>
      </c>
      <c r="E171" s="1570">
        <v>2000</v>
      </c>
      <c r="F171" s="1570">
        <v>7000</v>
      </c>
      <c r="G171" s="1571">
        <v>7000</v>
      </c>
      <c r="H171" s="1622"/>
      <c r="I171" s="1631"/>
      <c r="J171" s="1632"/>
      <c r="K171" s="1632"/>
      <c r="L171" s="1632"/>
      <c r="M171" s="1632"/>
      <c r="N171" s="1633"/>
      <c r="P171" s="1577"/>
    </row>
    <row r="172" spans="1:16" s="1626" customFormat="1" ht="18" customHeight="1" x14ac:dyDescent="0.3">
      <c r="A172" s="1528">
        <v>205</v>
      </c>
      <c r="B172" s="1619"/>
      <c r="C172" s="1568"/>
      <c r="D172" s="1638" t="s">
        <v>239</v>
      </c>
      <c r="E172" s="1570"/>
      <c r="F172" s="1570"/>
      <c r="G172" s="1571"/>
      <c r="H172" s="1622"/>
      <c r="I172" s="1628">
        <f>SUM(J172:N172)</f>
        <v>5000</v>
      </c>
      <c r="J172" s="1632"/>
      <c r="K172" s="1632"/>
      <c r="L172" s="1632"/>
      <c r="M172" s="1632"/>
      <c r="N172" s="1633">
        <v>5000</v>
      </c>
      <c r="P172" s="1577"/>
    </row>
    <row r="173" spans="1:16" s="1626" customFormat="1" ht="18" customHeight="1" x14ac:dyDescent="0.3">
      <c r="A173" s="1528">
        <v>206</v>
      </c>
      <c r="B173" s="1619"/>
      <c r="C173" s="1568"/>
      <c r="D173" s="1629" t="s">
        <v>702</v>
      </c>
      <c r="E173" s="1570"/>
      <c r="F173" s="1570"/>
      <c r="G173" s="1571"/>
      <c r="H173" s="1622"/>
      <c r="I173" s="1630">
        <f>SUM(J173:N173)</f>
        <v>5000</v>
      </c>
      <c r="J173" s="1607"/>
      <c r="K173" s="1607"/>
      <c r="L173" s="1607"/>
      <c r="M173" s="1607"/>
      <c r="N173" s="1608">
        <v>5000</v>
      </c>
      <c r="P173" s="1577"/>
    </row>
    <row r="174" spans="1:16" s="1626" customFormat="1" ht="18" customHeight="1" x14ac:dyDescent="0.3">
      <c r="A174" s="1528">
        <v>207</v>
      </c>
      <c r="B174" s="1619"/>
      <c r="C174" s="1568"/>
      <c r="D174" s="1629" t="s">
        <v>745</v>
      </c>
      <c r="E174" s="1570"/>
      <c r="F174" s="1570"/>
      <c r="G174" s="1571"/>
      <c r="H174" s="1622"/>
      <c r="I174" s="1585">
        <f>SUM(J174:Q174)</f>
        <v>2500</v>
      </c>
      <c r="J174" s="1632"/>
      <c r="K174" s="1632"/>
      <c r="L174" s="1632"/>
      <c r="M174" s="1632"/>
      <c r="N174" s="1641">
        <v>2500</v>
      </c>
      <c r="P174" s="1577"/>
    </row>
    <row r="175" spans="1:16" s="1626" customFormat="1" ht="18" customHeight="1" x14ac:dyDescent="0.3">
      <c r="A175" s="1528">
        <v>209</v>
      </c>
      <c r="B175" s="1619"/>
      <c r="C175" s="1568"/>
      <c r="D175" s="1648" t="s">
        <v>421</v>
      </c>
      <c r="E175" s="1570">
        <v>2000</v>
      </c>
      <c r="F175" s="1570">
        <v>7000</v>
      </c>
      <c r="G175" s="1571">
        <v>7000</v>
      </c>
      <c r="H175" s="1622"/>
      <c r="I175" s="1628"/>
      <c r="J175" s="1632"/>
      <c r="K175" s="1632"/>
      <c r="L175" s="1632"/>
      <c r="M175" s="1632"/>
      <c r="N175" s="1633"/>
      <c r="P175" s="1577"/>
    </row>
    <row r="176" spans="1:16" s="1626" customFormat="1" ht="18" customHeight="1" x14ac:dyDescent="0.3">
      <c r="A176" s="1528">
        <v>210</v>
      </c>
      <c r="B176" s="1619"/>
      <c r="C176" s="1568"/>
      <c r="D176" s="1638" t="s">
        <v>239</v>
      </c>
      <c r="E176" s="1570"/>
      <c r="F176" s="1570"/>
      <c r="G176" s="1571"/>
      <c r="H176" s="1622"/>
      <c r="I176" s="1628">
        <f>SUM(J176:N176)</f>
        <v>5000</v>
      </c>
      <c r="J176" s="1632"/>
      <c r="K176" s="1632"/>
      <c r="L176" s="1632"/>
      <c r="M176" s="1632"/>
      <c r="N176" s="1633">
        <v>5000</v>
      </c>
      <c r="P176" s="1577"/>
    </row>
    <row r="177" spans="1:16" s="1626" customFormat="1" ht="18" customHeight="1" x14ac:dyDescent="0.3">
      <c r="A177" s="1528">
        <v>211</v>
      </c>
      <c r="B177" s="1619"/>
      <c r="C177" s="1568"/>
      <c r="D177" s="1629" t="s">
        <v>702</v>
      </c>
      <c r="E177" s="1570"/>
      <c r="F177" s="1570"/>
      <c r="G177" s="1571"/>
      <c r="H177" s="1622"/>
      <c r="I177" s="1630">
        <f>SUM(J177:N177)</f>
        <v>5000</v>
      </c>
      <c r="J177" s="1607"/>
      <c r="K177" s="1607"/>
      <c r="L177" s="1607"/>
      <c r="M177" s="1607"/>
      <c r="N177" s="1608">
        <v>5000</v>
      </c>
      <c r="P177" s="1577"/>
    </row>
    <row r="178" spans="1:16" s="1626" customFormat="1" ht="18" customHeight="1" x14ac:dyDescent="0.3">
      <c r="A178" s="1528">
        <v>212</v>
      </c>
      <c r="B178" s="1619"/>
      <c r="C178" s="1568"/>
      <c r="D178" s="1629" t="s">
        <v>745</v>
      </c>
      <c r="E178" s="1570"/>
      <c r="F178" s="1570"/>
      <c r="G178" s="1571"/>
      <c r="H178" s="1622"/>
      <c r="I178" s="1585">
        <f>SUM(J178:Q178)</f>
        <v>2500</v>
      </c>
      <c r="J178" s="1632"/>
      <c r="K178" s="1632"/>
      <c r="L178" s="1632"/>
      <c r="M178" s="1632"/>
      <c r="N178" s="1641">
        <v>2500</v>
      </c>
      <c r="P178" s="1577"/>
    </row>
    <row r="179" spans="1:16" s="1626" customFormat="1" ht="18" customHeight="1" x14ac:dyDescent="0.3">
      <c r="A179" s="1528">
        <v>214</v>
      </c>
      <c r="B179" s="1619"/>
      <c r="C179" s="1568"/>
      <c r="D179" s="1648" t="s">
        <v>600</v>
      </c>
      <c r="E179" s="1570"/>
      <c r="F179" s="1570"/>
      <c r="G179" s="1571"/>
      <c r="H179" s="1622"/>
      <c r="I179" s="1628"/>
      <c r="J179" s="1632"/>
      <c r="K179" s="1632"/>
      <c r="L179" s="1632"/>
      <c r="M179" s="1632"/>
      <c r="N179" s="1633"/>
      <c r="P179" s="1577"/>
    </row>
    <row r="180" spans="1:16" s="1626" customFormat="1" ht="18" customHeight="1" x14ac:dyDescent="0.3">
      <c r="A180" s="1528">
        <v>215</v>
      </c>
      <c r="B180" s="1619"/>
      <c r="C180" s="1568"/>
      <c r="D180" s="1638" t="s">
        <v>239</v>
      </c>
      <c r="E180" s="1570"/>
      <c r="F180" s="1570"/>
      <c r="G180" s="1571"/>
      <c r="H180" s="1622"/>
      <c r="I180" s="1628">
        <f>SUM(J180:N180)</f>
        <v>2500</v>
      </c>
      <c r="J180" s="1632"/>
      <c r="K180" s="1632"/>
      <c r="L180" s="1632"/>
      <c r="M180" s="1632"/>
      <c r="N180" s="1633">
        <v>2500</v>
      </c>
      <c r="P180" s="1577"/>
    </row>
    <row r="181" spans="1:16" s="1626" customFormat="1" ht="18" customHeight="1" x14ac:dyDescent="0.3">
      <c r="A181" s="1528">
        <v>216</v>
      </c>
      <c r="B181" s="1619"/>
      <c r="C181" s="1568"/>
      <c r="D181" s="1629" t="s">
        <v>702</v>
      </c>
      <c r="E181" s="1570"/>
      <c r="F181" s="1570"/>
      <c r="G181" s="1571"/>
      <c r="H181" s="1622"/>
      <c r="I181" s="1630">
        <f>SUM(J181:N181)</f>
        <v>2500</v>
      </c>
      <c r="J181" s="1607"/>
      <c r="K181" s="1607"/>
      <c r="L181" s="1607"/>
      <c r="M181" s="1607"/>
      <c r="N181" s="1608">
        <v>2500</v>
      </c>
      <c r="P181" s="1577"/>
    </row>
    <row r="182" spans="1:16" s="1626" customFormat="1" ht="18" customHeight="1" x14ac:dyDescent="0.3">
      <c r="A182" s="1528">
        <v>217</v>
      </c>
      <c r="B182" s="1619"/>
      <c r="C182" s="1568"/>
      <c r="D182" s="1629" t="s">
        <v>745</v>
      </c>
      <c r="E182" s="1570"/>
      <c r="F182" s="1570"/>
      <c r="G182" s="1571"/>
      <c r="H182" s="1622"/>
      <c r="I182" s="1585">
        <f>SUM(J182:Q182)</f>
        <v>1250</v>
      </c>
      <c r="J182" s="1632"/>
      <c r="K182" s="1632"/>
      <c r="L182" s="1632"/>
      <c r="M182" s="1632"/>
      <c r="N182" s="1641">
        <v>1250</v>
      </c>
      <c r="P182" s="1577"/>
    </row>
    <row r="183" spans="1:16" s="1626" customFormat="1" ht="22.5" customHeight="1" x14ac:dyDescent="0.3">
      <c r="A183" s="1528">
        <v>219</v>
      </c>
      <c r="B183" s="1619"/>
      <c r="C183" s="1589">
        <v>20</v>
      </c>
      <c r="D183" s="1590" t="s">
        <v>322</v>
      </c>
      <c r="E183" s="1570"/>
      <c r="F183" s="1570">
        <v>3800</v>
      </c>
      <c r="G183" s="1571"/>
      <c r="H183" s="1572" t="s">
        <v>24</v>
      </c>
      <c r="I183" s="1573"/>
      <c r="J183" s="1624"/>
      <c r="K183" s="1624"/>
      <c r="L183" s="1624"/>
      <c r="M183" s="1624"/>
      <c r="N183" s="1625"/>
      <c r="P183" s="1577"/>
    </row>
    <row r="184" spans="1:16" s="1626" customFormat="1" ht="18" customHeight="1" x14ac:dyDescent="0.3">
      <c r="A184" s="1528">
        <v>220</v>
      </c>
      <c r="B184" s="1619"/>
      <c r="C184" s="1589"/>
      <c r="D184" s="1569" t="s">
        <v>239</v>
      </c>
      <c r="E184" s="1570"/>
      <c r="F184" s="1570"/>
      <c r="G184" s="1571"/>
      <c r="H184" s="1572"/>
      <c r="I184" s="1573">
        <f>SUM(J184:N184)</f>
        <v>3000</v>
      </c>
      <c r="J184" s="1624"/>
      <c r="K184" s="1624"/>
      <c r="L184" s="1624"/>
      <c r="M184" s="1624"/>
      <c r="N184" s="1592">
        <v>3000</v>
      </c>
      <c r="P184" s="1577"/>
    </row>
    <row r="185" spans="1:16" s="1626" customFormat="1" ht="18" customHeight="1" x14ac:dyDescent="0.3">
      <c r="A185" s="1528">
        <v>221</v>
      </c>
      <c r="B185" s="1619"/>
      <c r="C185" s="1589"/>
      <c r="D185" s="1578" t="s">
        <v>702</v>
      </c>
      <c r="E185" s="1570"/>
      <c r="F185" s="1570"/>
      <c r="G185" s="1571"/>
      <c r="H185" s="1572"/>
      <c r="I185" s="1593">
        <f>SUM(J185:N185)</f>
        <v>3000</v>
      </c>
      <c r="J185" s="1597"/>
      <c r="K185" s="1597"/>
      <c r="L185" s="1597"/>
      <c r="M185" s="1597"/>
      <c r="N185" s="1596">
        <v>3000</v>
      </c>
      <c r="P185" s="1577"/>
    </row>
    <row r="186" spans="1:16" s="1626" customFormat="1" ht="18" customHeight="1" x14ac:dyDescent="0.3">
      <c r="A186" s="1528">
        <v>222</v>
      </c>
      <c r="B186" s="1619"/>
      <c r="C186" s="1589"/>
      <c r="D186" s="1584" t="s">
        <v>745</v>
      </c>
      <c r="E186" s="1570"/>
      <c r="F186" s="1570"/>
      <c r="G186" s="1571"/>
      <c r="H186" s="1572"/>
      <c r="I186" s="1585">
        <f>SUM(J186:Q186)</f>
        <v>0</v>
      </c>
      <c r="J186" s="1624"/>
      <c r="K186" s="1624"/>
      <c r="L186" s="1624"/>
      <c r="M186" s="1624"/>
      <c r="N186" s="1641">
        <v>0</v>
      </c>
      <c r="P186" s="1577"/>
    </row>
    <row r="187" spans="1:16" s="1626" customFormat="1" ht="22.5" customHeight="1" x14ac:dyDescent="0.3">
      <c r="A187" s="1528">
        <v>224</v>
      </c>
      <c r="B187" s="1619"/>
      <c r="C187" s="1589">
        <v>27</v>
      </c>
      <c r="D187" s="1590" t="s">
        <v>423</v>
      </c>
      <c r="E187" s="1570"/>
      <c r="F187" s="1570">
        <v>3000</v>
      </c>
      <c r="G187" s="1571">
        <v>3000</v>
      </c>
      <c r="H187" s="1572" t="s">
        <v>24</v>
      </c>
      <c r="I187" s="1573"/>
      <c r="J187" s="1624"/>
      <c r="K187" s="1624"/>
      <c r="L187" s="1624"/>
      <c r="M187" s="1624"/>
      <c r="N187" s="1625"/>
      <c r="P187" s="1577"/>
    </row>
    <row r="188" spans="1:16" s="1626" customFormat="1" ht="18" customHeight="1" x14ac:dyDescent="0.3">
      <c r="A188" s="1528">
        <v>225</v>
      </c>
      <c r="B188" s="1619"/>
      <c r="C188" s="1589"/>
      <c r="D188" s="1569" t="s">
        <v>239</v>
      </c>
      <c r="E188" s="1570"/>
      <c r="F188" s="1570"/>
      <c r="G188" s="1571"/>
      <c r="H188" s="1572"/>
      <c r="I188" s="1573">
        <f>SUM(J188:N188)</f>
        <v>3000</v>
      </c>
      <c r="J188" s="1624"/>
      <c r="K188" s="1624"/>
      <c r="L188" s="1624"/>
      <c r="M188" s="1624"/>
      <c r="N188" s="1592">
        <v>3000</v>
      </c>
      <c r="P188" s="1577"/>
    </row>
    <row r="189" spans="1:16" s="1626" customFormat="1" ht="18" customHeight="1" x14ac:dyDescent="0.3">
      <c r="A189" s="1528">
        <v>226</v>
      </c>
      <c r="B189" s="1619"/>
      <c r="C189" s="1589"/>
      <c r="D189" s="1578" t="s">
        <v>702</v>
      </c>
      <c r="E189" s="1570"/>
      <c r="F189" s="1570"/>
      <c r="G189" s="1571"/>
      <c r="H189" s="1572"/>
      <c r="I189" s="1593">
        <f>SUM(J189:N189)</f>
        <v>3000</v>
      </c>
      <c r="J189" s="1597"/>
      <c r="K189" s="1597"/>
      <c r="L189" s="1597"/>
      <c r="M189" s="1597"/>
      <c r="N189" s="1596">
        <v>3000</v>
      </c>
      <c r="P189" s="1577"/>
    </row>
    <row r="190" spans="1:16" s="1626" customFormat="1" ht="18" customHeight="1" x14ac:dyDescent="0.3">
      <c r="A190" s="1528">
        <v>227</v>
      </c>
      <c r="B190" s="1619"/>
      <c r="C190" s="1589"/>
      <c r="D190" s="1584" t="s">
        <v>745</v>
      </c>
      <c r="E190" s="1570"/>
      <c r="F190" s="1570"/>
      <c r="G190" s="1571"/>
      <c r="H190" s="1572"/>
      <c r="I190" s="1585">
        <f>SUM(J190:Q190)</f>
        <v>1500</v>
      </c>
      <c r="J190" s="1594"/>
      <c r="K190" s="1594"/>
      <c r="L190" s="1594"/>
      <c r="M190" s="1594"/>
      <c r="N190" s="1641">
        <v>1500</v>
      </c>
      <c r="P190" s="1577"/>
    </row>
    <row r="191" spans="1:16" s="1566" customFormat="1" ht="22.5" customHeight="1" x14ac:dyDescent="0.3">
      <c r="A191" s="1528">
        <v>229</v>
      </c>
      <c r="B191" s="1588"/>
      <c r="C191" s="1589">
        <v>28</v>
      </c>
      <c r="D191" s="1590" t="s">
        <v>219</v>
      </c>
      <c r="E191" s="1570"/>
      <c r="F191" s="1570">
        <v>9600</v>
      </c>
      <c r="G191" s="1571">
        <v>3805</v>
      </c>
      <c r="H191" s="1572" t="s">
        <v>24</v>
      </c>
      <c r="I191" s="1573"/>
      <c r="J191" s="1574"/>
      <c r="K191" s="1574"/>
      <c r="L191" s="1574"/>
      <c r="M191" s="1574"/>
      <c r="N191" s="1576"/>
      <c r="P191" s="1577"/>
    </row>
    <row r="192" spans="1:16" s="1566" customFormat="1" ht="18" customHeight="1" x14ac:dyDescent="0.3">
      <c r="A192" s="1528">
        <v>230</v>
      </c>
      <c r="B192" s="1588"/>
      <c r="C192" s="1589"/>
      <c r="D192" s="1569" t="s">
        <v>239</v>
      </c>
      <c r="E192" s="1570"/>
      <c r="F192" s="1570"/>
      <c r="G192" s="1571"/>
      <c r="H192" s="1572"/>
      <c r="I192" s="1573">
        <f>SUM(J192:N192)</f>
        <v>5000</v>
      </c>
      <c r="J192" s="1574"/>
      <c r="K192" s="1574"/>
      <c r="L192" s="1575">
        <v>5000</v>
      </c>
      <c r="M192" s="1574"/>
      <c r="N192" s="1576"/>
      <c r="P192" s="1577"/>
    </row>
    <row r="193" spans="1:16" s="1566" customFormat="1" ht="18" customHeight="1" x14ac:dyDescent="0.3">
      <c r="A193" s="1528">
        <v>231</v>
      </c>
      <c r="B193" s="1588"/>
      <c r="C193" s="1589"/>
      <c r="D193" s="1578" t="s">
        <v>702</v>
      </c>
      <c r="E193" s="1570"/>
      <c r="F193" s="1570"/>
      <c r="G193" s="1571"/>
      <c r="H193" s="1572"/>
      <c r="I193" s="1593">
        <f>SUM(J193:N193)</f>
        <v>9600</v>
      </c>
      <c r="J193" s="1594"/>
      <c r="K193" s="1594"/>
      <c r="L193" s="1595">
        <v>9600</v>
      </c>
      <c r="M193" s="1574"/>
      <c r="N193" s="1576"/>
      <c r="P193" s="1577"/>
    </row>
    <row r="194" spans="1:16" s="1566" customFormat="1" ht="18" customHeight="1" x14ac:dyDescent="0.3">
      <c r="A194" s="1528">
        <v>232</v>
      </c>
      <c r="B194" s="1588"/>
      <c r="C194" s="1589"/>
      <c r="D194" s="1584" t="s">
        <v>745</v>
      </c>
      <c r="E194" s="1570"/>
      <c r="F194" s="1570"/>
      <c r="G194" s="1571"/>
      <c r="H194" s="1572"/>
      <c r="I194" s="1585">
        <f>SUM(J194:Q194)</f>
        <v>4800</v>
      </c>
      <c r="J194" s="1597"/>
      <c r="K194" s="1597"/>
      <c r="L194" s="1597">
        <v>4800</v>
      </c>
      <c r="M194" s="1597"/>
      <c r="N194" s="1598"/>
      <c r="P194" s="1577"/>
    </row>
    <row r="195" spans="1:16" s="1577" customFormat="1" ht="22.5" customHeight="1" x14ac:dyDescent="0.3">
      <c r="A195" s="1528">
        <v>234</v>
      </c>
      <c r="B195" s="1567"/>
      <c r="C195" s="1589">
        <v>29</v>
      </c>
      <c r="D195" s="1559" t="s">
        <v>448</v>
      </c>
      <c r="E195" s="1570"/>
      <c r="F195" s="1570"/>
      <c r="G195" s="1571"/>
      <c r="H195" s="1572" t="s">
        <v>24</v>
      </c>
      <c r="I195" s="1573"/>
      <c r="J195" s="1574"/>
      <c r="K195" s="1574"/>
      <c r="L195" s="1574"/>
      <c r="M195" s="1574"/>
      <c r="N195" s="1576"/>
    </row>
    <row r="196" spans="1:16" s="1577" customFormat="1" ht="18" customHeight="1" x14ac:dyDescent="0.3">
      <c r="A196" s="1528">
        <v>235</v>
      </c>
      <c r="B196" s="1649"/>
      <c r="C196" s="1589"/>
      <c r="D196" s="1569" t="s">
        <v>239</v>
      </c>
      <c r="E196" s="1560"/>
      <c r="F196" s="1560"/>
      <c r="G196" s="1561"/>
      <c r="H196" s="1572"/>
      <c r="I196" s="1573">
        <f>SUM(J196:N196)</f>
        <v>55000</v>
      </c>
      <c r="J196" s="1582"/>
      <c r="K196" s="1582"/>
      <c r="L196" s="1582"/>
      <c r="M196" s="1582"/>
      <c r="N196" s="1650">
        <v>55000</v>
      </c>
    </row>
    <row r="197" spans="1:16" s="1577" customFormat="1" ht="18" customHeight="1" x14ac:dyDescent="0.3">
      <c r="A197" s="1528">
        <v>236</v>
      </c>
      <c r="B197" s="1649"/>
      <c r="C197" s="1589"/>
      <c r="D197" s="1578" t="s">
        <v>702</v>
      </c>
      <c r="E197" s="1560"/>
      <c r="F197" s="1560"/>
      <c r="G197" s="1561"/>
      <c r="H197" s="1572"/>
      <c r="I197" s="1593">
        <f>SUM(J197:N197)</f>
        <v>0</v>
      </c>
      <c r="J197" s="1564"/>
      <c r="K197" s="1564"/>
      <c r="L197" s="1564"/>
      <c r="M197" s="1564"/>
      <c r="N197" s="1651">
        <v>0</v>
      </c>
    </row>
    <row r="198" spans="1:16" s="1577" customFormat="1" ht="18" customHeight="1" x14ac:dyDescent="0.3">
      <c r="A198" s="1528">
        <v>237</v>
      </c>
      <c r="B198" s="1649"/>
      <c r="C198" s="1589"/>
      <c r="D198" s="1584" t="s">
        <v>745</v>
      </c>
      <c r="E198" s="1560"/>
      <c r="F198" s="1560"/>
      <c r="G198" s="1561"/>
      <c r="H198" s="1572"/>
      <c r="I198" s="1585">
        <f>SUM(J198:Q198)</f>
        <v>0</v>
      </c>
      <c r="J198" s="1586"/>
      <c r="K198" s="1586"/>
      <c r="L198" s="1586"/>
      <c r="M198" s="1586"/>
      <c r="N198" s="1652">
        <v>0</v>
      </c>
    </row>
    <row r="199" spans="1:16" s="1577" customFormat="1" ht="23.45" customHeight="1" x14ac:dyDescent="0.3">
      <c r="A199" s="1528">
        <v>239</v>
      </c>
      <c r="B199" s="1649"/>
      <c r="C199" s="1589">
        <v>30</v>
      </c>
      <c r="D199" s="1590" t="s">
        <v>424</v>
      </c>
      <c r="E199" s="1560"/>
      <c r="F199" s="1560">
        <v>50000</v>
      </c>
      <c r="G199" s="1561"/>
      <c r="H199" s="1572" t="s">
        <v>24</v>
      </c>
      <c r="I199" s="1573"/>
      <c r="J199" s="1582"/>
      <c r="K199" s="1582"/>
      <c r="L199" s="1582"/>
      <c r="M199" s="1582"/>
      <c r="N199" s="1583"/>
    </row>
    <row r="200" spans="1:16" s="1655" customFormat="1" ht="22.5" customHeight="1" x14ac:dyDescent="0.3">
      <c r="A200" s="1528">
        <v>240</v>
      </c>
      <c r="B200" s="1653"/>
      <c r="C200" s="1589">
        <v>31</v>
      </c>
      <c r="D200" s="1590" t="s">
        <v>217</v>
      </c>
      <c r="E200" s="1560">
        <v>55000</v>
      </c>
      <c r="F200" s="1560">
        <v>45000</v>
      </c>
      <c r="G200" s="1561">
        <v>85000</v>
      </c>
      <c r="H200" s="1572" t="s">
        <v>24</v>
      </c>
      <c r="I200" s="1573"/>
      <c r="J200" s="1582"/>
      <c r="K200" s="1582"/>
      <c r="L200" s="1582"/>
      <c r="M200" s="1582"/>
      <c r="N200" s="1583"/>
      <c r="O200" s="1654"/>
      <c r="P200" s="1577"/>
    </row>
    <row r="201" spans="1:16" s="1655" customFormat="1" ht="18" customHeight="1" x14ac:dyDescent="0.3">
      <c r="A201" s="1528">
        <v>241</v>
      </c>
      <c r="B201" s="1653"/>
      <c r="C201" s="1568"/>
      <c r="D201" s="1569" t="s">
        <v>239</v>
      </c>
      <c r="E201" s="1560"/>
      <c r="F201" s="1560"/>
      <c r="G201" s="1561"/>
      <c r="H201" s="1572"/>
      <c r="I201" s="1573">
        <f>SUM(J201:N201)</f>
        <v>45000</v>
      </c>
      <c r="J201" s="1582"/>
      <c r="K201" s="1582"/>
      <c r="L201" s="1582"/>
      <c r="M201" s="1582"/>
      <c r="N201" s="1650">
        <v>45000</v>
      </c>
      <c r="O201" s="1654"/>
      <c r="P201" s="1577"/>
    </row>
    <row r="202" spans="1:16" s="1655" customFormat="1" ht="18" customHeight="1" x14ac:dyDescent="0.3">
      <c r="A202" s="1528">
        <v>242</v>
      </c>
      <c r="B202" s="1653"/>
      <c r="C202" s="1568"/>
      <c r="D202" s="1578" t="s">
        <v>702</v>
      </c>
      <c r="E202" s="1560"/>
      <c r="F202" s="1560"/>
      <c r="G202" s="1561"/>
      <c r="H202" s="1572"/>
      <c r="I202" s="1593">
        <f>SUM(J202:N202)</f>
        <v>45000</v>
      </c>
      <c r="J202" s="1564"/>
      <c r="K202" s="1564"/>
      <c r="L202" s="1564"/>
      <c r="M202" s="1564"/>
      <c r="N202" s="1651">
        <v>45000</v>
      </c>
      <c r="O202" s="1654"/>
      <c r="P202" s="1577"/>
    </row>
    <row r="203" spans="1:16" s="1655" customFormat="1" ht="18" customHeight="1" x14ac:dyDescent="0.3">
      <c r="A203" s="1528">
        <v>243</v>
      </c>
      <c r="B203" s="1653"/>
      <c r="C203" s="1568"/>
      <c r="D203" s="1584" t="s">
        <v>745</v>
      </c>
      <c r="E203" s="1560"/>
      <c r="F203" s="1560"/>
      <c r="G203" s="1561"/>
      <c r="H203" s="1572"/>
      <c r="I203" s="1585">
        <f>SUM(J203:Q203)</f>
        <v>22500</v>
      </c>
      <c r="J203" s="1586"/>
      <c r="K203" s="1586"/>
      <c r="L203" s="1586"/>
      <c r="M203" s="1586"/>
      <c r="N203" s="1641">
        <v>22500</v>
      </c>
      <c r="O203" s="1654"/>
      <c r="P203" s="1577"/>
    </row>
    <row r="204" spans="1:16" s="1566" customFormat="1" ht="22.5" customHeight="1" x14ac:dyDescent="0.3">
      <c r="A204" s="1528">
        <v>245</v>
      </c>
      <c r="B204" s="1588"/>
      <c r="C204" s="1589">
        <v>32</v>
      </c>
      <c r="D204" s="1590" t="s">
        <v>220</v>
      </c>
      <c r="E204" s="1570"/>
      <c r="F204" s="1570"/>
      <c r="G204" s="1571"/>
      <c r="H204" s="1572" t="s">
        <v>24</v>
      </c>
      <c r="I204" s="1573"/>
      <c r="J204" s="1574"/>
      <c r="K204" s="1574"/>
      <c r="L204" s="1574"/>
      <c r="M204" s="1574"/>
      <c r="N204" s="1576"/>
      <c r="P204" s="1577"/>
    </row>
    <row r="205" spans="1:16" s="1566" customFormat="1" ht="18" customHeight="1" x14ac:dyDescent="0.3">
      <c r="A205" s="1528">
        <v>246</v>
      </c>
      <c r="B205" s="1588"/>
      <c r="C205" s="1589"/>
      <c r="D205" s="1569" t="s">
        <v>239</v>
      </c>
      <c r="E205" s="1570"/>
      <c r="F205" s="1570"/>
      <c r="G205" s="1571">
        <v>5000</v>
      </c>
      <c r="H205" s="1572"/>
      <c r="I205" s="1573">
        <f>SUM(J205:N205)</f>
        <v>5000</v>
      </c>
      <c r="J205" s="1574"/>
      <c r="K205" s="1574"/>
      <c r="L205" s="1574"/>
      <c r="M205" s="1574"/>
      <c r="N205" s="1592">
        <v>5000</v>
      </c>
      <c r="P205" s="1577"/>
    </row>
    <row r="206" spans="1:16" s="1566" customFormat="1" ht="18" customHeight="1" x14ac:dyDescent="0.3">
      <c r="A206" s="1528">
        <v>247</v>
      </c>
      <c r="B206" s="1588"/>
      <c r="C206" s="1589"/>
      <c r="D206" s="1578" t="s">
        <v>702</v>
      </c>
      <c r="E206" s="1570"/>
      <c r="F206" s="1570"/>
      <c r="G206" s="1571"/>
      <c r="H206" s="1572"/>
      <c r="I206" s="1593">
        <f>SUM(J206:N206)</f>
        <v>5000</v>
      </c>
      <c r="J206" s="1594"/>
      <c r="K206" s="1594"/>
      <c r="L206" s="1594"/>
      <c r="M206" s="1594"/>
      <c r="N206" s="1596">
        <v>5000</v>
      </c>
      <c r="P206" s="1577"/>
    </row>
    <row r="207" spans="1:16" s="1566" customFormat="1" ht="18" customHeight="1" x14ac:dyDescent="0.3">
      <c r="A207" s="1528">
        <v>248</v>
      </c>
      <c r="B207" s="1588"/>
      <c r="C207" s="1589"/>
      <c r="D207" s="1584" t="s">
        <v>745</v>
      </c>
      <c r="E207" s="1570"/>
      <c r="F207" s="1570"/>
      <c r="G207" s="1571"/>
      <c r="H207" s="1572"/>
      <c r="I207" s="1585">
        <f>SUM(J207:Q207)</f>
        <v>0</v>
      </c>
      <c r="J207" s="1597"/>
      <c r="K207" s="1597"/>
      <c r="L207" s="1597"/>
      <c r="M207" s="1597"/>
      <c r="N207" s="1641">
        <v>0</v>
      </c>
      <c r="P207" s="1577"/>
    </row>
    <row r="208" spans="1:16" s="1618" customFormat="1" ht="22.5" customHeight="1" x14ac:dyDescent="0.3">
      <c r="A208" s="1528">
        <v>250</v>
      </c>
      <c r="B208" s="1613"/>
      <c r="C208" s="1589">
        <v>34</v>
      </c>
      <c r="D208" s="1590" t="s">
        <v>335</v>
      </c>
      <c r="E208" s="1570">
        <v>700</v>
      </c>
      <c r="F208" s="1570"/>
      <c r="G208" s="1570"/>
      <c r="H208" s="1572" t="s">
        <v>24</v>
      </c>
      <c r="I208" s="1573"/>
      <c r="J208" s="1575"/>
      <c r="K208" s="1575"/>
      <c r="L208" s="1575"/>
      <c r="M208" s="1575"/>
      <c r="N208" s="1592"/>
    </row>
    <row r="209" spans="1:16" s="1566" customFormat="1" ht="22.5" customHeight="1" x14ac:dyDescent="0.3">
      <c r="A209" s="1528">
        <v>251</v>
      </c>
      <c r="B209" s="1588"/>
      <c r="C209" s="1589">
        <v>35</v>
      </c>
      <c r="D209" s="1590" t="s">
        <v>354</v>
      </c>
      <c r="E209" s="1570">
        <v>349950</v>
      </c>
      <c r="F209" s="1570">
        <v>395787</v>
      </c>
      <c r="G209" s="1571">
        <v>447400</v>
      </c>
      <c r="H209" s="1572" t="s">
        <v>23</v>
      </c>
      <c r="I209" s="1573"/>
      <c r="J209" s="1574"/>
      <c r="K209" s="1574"/>
      <c r="L209" s="1574"/>
      <c r="M209" s="1574"/>
      <c r="N209" s="1576"/>
      <c r="P209" s="1577"/>
    </row>
    <row r="210" spans="1:16" s="1618" customFormat="1" ht="18" customHeight="1" x14ac:dyDescent="0.3">
      <c r="A210" s="1528">
        <v>252</v>
      </c>
      <c r="B210" s="1613"/>
      <c r="C210" s="1614"/>
      <c r="D210" s="1569" t="s">
        <v>239</v>
      </c>
      <c r="E210" s="1615"/>
      <c r="F210" s="1615"/>
      <c r="G210" s="1616"/>
      <c r="H210" s="1617"/>
      <c r="I210" s="1573">
        <f>SUM(J210:N210)</f>
        <v>341637</v>
      </c>
      <c r="J210" s="1575"/>
      <c r="K210" s="1575"/>
      <c r="L210" s="1575"/>
      <c r="M210" s="1575"/>
      <c r="N210" s="1592">
        <f>350250+387-9000</f>
        <v>341637</v>
      </c>
    </row>
    <row r="211" spans="1:16" s="1618" customFormat="1" ht="18" customHeight="1" x14ac:dyDescent="0.3">
      <c r="A211" s="1528">
        <v>253</v>
      </c>
      <c r="B211" s="1613"/>
      <c r="C211" s="1614"/>
      <c r="D211" s="1578" t="s">
        <v>702</v>
      </c>
      <c r="E211" s="1615"/>
      <c r="F211" s="1615"/>
      <c r="G211" s="1616"/>
      <c r="H211" s="1617"/>
      <c r="I211" s="1593">
        <f>SUM(J211:N211)</f>
        <v>351637</v>
      </c>
      <c r="J211" s="1595"/>
      <c r="K211" s="1595"/>
      <c r="L211" s="1595"/>
      <c r="M211" s="1595"/>
      <c r="N211" s="1596">
        <v>351637</v>
      </c>
    </row>
    <row r="212" spans="1:16" s="1618" customFormat="1" ht="18" customHeight="1" x14ac:dyDescent="0.3">
      <c r="A212" s="1528">
        <v>254</v>
      </c>
      <c r="B212" s="1613"/>
      <c r="C212" s="1614"/>
      <c r="D212" s="1584" t="s">
        <v>745</v>
      </c>
      <c r="E212" s="1615"/>
      <c r="F212" s="1615"/>
      <c r="G212" s="1616"/>
      <c r="H212" s="1617"/>
      <c r="I212" s="1585">
        <f>SUM(J212:Q212)</f>
        <v>199750</v>
      </c>
      <c r="J212" s="1597"/>
      <c r="K212" s="1597"/>
      <c r="L212" s="1597"/>
      <c r="M212" s="1597"/>
      <c r="N212" s="1598">
        <v>199750</v>
      </c>
    </row>
    <row r="213" spans="1:16" s="1566" customFormat="1" ht="22.5" customHeight="1" x14ac:dyDescent="0.3">
      <c r="A213" s="1528">
        <v>256</v>
      </c>
      <c r="B213" s="1588"/>
      <c r="C213" s="1589">
        <v>36</v>
      </c>
      <c r="D213" s="1590" t="s">
        <v>55</v>
      </c>
      <c r="E213" s="1570">
        <v>1250</v>
      </c>
      <c r="F213" s="1570">
        <v>2500</v>
      </c>
      <c r="G213" s="1571">
        <v>1250</v>
      </c>
      <c r="H213" s="1572" t="s">
        <v>23</v>
      </c>
      <c r="I213" s="1573"/>
      <c r="J213" s="1574"/>
      <c r="K213" s="1574"/>
      <c r="L213" s="1574"/>
      <c r="M213" s="1574"/>
      <c r="N213" s="1576"/>
      <c r="P213" s="1577"/>
    </row>
    <row r="214" spans="1:16" s="1618" customFormat="1" ht="18" customHeight="1" x14ac:dyDescent="0.3">
      <c r="A214" s="1528">
        <v>257</v>
      </c>
      <c r="B214" s="1613"/>
      <c r="C214" s="1614"/>
      <c r="D214" s="1569" t="s">
        <v>239</v>
      </c>
      <c r="E214" s="1615"/>
      <c r="F214" s="1615"/>
      <c r="G214" s="1616"/>
      <c r="H214" s="1617"/>
      <c r="I214" s="1573">
        <f>SUM(J214:N214)</f>
        <v>1250</v>
      </c>
      <c r="J214" s="1575"/>
      <c r="K214" s="1575"/>
      <c r="L214" s="1575">
        <v>1250</v>
      </c>
      <c r="M214" s="1575"/>
      <c r="N214" s="1592"/>
    </row>
    <row r="215" spans="1:16" s="1618" customFormat="1" ht="18" customHeight="1" x14ac:dyDescent="0.3">
      <c r="A215" s="1528">
        <v>258</v>
      </c>
      <c r="B215" s="1613"/>
      <c r="C215" s="1614"/>
      <c r="D215" s="1578" t="s">
        <v>702</v>
      </c>
      <c r="E215" s="1615"/>
      <c r="F215" s="1615"/>
      <c r="G215" s="1616"/>
      <c r="H215" s="1617"/>
      <c r="I215" s="1593">
        <f>SUM(J215:N215)</f>
        <v>1250</v>
      </c>
      <c r="J215" s="1595"/>
      <c r="K215" s="1595"/>
      <c r="L215" s="1595">
        <v>1250</v>
      </c>
      <c r="M215" s="1575"/>
      <c r="N215" s="1592"/>
    </row>
    <row r="216" spans="1:16" s="1618" customFormat="1" ht="18" customHeight="1" x14ac:dyDescent="0.3">
      <c r="A216" s="1528">
        <v>259</v>
      </c>
      <c r="B216" s="1613"/>
      <c r="C216" s="1614"/>
      <c r="D216" s="1584" t="s">
        <v>745</v>
      </c>
      <c r="E216" s="1615"/>
      <c r="F216" s="1615"/>
      <c r="G216" s="1616"/>
      <c r="H216" s="1617"/>
      <c r="I216" s="1585">
        <f>SUM(J216:Q216)</f>
        <v>1250</v>
      </c>
      <c r="J216" s="1597"/>
      <c r="K216" s="1597"/>
      <c r="L216" s="1597">
        <v>1250</v>
      </c>
      <c r="M216" s="1597"/>
      <c r="N216" s="1598"/>
    </row>
    <row r="217" spans="1:16" s="1577" customFormat="1" ht="22.5" customHeight="1" x14ac:dyDescent="0.3">
      <c r="A217" s="1528">
        <v>261</v>
      </c>
      <c r="B217" s="1567"/>
      <c r="C217" s="1589">
        <v>38</v>
      </c>
      <c r="D217" s="1559" t="s">
        <v>254</v>
      </c>
      <c r="E217" s="1570">
        <v>88532</v>
      </c>
      <c r="F217" s="1570">
        <v>139464</v>
      </c>
      <c r="G217" s="1571">
        <v>86983</v>
      </c>
      <c r="H217" s="1572" t="s">
        <v>23</v>
      </c>
      <c r="I217" s="1573"/>
      <c r="J217" s="1574"/>
      <c r="K217" s="1574"/>
      <c r="L217" s="1574"/>
      <c r="M217" s="1574"/>
      <c r="N217" s="1576"/>
    </row>
    <row r="218" spans="1:16" s="1618" customFormat="1" ht="18" customHeight="1" x14ac:dyDescent="0.3">
      <c r="A218" s="1528">
        <v>262</v>
      </c>
      <c r="B218" s="1613"/>
      <c r="C218" s="1614"/>
      <c r="D218" s="1569" t="s">
        <v>239</v>
      </c>
      <c r="E218" s="1615"/>
      <c r="F218" s="1615"/>
      <c r="G218" s="1616"/>
      <c r="H218" s="1617"/>
      <c r="I218" s="1573">
        <f>SUM(J218:N218)</f>
        <v>150000</v>
      </c>
      <c r="J218" s="1575"/>
      <c r="K218" s="1575"/>
      <c r="L218" s="1575">
        <f>150000</f>
        <v>150000</v>
      </c>
      <c r="M218" s="1575"/>
      <c r="N218" s="1592"/>
    </row>
    <row r="219" spans="1:16" s="1618" customFormat="1" ht="18" customHeight="1" x14ac:dyDescent="0.3">
      <c r="A219" s="1528">
        <v>263</v>
      </c>
      <c r="B219" s="1613"/>
      <c r="C219" s="1614"/>
      <c r="D219" s="1578" t="s">
        <v>702</v>
      </c>
      <c r="E219" s="1615"/>
      <c r="F219" s="1615"/>
      <c r="G219" s="1616"/>
      <c r="H219" s="1617"/>
      <c r="I219" s="1593">
        <f>SUM(J219:N219)</f>
        <v>150000</v>
      </c>
      <c r="J219" s="1595"/>
      <c r="K219" s="1595"/>
      <c r="L219" s="1595">
        <f>150000</f>
        <v>150000</v>
      </c>
      <c r="M219" s="1575"/>
      <c r="N219" s="1592"/>
    </row>
    <row r="220" spans="1:16" s="1618" customFormat="1" ht="18" customHeight="1" x14ac:dyDescent="0.3">
      <c r="A220" s="1528">
        <v>264</v>
      </c>
      <c r="B220" s="1613"/>
      <c r="C220" s="1614"/>
      <c r="D220" s="1584" t="s">
        <v>745</v>
      </c>
      <c r="E220" s="1615"/>
      <c r="F220" s="1615"/>
      <c r="G220" s="1616"/>
      <c r="H220" s="1617"/>
      <c r="I220" s="1585">
        <f>SUM(J220:Q220)</f>
        <v>33825</v>
      </c>
      <c r="J220" s="1597"/>
      <c r="K220" s="1597"/>
      <c r="L220" s="1597">
        <v>33825</v>
      </c>
      <c r="M220" s="1597"/>
      <c r="N220" s="1598"/>
    </row>
    <row r="221" spans="1:16" s="1566" customFormat="1" ht="22.5" customHeight="1" x14ac:dyDescent="0.3">
      <c r="A221" s="1528">
        <v>266</v>
      </c>
      <c r="B221" s="1588"/>
      <c r="C221" s="1589">
        <v>39</v>
      </c>
      <c r="D221" s="1590" t="s">
        <v>355</v>
      </c>
      <c r="E221" s="1570">
        <v>1124</v>
      </c>
      <c r="F221" s="1570">
        <v>12459</v>
      </c>
      <c r="G221" s="1571">
        <v>4637</v>
      </c>
      <c r="H221" s="1572" t="s">
        <v>23</v>
      </c>
      <c r="I221" s="1631"/>
      <c r="J221" s="1632"/>
      <c r="K221" s="1632"/>
      <c r="L221" s="1632"/>
      <c r="M221" s="1632"/>
      <c r="N221" s="1633"/>
      <c r="O221" s="1577"/>
      <c r="P221" s="1577"/>
    </row>
    <row r="222" spans="1:16" s="1618" customFormat="1" ht="18" customHeight="1" x14ac:dyDescent="0.3">
      <c r="A222" s="1528">
        <v>267</v>
      </c>
      <c r="B222" s="1613"/>
      <c r="C222" s="1614"/>
      <c r="D222" s="1569" t="s">
        <v>239</v>
      </c>
      <c r="E222" s="1615"/>
      <c r="F222" s="1615"/>
      <c r="G222" s="1616"/>
      <c r="H222" s="1617"/>
      <c r="I222" s="1573">
        <f>SUM(J222:N222)</f>
        <v>7002</v>
      </c>
      <c r="J222" s="1575"/>
      <c r="K222" s="1575"/>
      <c r="L222" s="1575">
        <f>4500+2502</f>
        <v>7002</v>
      </c>
      <c r="M222" s="1575"/>
      <c r="N222" s="1592"/>
    </row>
    <row r="223" spans="1:16" s="1618" customFormat="1" ht="18" customHeight="1" x14ac:dyDescent="0.3">
      <c r="A223" s="1528">
        <v>268</v>
      </c>
      <c r="B223" s="1613"/>
      <c r="C223" s="1614"/>
      <c r="D223" s="1578" t="s">
        <v>702</v>
      </c>
      <c r="E223" s="1615"/>
      <c r="F223" s="1615"/>
      <c r="G223" s="1616"/>
      <c r="H223" s="1617"/>
      <c r="I223" s="1593">
        <f>SUM(J223:N223)</f>
        <v>7002</v>
      </c>
      <c r="J223" s="1595"/>
      <c r="K223" s="1595"/>
      <c r="L223" s="1595">
        <v>7002</v>
      </c>
      <c r="M223" s="1575"/>
      <c r="N223" s="1592"/>
    </row>
    <row r="224" spans="1:16" s="1618" customFormat="1" ht="18" customHeight="1" x14ac:dyDescent="0.3">
      <c r="A224" s="1528">
        <v>269</v>
      </c>
      <c r="B224" s="1613"/>
      <c r="C224" s="1614"/>
      <c r="D224" s="1584" t="s">
        <v>745</v>
      </c>
      <c r="E224" s="1615"/>
      <c r="F224" s="1615"/>
      <c r="G224" s="1616"/>
      <c r="H224" s="1617"/>
      <c r="I224" s="1585">
        <f>SUM(J224:Q224)</f>
        <v>1560</v>
      </c>
      <c r="J224" s="1597"/>
      <c r="K224" s="1597"/>
      <c r="L224" s="1597">
        <v>1560</v>
      </c>
      <c r="M224" s="1597"/>
      <c r="N224" s="1598"/>
    </row>
    <row r="225" spans="1:16" s="1657" customFormat="1" ht="22.5" customHeight="1" x14ac:dyDescent="0.35">
      <c r="A225" s="1528">
        <v>271</v>
      </c>
      <c r="B225" s="1656"/>
      <c r="C225" s="1589">
        <v>42</v>
      </c>
      <c r="D225" s="1590" t="s">
        <v>11</v>
      </c>
      <c r="E225" s="1570">
        <v>26700</v>
      </c>
      <c r="F225" s="1570">
        <v>61350</v>
      </c>
      <c r="G225" s="1571">
        <v>23961</v>
      </c>
      <c r="H225" s="1572" t="s">
        <v>24</v>
      </c>
      <c r="I225" s="1631"/>
      <c r="J225" s="1632"/>
      <c r="K225" s="1632"/>
      <c r="L225" s="1632"/>
      <c r="M225" s="1632"/>
      <c r="N225" s="1633"/>
      <c r="O225" s="1538"/>
      <c r="P225" s="1538"/>
    </row>
    <row r="226" spans="1:16" s="1618" customFormat="1" ht="18" customHeight="1" x14ac:dyDescent="0.3">
      <c r="A226" s="1528">
        <v>272</v>
      </c>
      <c r="B226" s="1613"/>
      <c r="C226" s="1614"/>
      <c r="D226" s="1569" t="s">
        <v>239</v>
      </c>
      <c r="E226" s="1615"/>
      <c r="F226" s="1615"/>
      <c r="G226" s="1616"/>
      <c r="H226" s="1617"/>
      <c r="I226" s="1573">
        <f>SUM(J226:N226)</f>
        <v>72437</v>
      </c>
      <c r="J226" s="1575"/>
      <c r="K226" s="1575"/>
      <c r="L226" s="1575">
        <f>50000+22437</f>
        <v>72437</v>
      </c>
      <c r="M226" s="1575"/>
      <c r="N226" s="1592"/>
    </row>
    <row r="227" spans="1:16" s="1618" customFormat="1" ht="18" customHeight="1" x14ac:dyDescent="0.3">
      <c r="A227" s="1528">
        <v>273</v>
      </c>
      <c r="B227" s="1613"/>
      <c r="C227" s="1614"/>
      <c r="D227" s="1578" t="s">
        <v>702</v>
      </c>
      <c r="E227" s="1615"/>
      <c r="F227" s="1615"/>
      <c r="G227" s="1616"/>
      <c r="H227" s="1617"/>
      <c r="I227" s="1593">
        <f>SUM(J227:N227)</f>
        <v>72437</v>
      </c>
      <c r="J227" s="1595"/>
      <c r="K227" s="1595"/>
      <c r="L227" s="1595">
        <v>72437</v>
      </c>
      <c r="M227" s="1575"/>
      <c r="N227" s="1592"/>
    </row>
    <row r="228" spans="1:16" s="1618" customFormat="1" ht="18" customHeight="1" x14ac:dyDescent="0.3">
      <c r="A228" s="1528">
        <v>274</v>
      </c>
      <c r="B228" s="1613"/>
      <c r="C228" s="1614"/>
      <c r="D228" s="1584" t="s">
        <v>745</v>
      </c>
      <c r="E228" s="1615"/>
      <c r="F228" s="1615"/>
      <c r="G228" s="1616"/>
      <c r="H228" s="1617"/>
      <c r="I228" s="1585">
        <f>SUM(J228:Q228)</f>
        <v>22429</v>
      </c>
      <c r="J228" s="1597"/>
      <c r="K228" s="1597"/>
      <c r="L228" s="1597">
        <v>22429</v>
      </c>
      <c r="M228" s="1597"/>
      <c r="N228" s="1598"/>
    </row>
    <row r="229" spans="1:16" s="1657" customFormat="1" ht="22.5" customHeight="1" x14ac:dyDescent="0.35">
      <c r="A229" s="1528">
        <v>276</v>
      </c>
      <c r="B229" s="1656"/>
      <c r="C229" s="1589">
        <v>43</v>
      </c>
      <c r="D229" s="1590" t="s">
        <v>56</v>
      </c>
      <c r="E229" s="1570">
        <v>6952</v>
      </c>
      <c r="F229" s="1570">
        <v>7023</v>
      </c>
      <c r="G229" s="1571">
        <v>5212</v>
      </c>
      <c r="H229" s="1572" t="s">
        <v>24</v>
      </c>
      <c r="I229" s="1631"/>
      <c r="J229" s="1632"/>
      <c r="K229" s="1632"/>
      <c r="L229" s="1632"/>
      <c r="M229" s="1632"/>
      <c r="N229" s="1633"/>
      <c r="O229" s="1538"/>
      <c r="P229" s="1538"/>
    </row>
    <row r="230" spans="1:16" s="1618" customFormat="1" ht="18" customHeight="1" x14ac:dyDescent="0.3">
      <c r="A230" s="1528">
        <v>277</v>
      </c>
      <c r="B230" s="1613"/>
      <c r="C230" s="1614"/>
      <c r="D230" s="1569" t="s">
        <v>239</v>
      </c>
      <c r="E230" s="1615"/>
      <c r="F230" s="1615"/>
      <c r="G230" s="1616"/>
      <c r="H230" s="1617"/>
      <c r="I230" s="1573">
        <f>SUM(J230:N230)</f>
        <v>7311</v>
      </c>
      <c r="J230" s="1575">
        <v>79</v>
      </c>
      <c r="K230" s="1575">
        <v>33</v>
      </c>
      <c r="L230" s="1575">
        <f>5000+1699</f>
        <v>6699</v>
      </c>
      <c r="M230" s="1575"/>
      <c r="N230" s="1592">
        <v>500</v>
      </c>
    </row>
    <row r="231" spans="1:16" s="1618" customFormat="1" ht="18" customHeight="1" x14ac:dyDescent="0.3">
      <c r="A231" s="1528">
        <v>278</v>
      </c>
      <c r="B231" s="1613"/>
      <c r="C231" s="1614"/>
      <c r="D231" s="1578" t="s">
        <v>702</v>
      </c>
      <c r="E231" s="1615"/>
      <c r="F231" s="1615"/>
      <c r="G231" s="1616"/>
      <c r="H231" s="1617"/>
      <c r="I231" s="1593">
        <f>SUM(J231:N231)</f>
        <v>15811</v>
      </c>
      <c r="J231" s="1595">
        <v>79</v>
      </c>
      <c r="K231" s="1595">
        <v>33</v>
      </c>
      <c r="L231" s="1595">
        <v>6699</v>
      </c>
      <c r="M231" s="1595"/>
      <c r="N231" s="1596">
        <v>9000</v>
      </c>
    </row>
    <row r="232" spans="1:16" s="1618" customFormat="1" ht="18" customHeight="1" x14ac:dyDescent="0.3">
      <c r="A232" s="1528">
        <v>279</v>
      </c>
      <c r="B232" s="1613"/>
      <c r="C232" s="1614"/>
      <c r="D232" s="1584" t="s">
        <v>745</v>
      </c>
      <c r="E232" s="1615"/>
      <c r="F232" s="1615"/>
      <c r="G232" s="1616"/>
      <c r="H232" s="1617"/>
      <c r="I232" s="1585">
        <f>SUM(J232:Q232)</f>
        <v>5435</v>
      </c>
      <c r="J232" s="1597">
        <v>79</v>
      </c>
      <c r="K232" s="1597">
        <v>33</v>
      </c>
      <c r="L232" s="1597">
        <v>1263</v>
      </c>
      <c r="M232" s="1597"/>
      <c r="N232" s="1598">
        <v>4060</v>
      </c>
    </row>
    <row r="233" spans="1:16" s="1657" customFormat="1" ht="22.5" customHeight="1" x14ac:dyDescent="0.35">
      <c r="A233" s="1528">
        <v>281</v>
      </c>
      <c r="B233" s="1656"/>
      <c r="C233" s="1589">
        <v>44</v>
      </c>
      <c r="D233" s="1590" t="s">
        <v>57</v>
      </c>
      <c r="E233" s="1570">
        <f>SUM(E237,E241,E249,E253)+E245</f>
        <v>4600</v>
      </c>
      <c r="F233" s="1570">
        <f>SUM(F237,F241,F249,F253)+F245</f>
        <v>24100</v>
      </c>
      <c r="G233" s="1571">
        <f>SUM(G237,G241,G249,G253)+G245</f>
        <v>16200</v>
      </c>
      <c r="H233" s="1572" t="s">
        <v>24</v>
      </c>
      <c r="I233" s="1631"/>
      <c r="J233" s="1632"/>
      <c r="K233" s="1632"/>
      <c r="L233" s="1632"/>
      <c r="M233" s="1632"/>
      <c r="N233" s="1633"/>
      <c r="O233" s="1538"/>
      <c r="P233" s="1538"/>
    </row>
    <row r="234" spans="1:16" s="1618" customFormat="1" ht="18" customHeight="1" x14ac:dyDescent="0.3">
      <c r="A234" s="1528">
        <v>282</v>
      </c>
      <c r="B234" s="1613"/>
      <c r="C234" s="1614"/>
      <c r="D234" s="1569" t="s">
        <v>239</v>
      </c>
      <c r="E234" s="1615"/>
      <c r="F234" s="1615"/>
      <c r="G234" s="1616"/>
      <c r="H234" s="1617"/>
      <c r="I234" s="1573">
        <f>SUM(J234:N234)</f>
        <v>29800</v>
      </c>
      <c r="J234" s="1602">
        <f t="shared" ref="J234:N236" si="1">SUM(J238,J254)+J242+J246+J250</f>
        <v>0</v>
      </c>
      <c r="K234" s="1602">
        <f t="shared" si="1"/>
        <v>0</v>
      </c>
      <c r="L234" s="1602">
        <f t="shared" si="1"/>
        <v>0</v>
      </c>
      <c r="M234" s="1602">
        <f t="shared" si="1"/>
        <v>0</v>
      </c>
      <c r="N234" s="1603">
        <f t="shared" si="1"/>
        <v>29800</v>
      </c>
    </row>
    <row r="235" spans="1:16" s="1618" customFormat="1" ht="18" customHeight="1" x14ac:dyDescent="0.3">
      <c r="A235" s="1528">
        <v>283</v>
      </c>
      <c r="B235" s="1613"/>
      <c r="C235" s="1614"/>
      <c r="D235" s="1578" t="s">
        <v>702</v>
      </c>
      <c r="E235" s="1615"/>
      <c r="F235" s="1615"/>
      <c r="G235" s="1616"/>
      <c r="H235" s="1617"/>
      <c r="I235" s="1593">
        <f>SUM(J235:N235)</f>
        <v>26300</v>
      </c>
      <c r="J235" s="1604">
        <f t="shared" si="1"/>
        <v>0</v>
      </c>
      <c r="K235" s="1604">
        <f t="shared" si="1"/>
        <v>0</v>
      </c>
      <c r="L235" s="1604">
        <f t="shared" si="1"/>
        <v>0</v>
      </c>
      <c r="M235" s="1604">
        <f t="shared" si="1"/>
        <v>0</v>
      </c>
      <c r="N235" s="1606">
        <f t="shared" si="1"/>
        <v>26300</v>
      </c>
    </row>
    <row r="236" spans="1:16" s="1618" customFormat="1" ht="18" customHeight="1" x14ac:dyDescent="0.3">
      <c r="A236" s="1528">
        <v>284</v>
      </c>
      <c r="B236" s="1613"/>
      <c r="C236" s="1614"/>
      <c r="D236" s="1584" t="s">
        <v>745</v>
      </c>
      <c r="E236" s="1615"/>
      <c r="F236" s="1615"/>
      <c r="G236" s="1616"/>
      <c r="H236" s="1617"/>
      <c r="I236" s="1585">
        <f>SUM(J236:Q236)</f>
        <v>15250</v>
      </c>
      <c r="J236" s="1607">
        <f t="shared" si="1"/>
        <v>0</v>
      </c>
      <c r="K236" s="1607">
        <f t="shared" si="1"/>
        <v>0</v>
      </c>
      <c r="L236" s="1607">
        <f t="shared" si="1"/>
        <v>0</v>
      </c>
      <c r="M236" s="1607">
        <f t="shared" si="1"/>
        <v>0</v>
      </c>
      <c r="N236" s="1608">
        <v>15250</v>
      </c>
    </row>
    <row r="237" spans="1:16" s="1658" customFormat="1" ht="18" customHeight="1" x14ac:dyDescent="0.3">
      <c r="A237" s="1528">
        <v>286</v>
      </c>
      <c r="B237" s="1619"/>
      <c r="C237" s="1568"/>
      <c r="D237" s="1621" t="s">
        <v>58</v>
      </c>
      <c r="E237" s="1570"/>
      <c r="F237" s="1570">
        <v>3500</v>
      </c>
      <c r="G237" s="1570"/>
      <c r="H237" s="1622"/>
      <c r="I237" s="1623"/>
      <c r="J237" s="1632"/>
      <c r="K237" s="1632"/>
      <c r="L237" s="1632"/>
      <c r="M237" s="1632"/>
      <c r="N237" s="1625"/>
      <c r="P237" s="1659"/>
    </row>
    <row r="238" spans="1:16" s="1660" customFormat="1" ht="18" customHeight="1" x14ac:dyDescent="0.3">
      <c r="A238" s="1528">
        <v>287</v>
      </c>
      <c r="B238" s="1642"/>
      <c r="C238" s="1614"/>
      <c r="D238" s="1638" t="s">
        <v>239</v>
      </c>
      <c r="E238" s="1615"/>
      <c r="F238" s="1615"/>
      <c r="G238" s="1616"/>
      <c r="H238" s="1646"/>
      <c r="I238" s="1628">
        <f>SUM(J238:N238)</f>
        <v>3500</v>
      </c>
      <c r="J238" s="1643"/>
      <c r="K238" s="1643"/>
      <c r="L238" s="1643"/>
      <c r="M238" s="1643"/>
      <c r="N238" s="1625">
        <v>3500</v>
      </c>
      <c r="P238" s="1661"/>
    </row>
    <row r="239" spans="1:16" s="1660" customFormat="1" ht="18" customHeight="1" x14ac:dyDescent="0.3">
      <c r="A239" s="1528">
        <v>288</v>
      </c>
      <c r="B239" s="1642"/>
      <c r="C239" s="1614"/>
      <c r="D239" s="1629" t="s">
        <v>702</v>
      </c>
      <c r="E239" s="1615"/>
      <c r="F239" s="1615"/>
      <c r="G239" s="1616"/>
      <c r="H239" s="1646"/>
      <c r="I239" s="1630">
        <f>SUM(J239:N239)</f>
        <v>0</v>
      </c>
      <c r="J239" s="1645"/>
      <c r="K239" s="1645"/>
      <c r="L239" s="1645"/>
      <c r="M239" s="1645"/>
      <c r="N239" s="1598">
        <v>0</v>
      </c>
      <c r="P239" s="1661"/>
    </row>
    <row r="240" spans="1:16" s="1660" customFormat="1" ht="18" customHeight="1" x14ac:dyDescent="0.3">
      <c r="A240" s="1528">
        <v>289</v>
      </c>
      <c r="B240" s="1642"/>
      <c r="C240" s="1614"/>
      <c r="D240" s="1629" t="s">
        <v>745</v>
      </c>
      <c r="E240" s="1615"/>
      <c r="F240" s="1615"/>
      <c r="G240" s="1616"/>
      <c r="H240" s="1646"/>
      <c r="I240" s="1585">
        <f>SUM(J240:Q240)</f>
        <v>0</v>
      </c>
      <c r="J240" s="1643"/>
      <c r="K240" s="1643"/>
      <c r="L240" s="1643"/>
      <c r="M240" s="1643"/>
      <c r="N240" s="1598">
        <v>0</v>
      </c>
      <c r="P240" s="1661"/>
    </row>
    <row r="241" spans="1:16" s="1658" customFormat="1" ht="18" customHeight="1" x14ac:dyDescent="0.3">
      <c r="A241" s="1528">
        <v>291</v>
      </c>
      <c r="B241" s="1619"/>
      <c r="C241" s="1568"/>
      <c r="D241" s="1621" t="s">
        <v>59</v>
      </c>
      <c r="E241" s="1570"/>
      <c r="F241" s="1570">
        <v>15000</v>
      </c>
      <c r="G241" s="1571">
        <v>10000</v>
      </c>
      <c r="H241" s="1622"/>
      <c r="I241" s="1662"/>
      <c r="J241" s="1632"/>
      <c r="K241" s="1632"/>
      <c r="L241" s="1632"/>
      <c r="M241" s="1632"/>
      <c r="N241" s="1633"/>
      <c r="P241" s="1659"/>
    </row>
    <row r="242" spans="1:16" s="1658" customFormat="1" ht="18" customHeight="1" x14ac:dyDescent="0.3">
      <c r="A242" s="1528">
        <v>292</v>
      </c>
      <c r="B242" s="1619"/>
      <c r="C242" s="1568"/>
      <c r="D242" s="1638" t="s">
        <v>239</v>
      </c>
      <c r="E242" s="1570"/>
      <c r="F242" s="1570"/>
      <c r="G242" s="1571"/>
      <c r="H242" s="1622"/>
      <c r="I242" s="1628">
        <f>SUM(J242:N242)</f>
        <v>20000</v>
      </c>
      <c r="J242" s="1632"/>
      <c r="K242" s="1632"/>
      <c r="L242" s="1632"/>
      <c r="M242" s="1632"/>
      <c r="N242" s="1633">
        <f>10000+10000</f>
        <v>20000</v>
      </c>
      <c r="P242" s="1659"/>
    </row>
    <row r="243" spans="1:16" s="1658" customFormat="1" ht="18" customHeight="1" x14ac:dyDescent="0.3">
      <c r="A243" s="1528">
        <v>293</v>
      </c>
      <c r="B243" s="1619"/>
      <c r="C243" s="1568"/>
      <c r="D243" s="1629" t="s">
        <v>702</v>
      </c>
      <c r="E243" s="1570"/>
      <c r="F243" s="1570"/>
      <c r="G243" s="1571"/>
      <c r="H243" s="1622"/>
      <c r="I243" s="1630">
        <f>SUM(J243:N243)</f>
        <v>20000</v>
      </c>
      <c r="J243" s="1607"/>
      <c r="K243" s="1607"/>
      <c r="L243" s="1607"/>
      <c r="M243" s="1607"/>
      <c r="N243" s="1608">
        <v>20000</v>
      </c>
      <c r="P243" s="1659"/>
    </row>
    <row r="244" spans="1:16" s="1658" customFormat="1" ht="18" customHeight="1" x14ac:dyDescent="0.3">
      <c r="A244" s="1528">
        <v>294</v>
      </c>
      <c r="B244" s="1619"/>
      <c r="C244" s="1568"/>
      <c r="D244" s="1629" t="s">
        <v>745</v>
      </c>
      <c r="E244" s="1570"/>
      <c r="F244" s="1570"/>
      <c r="G244" s="1571"/>
      <c r="H244" s="1622"/>
      <c r="I244" s="1585">
        <f>SUM(J244:Q244)</f>
        <v>9950</v>
      </c>
      <c r="J244" s="1632"/>
      <c r="K244" s="1632"/>
      <c r="L244" s="1632"/>
      <c r="M244" s="1632"/>
      <c r="N244" s="1641">
        <v>9950</v>
      </c>
      <c r="P244" s="1659"/>
    </row>
    <row r="245" spans="1:16" s="1658" customFormat="1" ht="18" customHeight="1" x14ac:dyDescent="0.3">
      <c r="A245" s="1528">
        <v>296</v>
      </c>
      <c r="B245" s="1619"/>
      <c r="C245" s="1568"/>
      <c r="D245" s="1621" t="s">
        <v>425</v>
      </c>
      <c r="E245" s="1570">
        <v>4000</v>
      </c>
      <c r="F245" s="1570">
        <v>4000</v>
      </c>
      <c r="G245" s="1571">
        <v>4000</v>
      </c>
      <c r="H245" s="1622"/>
      <c r="I245" s="1628"/>
      <c r="J245" s="1632"/>
      <c r="K245" s="1632"/>
      <c r="L245" s="1632"/>
      <c r="M245" s="1632"/>
      <c r="N245" s="1633"/>
      <c r="P245" s="1659"/>
    </row>
    <row r="246" spans="1:16" s="1658" customFormat="1" ht="18" customHeight="1" x14ac:dyDescent="0.3">
      <c r="A246" s="1528">
        <v>297</v>
      </c>
      <c r="B246" s="1619"/>
      <c r="C246" s="1568"/>
      <c r="D246" s="1638" t="s">
        <v>239</v>
      </c>
      <c r="E246" s="1570"/>
      <c r="F246" s="1570"/>
      <c r="G246" s="1571"/>
      <c r="H246" s="1622"/>
      <c r="I246" s="1628">
        <f>SUM(J246:N246)</f>
        <v>4000</v>
      </c>
      <c r="J246" s="1632"/>
      <c r="K246" s="1632"/>
      <c r="L246" s="1632"/>
      <c r="M246" s="1632"/>
      <c r="N246" s="1633">
        <v>4000</v>
      </c>
      <c r="P246" s="1659"/>
    </row>
    <row r="247" spans="1:16" s="1658" customFormat="1" ht="18" customHeight="1" x14ac:dyDescent="0.3">
      <c r="A247" s="1528">
        <v>298</v>
      </c>
      <c r="B247" s="1619"/>
      <c r="C247" s="1568"/>
      <c r="D247" s="1629" t="s">
        <v>702</v>
      </c>
      <c r="E247" s="1570"/>
      <c r="F247" s="1570"/>
      <c r="G247" s="1571"/>
      <c r="H247" s="1622"/>
      <c r="I247" s="1630">
        <f>SUM(J247:N247)</f>
        <v>4000</v>
      </c>
      <c r="J247" s="1607"/>
      <c r="K247" s="1607"/>
      <c r="L247" s="1607"/>
      <c r="M247" s="1607"/>
      <c r="N247" s="1608">
        <v>4000</v>
      </c>
      <c r="P247" s="1659"/>
    </row>
    <row r="248" spans="1:16" s="1658" customFormat="1" ht="18" customHeight="1" x14ac:dyDescent="0.3">
      <c r="A248" s="1528">
        <v>299</v>
      </c>
      <c r="B248" s="1619"/>
      <c r="C248" s="1568"/>
      <c r="D248" s="1629" t="s">
        <v>745</v>
      </c>
      <c r="E248" s="1570"/>
      <c r="F248" s="1570"/>
      <c r="G248" s="1571"/>
      <c r="H248" s="1622"/>
      <c r="I248" s="1585">
        <f>SUM(J248:Q248)</f>
        <v>4000</v>
      </c>
      <c r="J248" s="1632"/>
      <c r="K248" s="1632"/>
      <c r="L248" s="1632"/>
      <c r="M248" s="1632"/>
      <c r="N248" s="1641">
        <v>4000</v>
      </c>
      <c r="P248" s="1659"/>
    </row>
    <row r="249" spans="1:16" s="1658" customFormat="1" ht="18" customHeight="1" x14ac:dyDescent="0.3">
      <c r="A249" s="1528">
        <v>301</v>
      </c>
      <c r="B249" s="1619"/>
      <c r="C249" s="1568"/>
      <c r="D249" s="1621" t="s">
        <v>323</v>
      </c>
      <c r="E249" s="1570"/>
      <c r="F249" s="1570">
        <v>1000</v>
      </c>
      <c r="G249" s="1571">
        <v>1000</v>
      </c>
      <c r="H249" s="1622"/>
      <c r="I249" s="1662"/>
      <c r="J249" s="1632"/>
      <c r="K249" s="1632"/>
      <c r="L249" s="1632"/>
      <c r="M249" s="1632"/>
      <c r="N249" s="1633"/>
      <c r="P249" s="1659"/>
    </row>
    <row r="250" spans="1:16" s="1658" customFormat="1" ht="18" customHeight="1" x14ac:dyDescent="0.3">
      <c r="A250" s="1528">
        <v>302</v>
      </c>
      <c r="B250" s="1619"/>
      <c r="C250" s="1568"/>
      <c r="D250" s="1638" t="s">
        <v>239</v>
      </c>
      <c r="E250" s="1570"/>
      <c r="F250" s="1570"/>
      <c r="G250" s="1571"/>
      <c r="H250" s="1622"/>
      <c r="I250" s="1628">
        <f>SUM(J250:N250)</f>
        <v>1000</v>
      </c>
      <c r="J250" s="1632"/>
      <c r="K250" s="1632"/>
      <c r="L250" s="1632"/>
      <c r="M250" s="1632"/>
      <c r="N250" s="1633">
        <v>1000</v>
      </c>
      <c r="P250" s="1659"/>
    </row>
    <row r="251" spans="1:16" s="1658" customFormat="1" ht="18" customHeight="1" x14ac:dyDescent="0.3">
      <c r="A251" s="1528">
        <v>303</v>
      </c>
      <c r="B251" s="1619"/>
      <c r="C251" s="1568"/>
      <c r="D251" s="1629" t="s">
        <v>702</v>
      </c>
      <c r="E251" s="1570"/>
      <c r="F251" s="1570"/>
      <c r="G251" s="1571"/>
      <c r="H251" s="1622"/>
      <c r="I251" s="1630">
        <f>SUM(J251:N251)</f>
        <v>1000</v>
      </c>
      <c r="J251" s="1607"/>
      <c r="K251" s="1607"/>
      <c r="L251" s="1607"/>
      <c r="M251" s="1607"/>
      <c r="N251" s="1608">
        <v>1000</v>
      </c>
      <c r="P251" s="1659"/>
    </row>
    <row r="252" spans="1:16" s="1658" customFormat="1" ht="18" customHeight="1" x14ac:dyDescent="0.3">
      <c r="A252" s="1528">
        <v>304</v>
      </c>
      <c r="B252" s="1619"/>
      <c r="C252" s="1568"/>
      <c r="D252" s="1629" t="s">
        <v>745</v>
      </c>
      <c r="E252" s="1570"/>
      <c r="F252" s="1570"/>
      <c r="G252" s="1571"/>
      <c r="H252" s="1622"/>
      <c r="I252" s="1585">
        <f>SUM(J252:Q252)</f>
        <v>0</v>
      </c>
      <c r="J252" s="1632"/>
      <c r="K252" s="1632"/>
      <c r="L252" s="1632"/>
      <c r="M252" s="1632"/>
      <c r="N252" s="1641">
        <v>0</v>
      </c>
      <c r="P252" s="1659"/>
    </row>
    <row r="253" spans="1:16" s="1658" customFormat="1" ht="18" customHeight="1" x14ac:dyDescent="0.3">
      <c r="A253" s="1528">
        <v>306</v>
      </c>
      <c r="B253" s="1619"/>
      <c r="C253" s="1568"/>
      <c r="D253" s="1621" t="s">
        <v>324</v>
      </c>
      <c r="E253" s="1570">
        <v>600</v>
      </c>
      <c r="F253" s="1570">
        <v>600</v>
      </c>
      <c r="G253" s="1571">
        <v>1200</v>
      </c>
      <c r="H253" s="1622"/>
      <c r="I253" s="1662"/>
      <c r="J253" s="1632"/>
      <c r="K253" s="1632"/>
      <c r="L253" s="1632"/>
      <c r="M253" s="1632"/>
      <c r="N253" s="1633"/>
      <c r="P253" s="1659"/>
    </row>
    <row r="254" spans="1:16" s="1660" customFormat="1" ht="18" customHeight="1" x14ac:dyDescent="0.3">
      <c r="A254" s="1528">
        <v>307</v>
      </c>
      <c r="B254" s="1642"/>
      <c r="C254" s="1614"/>
      <c r="D254" s="1638" t="s">
        <v>239</v>
      </c>
      <c r="E254" s="1615"/>
      <c r="F254" s="1615"/>
      <c r="G254" s="1616"/>
      <c r="H254" s="1646"/>
      <c r="I254" s="1628">
        <f>SUM(J254:N254)</f>
        <v>1300</v>
      </c>
      <c r="J254" s="1643"/>
      <c r="K254" s="1643"/>
      <c r="L254" s="1643"/>
      <c r="M254" s="1643"/>
      <c r="N254" s="1625">
        <v>1300</v>
      </c>
      <c r="P254" s="1661"/>
    </row>
    <row r="255" spans="1:16" s="1660" customFormat="1" ht="18" customHeight="1" x14ac:dyDescent="0.3">
      <c r="A255" s="1528">
        <v>308</v>
      </c>
      <c r="B255" s="1642"/>
      <c r="C255" s="1614"/>
      <c r="D255" s="1629" t="s">
        <v>702</v>
      </c>
      <c r="E255" s="1615"/>
      <c r="F255" s="1615"/>
      <c r="G255" s="1616"/>
      <c r="H255" s="1646"/>
      <c r="I255" s="1630">
        <f>SUM(J255:N255)</f>
        <v>1300</v>
      </c>
      <c r="J255" s="1645"/>
      <c r="K255" s="1645"/>
      <c r="L255" s="1645"/>
      <c r="M255" s="1645"/>
      <c r="N255" s="1598">
        <v>1300</v>
      </c>
      <c r="P255" s="1661"/>
    </row>
    <row r="256" spans="1:16" s="1660" customFormat="1" ht="18" customHeight="1" x14ac:dyDescent="0.3">
      <c r="A256" s="1528">
        <v>309</v>
      </c>
      <c r="B256" s="1642"/>
      <c r="C256" s="1614"/>
      <c r="D256" s="1629" t="s">
        <v>745</v>
      </c>
      <c r="E256" s="1615"/>
      <c r="F256" s="1615"/>
      <c r="G256" s="1616"/>
      <c r="H256" s="1646"/>
      <c r="I256" s="1585">
        <f>SUM(J256:Q256)</f>
        <v>1300</v>
      </c>
      <c r="J256" s="1643"/>
      <c r="K256" s="1643"/>
      <c r="L256" s="1643"/>
      <c r="M256" s="1643"/>
      <c r="N256" s="1641">
        <v>1300</v>
      </c>
      <c r="P256" s="1661"/>
    </row>
    <row r="257" spans="1:16" s="1657" customFormat="1" ht="22.5" customHeight="1" x14ac:dyDescent="0.35">
      <c r="A257" s="1528">
        <v>311</v>
      </c>
      <c r="B257" s="1656"/>
      <c r="C257" s="1589">
        <v>45</v>
      </c>
      <c r="D257" s="1590" t="s">
        <v>255</v>
      </c>
      <c r="E257" s="1570">
        <f>SUM(E261,E262,E263,E267)</f>
        <v>6000</v>
      </c>
      <c r="F257" s="1570">
        <f>SUM(F261,F262,F263,F267)+F271+F275</f>
        <v>18700</v>
      </c>
      <c r="G257" s="1571">
        <f>SUM(G261,G262,G263,G267)+G271+G275+G277+G281</f>
        <v>57605</v>
      </c>
      <c r="H257" s="1572" t="s">
        <v>24</v>
      </c>
      <c r="I257" s="1631"/>
      <c r="J257" s="1632"/>
      <c r="K257" s="1632"/>
      <c r="L257" s="1632"/>
      <c r="M257" s="1632"/>
      <c r="N257" s="1633"/>
      <c r="O257" s="1538"/>
      <c r="P257" s="1538"/>
    </row>
    <row r="258" spans="1:16" s="1618" customFormat="1" ht="18" customHeight="1" x14ac:dyDescent="0.3">
      <c r="A258" s="1528">
        <v>312</v>
      </c>
      <c r="B258" s="1613"/>
      <c r="C258" s="1614"/>
      <c r="D258" s="1569" t="s">
        <v>239</v>
      </c>
      <c r="E258" s="1615"/>
      <c r="F258" s="1615"/>
      <c r="G258" s="1616"/>
      <c r="H258" s="1617"/>
      <c r="I258" s="1573">
        <f>SUM(J258:N258)</f>
        <v>59700</v>
      </c>
      <c r="J258" s="1602">
        <f>J264+J268+J272+J278+J282</f>
        <v>0</v>
      </c>
      <c r="K258" s="1602">
        <f>K264+K268+K272+K278+K282</f>
        <v>0</v>
      </c>
      <c r="L258" s="1602">
        <f>L264+L268+L272+L278+L282</f>
        <v>100</v>
      </c>
      <c r="M258" s="1602">
        <f>M264+M268+M272+M278+M282</f>
        <v>0</v>
      </c>
      <c r="N258" s="1603">
        <f>N264+N268+N272+N278+N282</f>
        <v>59600</v>
      </c>
    </row>
    <row r="259" spans="1:16" s="1618" customFormat="1" ht="18" customHeight="1" x14ac:dyDescent="0.3">
      <c r="A259" s="1528">
        <v>313</v>
      </c>
      <c r="B259" s="1613"/>
      <c r="C259" s="1614"/>
      <c r="D259" s="1578" t="s">
        <v>702</v>
      </c>
      <c r="E259" s="1615"/>
      <c r="F259" s="1615"/>
      <c r="G259" s="1616"/>
      <c r="H259" s="1617"/>
      <c r="I259" s="1593">
        <f>SUM(J259:N259)</f>
        <v>59700</v>
      </c>
      <c r="J259" s="1604">
        <f>J265+J269+J273+J277+J279+J283</f>
        <v>200</v>
      </c>
      <c r="K259" s="1604">
        <f>K265+K269+K273+K277+K279+K283</f>
        <v>66</v>
      </c>
      <c r="L259" s="1604">
        <f>L265+L269+L273+L277+L279+L283</f>
        <v>2834</v>
      </c>
      <c r="M259" s="1604">
        <f>M265+M269+M273+M277+M279+M283</f>
        <v>0</v>
      </c>
      <c r="N259" s="1606">
        <f>N265+N269+N273+N277+N279+N283</f>
        <v>56600</v>
      </c>
    </row>
    <row r="260" spans="1:16" s="1618" customFormat="1" ht="18" customHeight="1" x14ac:dyDescent="0.3">
      <c r="A260" s="1528">
        <v>314</v>
      </c>
      <c r="B260" s="1613"/>
      <c r="C260" s="1614"/>
      <c r="D260" s="1584" t="s">
        <v>745</v>
      </c>
      <c r="E260" s="1615"/>
      <c r="F260" s="1615"/>
      <c r="G260" s="1616"/>
      <c r="H260" s="1617"/>
      <c r="I260" s="1585">
        <f>SUM(J260:Q260)</f>
        <v>869</v>
      </c>
      <c r="J260" s="1607">
        <f>J266+J270+J274+J280+J284+J276</f>
        <v>0</v>
      </c>
      <c r="K260" s="1607">
        <f t="shared" ref="K260:N260" si="2">K266+K270+K274+K280+K284+K276</f>
        <v>3</v>
      </c>
      <c r="L260" s="1607">
        <f t="shared" si="2"/>
        <v>866</v>
      </c>
      <c r="M260" s="1607">
        <f t="shared" si="2"/>
        <v>0</v>
      </c>
      <c r="N260" s="1608">
        <f t="shared" si="2"/>
        <v>0</v>
      </c>
    </row>
    <row r="261" spans="1:16" s="1658" customFormat="1" ht="18" customHeight="1" x14ac:dyDescent="0.3">
      <c r="A261" s="1528">
        <v>316</v>
      </c>
      <c r="B261" s="1619"/>
      <c r="C261" s="1568"/>
      <c r="D261" s="1621" t="s">
        <v>221</v>
      </c>
      <c r="E261" s="1570"/>
      <c r="F261" s="1570"/>
      <c r="G261" s="1571"/>
      <c r="H261" s="1622"/>
      <c r="I261" s="1623"/>
      <c r="J261" s="1624"/>
      <c r="K261" s="1624"/>
      <c r="L261" s="1624"/>
      <c r="M261" s="1624"/>
      <c r="N261" s="1625"/>
      <c r="P261" s="1659"/>
    </row>
    <row r="262" spans="1:16" s="1658" customFormat="1" ht="18" customHeight="1" x14ac:dyDescent="0.3">
      <c r="A262" s="1528">
        <v>317</v>
      </c>
      <c r="B262" s="1619"/>
      <c r="C262" s="1568"/>
      <c r="D262" s="1621" t="s">
        <v>249</v>
      </c>
      <c r="E262" s="1570"/>
      <c r="F262" s="1570"/>
      <c r="G262" s="1571"/>
      <c r="H262" s="1622"/>
      <c r="I262" s="1623"/>
      <c r="J262" s="1632"/>
      <c r="K262" s="1632"/>
      <c r="L262" s="1632"/>
      <c r="M262" s="1632"/>
      <c r="N262" s="1633"/>
      <c r="P262" s="1659"/>
    </row>
    <row r="263" spans="1:16" s="1658" customFormat="1" ht="18" customHeight="1" x14ac:dyDescent="0.3">
      <c r="A263" s="1528">
        <v>318</v>
      </c>
      <c r="B263" s="1619"/>
      <c r="C263" s="1568"/>
      <c r="D263" s="1621" t="s">
        <v>223</v>
      </c>
      <c r="E263" s="1570">
        <v>5000</v>
      </c>
      <c r="F263" s="1570">
        <v>5000</v>
      </c>
      <c r="G263" s="1571">
        <v>5000</v>
      </c>
      <c r="H263" s="1622"/>
      <c r="I263" s="1628"/>
      <c r="J263" s="1632"/>
      <c r="K263" s="1632"/>
      <c r="L263" s="1632"/>
      <c r="M263" s="1632"/>
      <c r="N263" s="1633"/>
      <c r="P263" s="1659"/>
    </row>
    <row r="264" spans="1:16" s="1658" customFormat="1" ht="18" customHeight="1" x14ac:dyDescent="0.3">
      <c r="A264" s="1528">
        <v>319</v>
      </c>
      <c r="B264" s="1619"/>
      <c r="C264" s="1568"/>
      <c r="D264" s="1638" t="s">
        <v>239</v>
      </c>
      <c r="E264" s="1570"/>
      <c r="F264" s="1570"/>
      <c r="G264" s="1571"/>
      <c r="H264" s="1622"/>
      <c r="I264" s="1628">
        <f>SUM(J264:N264)</f>
        <v>5000</v>
      </c>
      <c r="J264" s="1632"/>
      <c r="K264" s="1632"/>
      <c r="L264" s="1632"/>
      <c r="M264" s="1632"/>
      <c r="N264" s="1633">
        <v>5000</v>
      </c>
      <c r="P264" s="1659"/>
    </row>
    <row r="265" spans="1:16" s="1658" customFormat="1" ht="18" customHeight="1" x14ac:dyDescent="0.3">
      <c r="A265" s="1528">
        <v>320</v>
      </c>
      <c r="B265" s="1619"/>
      <c r="C265" s="1568"/>
      <c r="D265" s="1629" t="s">
        <v>702</v>
      </c>
      <c r="E265" s="1570"/>
      <c r="F265" s="1570"/>
      <c r="G265" s="1571"/>
      <c r="H265" s="1622"/>
      <c r="I265" s="1630">
        <f>SUM(J265:N265)</f>
        <v>5000</v>
      </c>
      <c r="J265" s="1607"/>
      <c r="K265" s="1607"/>
      <c r="L265" s="1607"/>
      <c r="M265" s="1607"/>
      <c r="N265" s="1608">
        <v>5000</v>
      </c>
      <c r="P265" s="1659"/>
    </row>
    <row r="266" spans="1:16" s="1658" customFormat="1" ht="18" customHeight="1" x14ac:dyDescent="0.3">
      <c r="A266" s="1528">
        <v>321</v>
      </c>
      <c r="B266" s="1619"/>
      <c r="C266" s="1568"/>
      <c r="D266" s="1629" t="s">
        <v>745</v>
      </c>
      <c r="E266" s="1570"/>
      <c r="F266" s="1570"/>
      <c r="G266" s="1571"/>
      <c r="H266" s="1622"/>
      <c r="I266" s="1585">
        <f>SUM(J266:Q266)</f>
        <v>0</v>
      </c>
      <c r="J266" s="1632"/>
      <c r="K266" s="1632"/>
      <c r="L266" s="1632"/>
      <c r="M266" s="1632"/>
      <c r="N266" s="1641">
        <v>0</v>
      </c>
      <c r="P266" s="1659"/>
    </row>
    <row r="267" spans="1:16" s="1658" customFormat="1" ht="18" customHeight="1" x14ac:dyDescent="0.3">
      <c r="A267" s="1528">
        <v>323</v>
      </c>
      <c r="B267" s="1619"/>
      <c r="C267" s="1568"/>
      <c r="D267" s="1621" t="s">
        <v>222</v>
      </c>
      <c r="E267" s="1570">
        <v>1000</v>
      </c>
      <c r="F267" s="1570">
        <v>1700</v>
      </c>
      <c r="G267" s="1571">
        <v>800</v>
      </c>
      <c r="H267" s="1622"/>
      <c r="I267" s="1628"/>
      <c r="J267" s="1632"/>
      <c r="K267" s="1632"/>
      <c r="L267" s="1632"/>
      <c r="M267" s="1632"/>
      <c r="N267" s="1633"/>
      <c r="P267" s="1659"/>
    </row>
    <row r="268" spans="1:16" s="1660" customFormat="1" ht="18" customHeight="1" x14ac:dyDescent="0.3">
      <c r="A268" s="1528">
        <v>324</v>
      </c>
      <c r="B268" s="1642"/>
      <c r="C268" s="1614"/>
      <c r="D268" s="1638" t="s">
        <v>239</v>
      </c>
      <c r="E268" s="1615"/>
      <c r="F268" s="1615"/>
      <c r="G268" s="1616"/>
      <c r="H268" s="1646"/>
      <c r="I268" s="1628">
        <f>SUM(J268:N268)</f>
        <v>1700</v>
      </c>
      <c r="J268" s="1643"/>
      <c r="K268" s="1643"/>
      <c r="L268" s="1624">
        <v>100</v>
      </c>
      <c r="M268" s="1643"/>
      <c r="N268" s="1625">
        <v>1600</v>
      </c>
      <c r="P268" s="1661"/>
    </row>
    <row r="269" spans="1:16" s="1660" customFormat="1" ht="18" customHeight="1" x14ac:dyDescent="0.3">
      <c r="A269" s="1528">
        <v>325</v>
      </c>
      <c r="B269" s="1642"/>
      <c r="C269" s="1614"/>
      <c r="D269" s="1629" t="s">
        <v>702</v>
      </c>
      <c r="E269" s="1615"/>
      <c r="F269" s="1615"/>
      <c r="G269" s="1616"/>
      <c r="H269" s="1646"/>
      <c r="I269" s="1630">
        <f>SUM(J269:N269)</f>
        <v>1700</v>
      </c>
      <c r="J269" s="1645"/>
      <c r="K269" s="1645"/>
      <c r="L269" s="1597">
        <v>100</v>
      </c>
      <c r="M269" s="1645"/>
      <c r="N269" s="1598">
        <v>1600</v>
      </c>
      <c r="P269" s="1661"/>
    </row>
    <row r="270" spans="1:16" s="1660" customFormat="1" ht="18" customHeight="1" x14ac:dyDescent="0.3">
      <c r="A270" s="1528">
        <v>326</v>
      </c>
      <c r="B270" s="1642"/>
      <c r="C270" s="1614"/>
      <c r="D270" s="1629" t="s">
        <v>745</v>
      </c>
      <c r="E270" s="1615"/>
      <c r="F270" s="1615"/>
      <c r="G270" s="1616"/>
      <c r="H270" s="1646"/>
      <c r="I270" s="1585">
        <f>SUM(J270:Q270)</f>
        <v>0</v>
      </c>
      <c r="J270" s="1643"/>
      <c r="K270" s="1643"/>
      <c r="L270" s="1597">
        <v>0</v>
      </c>
      <c r="M270" s="1645"/>
      <c r="N270" s="1598">
        <v>0</v>
      </c>
      <c r="P270" s="1661"/>
    </row>
    <row r="271" spans="1:16" s="1660" customFormat="1" ht="18" customHeight="1" x14ac:dyDescent="0.3">
      <c r="A271" s="1528">
        <v>328</v>
      </c>
      <c r="B271" s="1642"/>
      <c r="C271" s="1614"/>
      <c r="D271" s="1621" t="s">
        <v>426</v>
      </c>
      <c r="E271" s="1615"/>
      <c r="F271" s="1570">
        <v>7000</v>
      </c>
      <c r="G271" s="1570">
        <v>715</v>
      </c>
      <c r="H271" s="1646"/>
      <c r="I271" s="1628"/>
      <c r="J271" s="1643"/>
      <c r="K271" s="1643"/>
      <c r="L271" s="1643"/>
      <c r="M271" s="1643"/>
      <c r="N271" s="1625"/>
      <c r="P271" s="1661"/>
    </row>
    <row r="272" spans="1:16" s="1660" customFormat="1" ht="18" customHeight="1" x14ac:dyDescent="0.3">
      <c r="A272" s="1528">
        <v>329</v>
      </c>
      <c r="B272" s="1642"/>
      <c r="C272" s="1614"/>
      <c r="D272" s="1638" t="s">
        <v>239</v>
      </c>
      <c r="E272" s="1615"/>
      <c r="F272" s="1615"/>
      <c r="G272" s="1616"/>
      <c r="H272" s="1646"/>
      <c r="I272" s="1628">
        <f>SUM(J272:N272)</f>
        <v>3000</v>
      </c>
      <c r="J272" s="1643"/>
      <c r="K272" s="1643"/>
      <c r="L272" s="1643"/>
      <c r="M272" s="1643"/>
      <c r="N272" s="1625">
        <v>3000</v>
      </c>
      <c r="P272" s="1661"/>
    </row>
    <row r="273" spans="1:16" s="1660" customFormat="1" ht="18" customHeight="1" x14ac:dyDescent="0.3">
      <c r="A273" s="1528">
        <v>330</v>
      </c>
      <c r="B273" s="1642"/>
      <c r="C273" s="1614"/>
      <c r="D273" s="1629" t="s">
        <v>702</v>
      </c>
      <c r="E273" s="1615"/>
      <c r="F273" s="1615"/>
      <c r="G273" s="1616"/>
      <c r="H273" s="1646"/>
      <c r="I273" s="1630">
        <f>SUM(J273:N273)</f>
        <v>3000</v>
      </c>
      <c r="J273" s="1597">
        <v>200</v>
      </c>
      <c r="K273" s="1597">
        <v>66</v>
      </c>
      <c r="L273" s="1597">
        <v>2734</v>
      </c>
      <c r="M273" s="1597"/>
      <c r="N273" s="1598">
        <v>0</v>
      </c>
      <c r="P273" s="1661"/>
    </row>
    <row r="274" spans="1:16" s="1660" customFormat="1" ht="18" customHeight="1" x14ac:dyDescent="0.3">
      <c r="A274" s="1528">
        <v>331</v>
      </c>
      <c r="B274" s="1642"/>
      <c r="C274" s="1614"/>
      <c r="D274" s="1629" t="s">
        <v>745</v>
      </c>
      <c r="E274" s="1615"/>
      <c r="F274" s="1615"/>
      <c r="G274" s="1616"/>
      <c r="H274" s="1646"/>
      <c r="I274" s="1585">
        <f>SUM(J274:Q274)</f>
        <v>866</v>
      </c>
      <c r="J274" s="1597">
        <v>0</v>
      </c>
      <c r="K274" s="1597">
        <v>0</v>
      </c>
      <c r="L274" s="1597">
        <v>866</v>
      </c>
      <c r="M274" s="1643"/>
      <c r="N274" s="1598">
        <v>0</v>
      </c>
      <c r="P274" s="1661"/>
    </row>
    <row r="275" spans="1:16" s="1660" customFormat="1" ht="18" customHeight="1" x14ac:dyDescent="0.3">
      <c r="A275" s="1528">
        <v>333</v>
      </c>
      <c r="B275" s="1642"/>
      <c r="C275" s="1614"/>
      <c r="D275" s="1621" t="s">
        <v>427</v>
      </c>
      <c r="E275" s="1615"/>
      <c r="F275" s="1570">
        <v>5000</v>
      </c>
      <c r="G275" s="1570">
        <v>1090</v>
      </c>
      <c r="H275" s="1646"/>
      <c r="I275" s="1628"/>
      <c r="J275" s="1643"/>
      <c r="K275" s="1597"/>
      <c r="L275" s="1643"/>
      <c r="M275" s="1643"/>
      <c r="N275" s="1625"/>
      <c r="P275" s="1661"/>
    </row>
    <row r="276" spans="1:16" s="1660" customFormat="1" ht="18" customHeight="1" x14ac:dyDescent="0.3">
      <c r="A276" s="1528"/>
      <c r="B276" s="1642"/>
      <c r="C276" s="1614"/>
      <c r="D276" s="1629" t="s">
        <v>745</v>
      </c>
      <c r="E276" s="1615"/>
      <c r="F276" s="1570"/>
      <c r="G276" s="1570"/>
      <c r="H276" s="1646"/>
      <c r="I276" s="1585">
        <f>SUM(J276:Q276)</f>
        <v>3</v>
      </c>
      <c r="J276" s="1643"/>
      <c r="K276" s="1597">
        <v>3</v>
      </c>
      <c r="L276" s="1643"/>
      <c r="M276" s="1643"/>
      <c r="N276" s="1625"/>
      <c r="P276" s="1661"/>
    </row>
    <row r="277" spans="1:16" s="1660" customFormat="1" ht="31.5" customHeight="1" x14ac:dyDescent="0.3">
      <c r="A277" s="1528">
        <v>334</v>
      </c>
      <c r="B277" s="1642"/>
      <c r="C277" s="1614"/>
      <c r="D277" s="1621" t="s">
        <v>729</v>
      </c>
      <c r="E277" s="1615"/>
      <c r="F277" s="1615"/>
      <c r="G277" s="1570">
        <v>30000</v>
      </c>
      <c r="H277" s="1646"/>
      <c r="I277" s="1628"/>
      <c r="J277" s="1643"/>
      <c r="K277" s="1643"/>
      <c r="L277" s="1643"/>
      <c r="M277" s="1643"/>
      <c r="N277" s="1625"/>
      <c r="P277" s="1661"/>
    </row>
    <row r="278" spans="1:16" s="1660" customFormat="1" ht="18" customHeight="1" x14ac:dyDescent="0.3">
      <c r="A278" s="1528">
        <v>335</v>
      </c>
      <c r="B278" s="1642"/>
      <c r="C278" s="1614"/>
      <c r="D278" s="1638" t="s">
        <v>239</v>
      </c>
      <c r="E278" s="1615"/>
      <c r="F278" s="1615"/>
      <c r="G278" s="1616"/>
      <c r="H278" s="1646"/>
      <c r="I278" s="1628">
        <f>SUM(J278:N278)</f>
        <v>30000</v>
      </c>
      <c r="J278" s="1643"/>
      <c r="K278" s="1643"/>
      <c r="L278" s="1643"/>
      <c r="M278" s="1643"/>
      <c r="N278" s="1625">
        <v>30000</v>
      </c>
      <c r="P278" s="1661"/>
    </row>
    <row r="279" spans="1:16" s="1660" customFormat="1" ht="18" customHeight="1" x14ac:dyDescent="0.3">
      <c r="A279" s="1528">
        <v>336</v>
      </c>
      <c r="B279" s="1642"/>
      <c r="C279" s="1614"/>
      <c r="D279" s="1629" t="s">
        <v>702</v>
      </c>
      <c r="E279" s="1615"/>
      <c r="F279" s="1615"/>
      <c r="G279" s="1616"/>
      <c r="H279" s="1646"/>
      <c r="I279" s="1630">
        <f>SUM(J279:N279)</f>
        <v>30000</v>
      </c>
      <c r="J279" s="1645"/>
      <c r="K279" s="1645"/>
      <c r="L279" s="1645"/>
      <c r="M279" s="1645"/>
      <c r="N279" s="1598">
        <v>30000</v>
      </c>
      <c r="P279" s="1661"/>
    </row>
    <row r="280" spans="1:16" s="1660" customFormat="1" ht="18" customHeight="1" x14ac:dyDescent="0.3">
      <c r="A280" s="1528">
        <v>337</v>
      </c>
      <c r="B280" s="1642"/>
      <c r="C280" s="1614"/>
      <c r="D280" s="1629" t="s">
        <v>745</v>
      </c>
      <c r="E280" s="1615"/>
      <c r="F280" s="1615"/>
      <c r="G280" s="1616"/>
      <c r="H280" s="1646"/>
      <c r="I280" s="1585">
        <f>SUM(J280:Q280)</f>
        <v>0</v>
      </c>
      <c r="J280" s="1643"/>
      <c r="K280" s="1643"/>
      <c r="L280" s="1643"/>
      <c r="M280" s="1643"/>
      <c r="N280" s="1641">
        <v>0</v>
      </c>
      <c r="P280" s="1661"/>
    </row>
    <row r="281" spans="1:16" s="1660" customFormat="1" ht="18" customHeight="1" x14ac:dyDescent="0.3">
      <c r="A281" s="1528">
        <v>339</v>
      </c>
      <c r="B281" s="1642"/>
      <c r="C281" s="1614"/>
      <c r="D281" s="1621" t="s">
        <v>730</v>
      </c>
      <c r="E281" s="1615"/>
      <c r="F281" s="1615"/>
      <c r="G281" s="1570">
        <v>20000</v>
      </c>
      <c r="H281" s="1646"/>
      <c r="I281" s="1628"/>
      <c r="J281" s="1643"/>
      <c r="K281" s="1643"/>
      <c r="L281" s="1643"/>
      <c r="M281" s="1643"/>
      <c r="N281" s="1625"/>
      <c r="P281" s="1661"/>
    </row>
    <row r="282" spans="1:16" s="1660" customFormat="1" ht="18" customHeight="1" x14ac:dyDescent="0.3">
      <c r="A282" s="1528">
        <v>340</v>
      </c>
      <c r="B282" s="1642"/>
      <c r="C282" s="1614"/>
      <c r="D282" s="1638" t="s">
        <v>239</v>
      </c>
      <c r="E282" s="1615"/>
      <c r="F282" s="1615"/>
      <c r="G282" s="1616"/>
      <c r="H282" s="1646"/>
      <c r="I282" s="1628">
        <f>SUM(J282:N282)</f>
        <v>20000</v>
      </c>
      <c r="J282" s="1643"/>
      <c r="K282" s="1643"/>
      <c r="L282" s="1643"/>
      <c r="M282" s="1643"/>
      <c r="N282" s="1625">
        <v>20000</v>
      </c>
      <c r="P282" s="1661"/>
    </row>
    <row r="283" spans="1:16" s="1660" customFormat="1" ht="18" customHeight="1" x14ac:dyDescent="0.3">
      <c r="A283" s="1528">
        <v>341</v>
      </c>
      <c r="B283" s="1642"/>
      <c r="C283" s="1614"/>
      <c r="D283" s="1629" t="s">
        <v>702</v>
      </c>
      <c r="E283" s="1615"/>
      <c r="F283" s="1615"/>
      <c r="G283" s="1616"/>
      <c r="H283" s="1646"/>
      <c r="I283" s="1630">
        <f>SUM(J283:N283)</f>
        <v>20000</v>
      </c>
      <c r="J283" s="1645"/>
      <c r="K283" s="1645"/>
      <c r="L283" s="1645"/>
      <c r="M283" s="1645"/>
      <c r="N283" s="1598">
        <v>20000</v>
      </c>
      <c r="P283" s="1661"/>
    </row>
    <row r="284" spans="1:16" s="1660" customFormat="1" ht="18" customHeight="1" x14ac:dyDescent="0.3">
      <c r="A284" s="1528">
        <v>342</v>
      </c>
      <c r="B284" s="1642"/>
      <c r="C284" s="1614"/>
      <c r="D284" s="1629" t="s">
        <v>745</v>
      </c>
      <c r="E284" s="1615"/>
      <c r="F284" s="1615"/>
      <c r="G284" s="1616"/>
      <c r="H284" s="1646"/>
      <c r="I284" s="1585">
        <f>SUM(J284:Q284)</f>
        <v>0</v>
      </c>
      <c r="J284" s="1643"/>
      <c r="K284" s="1643"/>
      <c r="L284" s="1643"/>
      <c r="M284" s="1643"/>
      <c r="N284" s="1641">
        <v>0</v>
      </c>
      <c r="P284" s="1661"/>
    </row>
    <row r="285" spans="1:16" s="1654" customFormat="1" ht="22.5" customHeight="1" x14ac:dyDescent="0.3">
      <c r="A285" s="1528">
        <v>344</v>
      </c>
      <c r="B285" s="1663"/>
      <c r="C285" s="1589">
        <v>46</v>
      </c>
      <c r="D285" s="1590" t="s">
        <v>280</v>
      </c>
      <c r="E285" s="1570">
        <v>33000</v>
      </c>
      <c r="F285" s="1570">
        <v>25000</v>
      </c>
      <c r="G285" s="1571">
        <v>33000</v>
      </c>
      <c r="H285" s="1572" t="s">
        <v>24</v>
      </c>
      <c r="I285" s="1623"/>
      <c r="J285" s="1624"/>
      <c r="K285" s="1624"/>
      <c r="L285" s="1624"/>
      <c r="M285" s="1624"/>
      <c r="N285" s="1625"/>
      <c r="P285" s="1538"/>
    </row>
    <row r="286" spans="1:16" s="1644" customFormat="1" ht="18" customHeight="1" x14ac:dyDescent="0.3">
      <c r="A286" s="1528">
        <v>345</v>
      </c>
      <c r="B286" s="1642"/>
      <c r="C286" s="1614"/>
      <c r="D286" s="1569" t="s">
        <v>239</v>
      </c>
      <c r="E286" s="1615"/>
      <c r="F286" s="1615"/>
      <c r="G286" s="1616"/>
      <c r="H286" s="1646"/>
      <c r="I286" s="1573">
        <f>SUM(J286:N286)</f>
        <v>35000</v>
      </c>
      <c r="J286" s="1643"/>
      <c r="K286" s="1643"/>
      <c r="L286" s="1643"/>
      <c r="M286" s="1643"/>
      <c r="N286" s="1592">
        <v>35000</v>
      </c>
      <c r="P286" s="1618"/>
    </row>
    <row r="287" spans="1:16" s="1644" customFormat="1" ht="18" customHeight="1" x14ac:dyDescent="0.3">
      <c r="A287" s="1528">
        <v>346</v>
      </c>
      <c r="B287" s="1642"/>
      <c r="C287" s="1614"/>
      <c r="D287" s="1578" t="s">
        <v>702</v>
      </c>
      <c r="E287" s="1615"/>
      <c r="F287" s="1615"/>
      <c r="G287" s="1616"/>
      <c r="H287" s="1646"/>
      <c r="I287" s="1593">
        <f>SUM(J287:N287)</f>
        <v>34000</v>
      </c>
      <c r="J287" s="1645"/>
      <c r="K287" s="1645"/>
      <c r="L287" s="1645"/>
      <c r="M287" s="1645"/>
      <c r="N287" s="1596">
        <v>34000</v>
      </c>
      <c r="P287" s="1618"/>
    </row>
    <row r="288" spans="1:16" s="1644" customFormat="1" ht="18" customHeight="1" x14ac:dyDescent="0.3">
      <c r="A288" s="1528">
        <v>347</v>
      </c>
      <c r="B288" s="1642"/>
      <c r="C288" s="1614"/>
      <c r="D288" s="1584" t="s">
        <v>745</v>
      </c>
      <c r="E288" s="1615"/>
      <c r="F288" s="1615"/>
      <c r="G288" s="1616"/>
      <c r="H288" s="1646"/>
      <c r="I288" s="1664">
        <f>SUM(J288:Q288)</f>
        <v>30000</v>
      </c>
      <c r="J288" s="1595"/>
      <c r="K288" s="1595"/>
      <c r="L288" s="1595"/>
      <c r="M288" s="1595"/>
      <c r="N288" s="1598">
        <v>30000</v>
      </c>
      <c r="P288" s="1618"/>
    </row>
    <row r="289" spans="1:16" s="1657" customFormat="1" ht="22.5" customHeight="1" x14ac:dyDescent="0.35">
      <c r="A289" s="1528">
        <v>349</v>
      </c>
      <c r="B289" s="1656"/>
      <c r="C289" s="1589">
        <v>48</v>
      </c>
      <c r="D289" s="1590" t="s">
        <v>224</v>
      </c>
      <c r="E289" s="1570"/>
      <c r="F289" s="1570">
        <v>100</v>
      </c>
      <c r="G289" s="1571"/>
      <c r="H289" s="1572" t="s">
        <v>23</v>
      </c>
      <c r="I289" s="1573"/>
      <c r="J289" s="1574"/>
      <c r="K289" s="1574"/>
      <c r="L289" s="1574"/>
      <c r="M289" s="1574"/>
      <c r="N289" s="1576"/>
      <c r="P289" s="1538"/>
    </row>
    <row r="290" spans="1:16" s="1618" customFormat="1" ht="18" customHeight="1" x14ac:dyDescent="0.3">
      <c r="A290" s="1528">
        <v>350</v>
      </c>
      <c r="B290" s="1613"/>
      <c r="C290" s="1614"/>
      <c r="D290" s="1569" t="s">
        <v>239</v>
      </c>
      <c r="E290" s="1615"/>
      <c r="F290" s="1615"/>
      <c r="G290" s="1616"/>
      <c r="H290" s="1617"/>
      <c r="I290" s="1573">
        <f>SUM(J290:N290)</f>
        <v>100</v>
      </c>
      <c r="J290" s="1575"/>
      <c r="K290" s="1575"/>
      <c r="L290" s="1575"/>
      <c r="M290" s="1575">
        <v>100</v>
      </c>
      <c r="N290" s="1592"/>
    </row>
    <row r="291" spans="1:16" s="1618" customFormat="1" ht="18" customHeight="1" x14ac:dyDescent="0.3">
      <c r="A291" s="1528">
        <v>351</v>
      </c>
      <c r="B291" s="1613"/>
      <c r="C291" s="1614"/>
      <c r="D291" s="1578" t="s">
        <v>702</v>
      </c>
      <c r="E291" s="1615"/>
      <c r="F291" s="1615"/>
      <c r="G291" s="1616"/>
      <c r="H291" s="1665"/>
      <c r="I291" s="1593">
        <f>SUM(J291:N291)</f>
        <v>100</v>
      </c>
      <c r="J291" s="1595"/>
      <c r="K291" s="1595"/>
      <c r="L291" s="1595"/>
      <c r="M291" s="1595">
        <v>100</v>
      </c>
      <c r="N291" s="1592"/>
    </row>
    <row r="292" spans="1:16" s="1618" customFormat="1" ht="18" customHeight="1" x14ac:dyDescent="0.3">
      <c r="A292" s="1528">
        <v>352</v>
      </c>
      <c r="B292" s="1613"/>
      <c r="C292" s="1614"/>
      <c r="D292" s="1584" t="s">
        <v>745</v>
      </c>
      <c r="E292" s="1615"/>
      <c r="F292" s="1615"/>
      <c r="G292" s="1616"/>
      <c r="H292" s="1665"/>
      <c r="I292" s="1664">
        <f>SUM(J292:Q292)</f>
        <v>0</v>
      </c>
      <c r="J292" s="1597"/>
      <c r="K292" s="1597"/>
      <c r="L292" s="1597"/>
      <c r="M292" s="1597">
        <v>0</v>
      </c>
      <c r="N292" s="1592"/>
    </row>
    <row r="293" spans="1:16" s="1538" customFormat="1" ht="22.5" customHeight="1" x14ac:dyDescent="0.3">
      <c r="A293" s="1528">
        <v>354</v>
      </c>
      <c r="B293" s="1666"/>
      <c r="C293" s="1589">
        <v>49</v>
      </c>
      <c r="D293" s="1559" t="s">
        <v>256</v>
      </c>
      <c r="E293" s="1570"/>
      <c r="F293" s="1570">
        <v>85</v>
      </c>
      <c r="G293" s="1571">
        <v>13</v>
      </c>
      <c r="H293" s="1562" t="s">
        <v>23</v>
      </c>
      <c r="I293" s="1573"/>
      <c r="J293" s="1574"/>
      <c r="K293" s="1574"/>
      <c r="L293" s="1574"/>
      <c r="M293" s="1574"/>
      <c r="N293" s="1576"/>
    </row>
    <row r="294" spans="1:16" s="1618" customFormat="1" ht="18" customHeight="1" x14ac:dyDescent="0.3">
      <c r="A294" s="1528">
        <v>355</v>
      </c>
      <c r="B294" s="1613"/>
      <c r="C294" s="1614"/>
      <c r="D294" s="1569" t="s">
        <v>239</v>
      </c>
      <c r="E294" s="1615"/>
      <c r="F294" s="1615"/>
      <c r="G294" s="1616"/>
      <c r="H294" s="1665"/>
      <c r="I294" s="1573">
        <f>SUM(J294:N294)</f>
        <v>85</v>
      </c>
      <c r="J294" s="1575"/>
      <c r="K294" s="1575"/>
      <c r="L294" s="1575"/>
      <c r="M294" s="1575">
        <v>85</v>
      </c>
      <c r="N294" s="1592"/>
    </row>
    <row r="295" spans="1:16" s="1618" customFormat="1" ht="18" customHeight="1" x14ac:dyDescent="0.3">
      <c r="A295" s="1528">
        <v>356</v>
      </c>
      <c r="B295" s="1613"/>
      <c r="C295" s="1614"/>
      <c r="D295" s="1578" t="s">
        <v>702</v>
      </c>
      <c r="E295" s="1615"/>
      <c r="F295" s="1615"/>
      <c r="G295" s="1616"/>
      <c r="H295" s="1665"/>
      <c r="I295" s="1593">
        <f>SUM(J295:N295)</f>
        <v>85</v>
      </c>
      <c r="J295" s="1595"/>
      <c r="K295" s="1595"/>
      <c r="L295" s="1595"/>
      <c r="M295" s="1595">
        <v>85</v>
      </c>
      <c r="N295" s="1592"/>
    </row>
    <row r="296" spans="1:16" s="1618" customFormat="1" ht="18" customHeight="1" x14ac:dyDescent="0.3">
      <c r="A296" s="1528">
        <v>357</v>
      </c>
      <c r="B296" s="1613"/>
      <c r="C296" s="1614"/>
      <c r="D296" s="1584" t="s">
        <v>745</v>
      </c>
      <c r="E296" s="1615"/>
      <c r="F296" s="1615"/>
      <c r="G296" s="1616"/>
      <c r="H296" s="1665"/>
      <c r="I296" s="1664">
        <f>SUM(J296:Q296)</f>
        <v>0</v>
      </c>
      <c r="J296" s="1597"/>
      <c r="K296" s="1597"/>
      <c r="L296" s="1597"/>
      <c r="M296" s="1597">
        <v>0</v>
      </c>
      <c r="N296" s="1592"/>
    </row>
    <row r="297" spans="1:16" s="1657" customFormat="1" ht="22.5" customHeight="1" x14ac:dyDescent="0.35">
      <c r="A297" s="1528">
        <v>359</v>
      </c>
      <c r="B297" s="1656"/>
      <c r="C297" s="1589">
        <v>50</v>
      </c>
      <c r="D297" s="1590" t="s">
        <v>225</v>
      </c>
      <c r="E297" s="1570">
        <f>SUM(E301,E310,E314,E318,E322,E326,E330,E334)+E306+E305</f>
        <v>10213</v>
      </c>
      <c r="F297" s="1570">
        <f>SUM(F301,F310,F314,F318,F322,F326,F330,F334)+F306+F305+F338</f>
        <v>49510</v>
      </c>
      <c r="G297" s="1570">
        <f>SUM(G301,G310,G314,G318,G322,G326,G330,G334)+G306+G305</f>
        <v>15255</v>
      </c>
      <c r="H297" s="1572"/>
      <c r="I297" s="1599"/>
      <c r="J297" s="1600"/>
      <c r="K297" s="1600"/>
      <c r="L297" s="1600"/>
      <c r="M297" s="1600"/>
      <c r="N297" s="1601"/>
      <c r="O297" s="1538"/>
      <c r="P297" s="1538"/>
    </row>
    <row r="298" spans="1:16" s="1618" customFormat="1" ht="18" customHeight="1" x14ac:dyDescent="0.3">
      <c r="A298" s="1528">
        <v>360</v>
      </c>
      <c r="B298" s="1613"/>
      <c r="C298" s="1614"/>
      <c r="D298" s="1569" t="s">
        <v>239</v>
      </c>
      <c r="E298" s="1615"/>
      <c r="F298" s="1615"/>
      <c r="G298" s="1616"/>
      <c r="H298" s="1617"/>
      <c r="I298" s="1573">
        <f>SUM(J298:N298)</f>
        <v>28100</v>
      </c>
      <c r="J298" s="1575">
        <f t="shared" ref="J298:N300" si="3">SUM(J302,J311,J315,J319,J323,J327,J331,J335)+J307</f>
        <v>0</v>
      </c>
      <c r="K298" s="1575">
        <f t="shared" si="3"/>
        <v>0</v>
      </c>
      <c r="L298" s="1575">
        <f t="shared" si="3"/>
        <v>0</v>
      </c>
      <c r="M298" s="1575">
        <f t="shared" si="3"/>
        <v>28100</v>
      </c>
      <c r="N298" s="1592">
        <f t="shared" si="3"/>
        <v>0</v>
      </c>
    </row>
    <row r="299" spans="1:16" s="1618" customFormat="1" ht="18" customHeight="1" x14ac:dyDescent="0.3">
      <c r="A299" s="1528">
        <v>361</v>
      </c>
      <c r="B299" s="1613"/>
      <c r="C299" s="1614"/>
      <c r="D299" s="1578" t="s">
        <v>702</v>
      </c>
      <c r="E299" s="1615"/>
      <c r="F299" s="1615"/>
      <c r="G299" s="1616"/>
      <c r="H299" s="1617"/>
      <c r="I299" s="1593">
        <f>SUM(J299:N299)</f>
        <v>29600</v>
      </c>
      <c r="J299" s="1595">
        <f t="shared" si="3"/>
        <v>0</v>
      </c>
      <c r="K299" s="1595">
        <f t="shared" si="3"/>
        <v>0</v>
      </c>
      <c r="L299" s="1595">
        <f t="shared" si="3"/>
        <v>0</v>
      </c>
      <c r="M299" s="1595">
        <f t="shared" si="3"/>
        <v>29600</v>
      </c>
      <c r="N299" s="1596">
        <f t="shared" si="3"/>
        <v>0</v>
      </c>
    </row>
    <row r="300" spans="1:16" s="1618" customFormat="1" ht="18" customHeight="1" x14ac:dyDescent="0.3">
      <c r="A300" s="1528">
        <v>362</v>
      </c>
      <c r="B300" s="1613"/>
      <c r="C300" s="1614"/>
      <c r="D300" s="1584" t="s">
        <v>745</v>
      </c>
      <c r="E300" s="1615"/>
      <c r="F300" s="1615"/>
      <c r="G300" s="1616"/>
      <c r="H300" s="1617"/>
      <c r="I300" s="1597">
        <f>SUM(J300:Q300)</f>
        <v>8803</v>
      </c>
      <c r="J300" s="1597">
        <f t="shared" si="3"/>
        <v>0</v>
      </c>
      <c r="K300" s="1597">
        <f>SUM(K304,K313,K317,K321,K325,K329,K333,K337)+K309</f>
        <v>0</v>
      </c>
      <c r="L300" s="1597">
        <f>SUM(L304,L313,L317,L321,L325,L329,L333,L337)+L309</f>
        <v>0</v>
      </c>
      <c r="M300" s="1597">
        <f>SUM(M304,M313,M317,M321,M325,M329,M333,M337)+M309</f>
        <v>8803</v>
      </c>
      <c r="N300" s="1598">
        <f t="shared" si="3"/>
        <v>0</v>
      </c>
    </row>
    <row r="301" spans="1:16" s="1658" customFormat="1" ht="18" customHeight="1" x14ac:dyDescent="0.3">
      <c r="A301" s="1528">
        <v>364</v>
      </c>
      <c r="B301" s="1619"/>
      <c r="C301" s="1568"/>
      <c r="D301" s="1621" t="s">
        <v>227</v>
      </c>
      <c r="E301" s="1570">
        <v>2811</v>
      </c>
      <c r="F301" s="1570">
        <v>3000</v>
      </c>
      <c r="G301" s="1571">
        <v>5397</v>
      </c>
      <c r="H301" s="1622" t="s">
        <v>23</v>
      </c>
      <c r="I301" s="1623"/>
      <c r="J301" s="1624"/>
      <c r="K301" s="1624"/>
      <c r="L301" s="1624"/>
      <c r="M301" s="1624"/>
      <c r="N301" s="1625"/>
      <c r="P301" s="1659"/>
    </row>
    <row r="302" spans="1:16" s="1660" customFormat="1" ht="18" customHeight="1" x14ac:dyDescent="0.3">
      <c r="A302" s="1528">
        <v>365</v>
      </c>
      <c r="B302" s="1642"/>
      <c r="C302" s="1614"/>
      <c r="D302" s="1638" t="s">
        <v>239</v>
      </c>
      <c r="E302" s="1615"/>
      <c r="F302" s="1615"/>
      <c r="G302" s="1616"/>
      <c r="H302" s="1646"/>
      <c r="I302" s="1628">
        <f>SUM(J302:N302)</f>
        <v>7990</v>
      </c>
      <c r="J302" s="1643"/>
      <c r="K302" s="1643"/>
      <c r="L302" s="1643"/>
      <c r="M302" s="1624">
        <f>5000+2990</f>
        <v>7990</v>
      </c>
      <c r="N302" s="1667"/>
      <c r="P302" s="1661"/>
    </row>
    <row r="303" spans="1:16" s="1660" customFormat="1" ht="18" customHeight="1" x14ac:dyDescent="0.3">
      <c r="A303" s="1528">
        <v>366</v>
      </c>
      <c r="B303" s="1642"/>
      <c r="C303" s="1614"/>
      <c r="D303" s="1629" t="s">
        <v>702</v>
      </c>
      <c r="E303" s="1615"/>
      <c r="F303" s="1615"/>
      <c r="G303" s="1616"/>
      <c r="H303" s="1646"/>
      <c r="I303" s="1630">
        <f>SUM(J303:N303)</f>
        <v>9490</v>
      </c>
      <c r="J303" s="1645"/>
      <c r="K303" s="1645"/>
      <c r="L303" s="1645"/>
      <c r="M303" s="1597">
        <v>9490</v>
      </c>
      <c r="N303" s="1667"/>
      <c r="P303" s="1661"/>
    </row>
    <row r="304" spans="1:16" s="1660" customFormat="1" ht="18" customHeight="1" x14ac:dyDescent="0.3">
      <c r="A304" s="1528">
        <v>367</v>
      </c>
      <c r="B304" s="1642"/>
      <c r="C304" s="1614"/>
      <c r="D304" s="1629" t="s">
        <v>745</v>
      </c>
      <c r="E304" s="1615"/>
      <c r="F304" s="1615"/>
      <c r="G304" s="1616"/>
      <c r="H304" s="1646"/>
      <c r="I304" s="1597">
        <f>SUM(J304:Q304)</f>
        <v>4214</v>
      </c>
      <c r="J304" s="1643"/>
      <c r="K304" s="1643"/>
      <c r="L304" s="1643"/>
      <c r="M304" s="1597">
        <v>4214</v>
      </c>
      <c r="N304" s="1667"/>
      <c r="P304" s="1661"/>
    </row>
    <row r="305" spans="1:16" s="1660" customFormat="1" ht="18" customHeight="1" x14ac:dyDescent="0.3">
      <c r="A305" s="1528">
        <v>369</v>
      </c>
      <c r="B305" s="1642"/>
      <c r="C305" s="1614"/>
      <c r="D305" s="1647" t="s">
        <v>333</v>
      </c>
      <c r="E305" s="1570"/>
      <c r="F305" s="1570"/>
      <c r="G305" s="1571"/>
      <c r="H305" s="1622" t="s">
        <v>24</v>
      </c>
      <c r="I305" s="1628"/>
      <c r="J305" s="1643"/>
      <c r="K305" s="1643"/>
      <c r="L305" s="1643"/>
      <c r="M305" s="1624"/>
      <c r="N305" s="1667"/>
      <c r="P305" s="1661"/>
    </row>
    <row r="306" spans="1:16" s="1658" customFormat="1" ht="18" customHeight="1" x14ac:dyDescent="0.3">
      <c r="A306" s="1528">
        <v>370</v>
      </c>
      <c r="B306" s="1619"/>
      <c r="C306" s="1568"/>
      <c r="D306" s="1647" t="s">
        <v>296</v>
      </c>
      <c r="E306" s="1570">
        <v>730</v>
      </c>
      <c r="F306" s="1570">
        <v>3000</v>
      </c>
      <c r="G306" s="1571">
        <v>1110</v>
      </c>
      <c r="H306" s="1622" t="s">
        <v>24</v>
      </c>
      <c r="I306" s="1628"/>
      <c r="J306" s="1624"/>
      <c r="K306" s="1624"/>
      <c r="L306" s="1624"/>
      <c r="M306" s="1624"/>
      <c r="N306" s="1625"/>
      <c r="P306" s="1659"/>
    </row>
    <row r="307" spans="1:16" s="1660" customFormat="1" ht="18" customHeight="1" x14ac:dyDescent="0.3">
      <c r="A307" s="1528">
        <v>371</v>
      </c>
      <c r="B307" s="1642"/>
      <c r="C307" s="1614"/>
      <c r="D307" s="1638" t="s">
        <v>239</v>
      </c>
      <c r="E307" s="1615"/>
      <c r="F307" s="1615"/>
      <c r="G307" s="1616"/>
      <c r="H307" s="1646"/>
      <c r="I307" s="1628">
        <f>SUM(J307:N307)</f>
        <v>2000</v>
      </c>
      <c r="J307" s="1645"/>
      <c r="K307" s="1645"/>
      <c r="L307" s="1645"/>
      <c r="M307" s="1624">
        <v>2000</v>
      </c>
      <c r="N307" s="1667"/>
      <c r="P307" s="1661"/>
    </row>
    <row r="308" spans="1:16" s="1660" customFormat="1" ht="18" customHeight="1" x14ac:dyDescent="0.3">
      <c r="A308" s="1528">
        <v>372</v>
      </c>
      <c r="B308" s="1642"/>
      <c r="C308" s="1614"/>
      <c r="D308" s="1629" t="s">
        <v>702</v>
      </c>
      <c r="E308" s="1615"/>
      <c r="F308" s="1615"/>
      <c r="G308" s="1616"/>
      <c r="H308" s="1646"/>
      <c r="I308" s="1630">
        <f>SUM(J308:N308)</f>
        <v>2000</v>
      </c>
      <c r="J308" s="1645"/>
      <c r="K308" s="1645"/>
      <c r="L308" s="1645"/>
      <c r="M308" s="1597">
        <v>2000</v>
      </c>
      <c r="N308" s="1667"/>
      <c r="P308" s="1661"/>
    </row>
    <row r="309" spans="1:16" s="1660" customFormat="1" ht="18" customHeight="1" x14ac:dyDescent="0.3">
      <c r="A309" s="1528">
        <v>373</v>
      </c>
      <c r="B309" s="1642"/>
      <c r="C309" s="1614"/>
      <c r="D309" s="1629" t="s">
        <v>745</v>
      </c>
      <c r="E309" s="1615"/>
      <c r="F309" s="1615"/>
      <c r="G309" s="1616"/>
      <c r="H309" s="1646"/>
      <c r="I309" s="1597">
        <f>SUM(J309:Q309)</f>
        <v>0</v>
      </c>
      <c r="J309" s="1643"/>
      <c r="K309" s="1643"/>
      <c r="L309" s="1643"/>
      <c r="M309" s="1597">
        <v>0</v>
      </c>
      <c r="N309" s="1667"/>
      <c r="P309" s="1661"/>
    </row>
    <row r="310" spans="1:16" s="1658" customFormat="1" ht="18" customHeight="1" x14ac:dyDescent="0.3">
      <c r="A310" s="1528">
        <v>375</v>
      </c>
      <c r="B310" s="1619"/>
      <c r="C310" s="1568"/>
      <c r="D310" s="1647" t="s">
        <v>257</v>
      </c>
      <c r="E310" s="1570">
        <v>5045</v>
      </c>
      <c r="F310" s="1570">
        <v>8000</v>
      </c>
      <c r="G310" s="1571">
        <v>5075</v>
      </c>
      <c r="H310" s="1622" t="s">
        <v>24</v>
      </c>
      <c r="I310" s="1662"/>
      <c r="J310" s="1632"/>
      <c r="K310" s="1632"/>
      <c r="L310" s="1632"/>
      <c r="M310" s="1632"/>
      <c r="N310" s="1633"/>
      <c r="P310" s="1659"/>
    </row>
    <row r="311" spans="1:16" s="1660" customFormat="1" ht="18" customHeight="1" x14ac:dyDescent="0.3">
      <c r="A311" s="1528">
        <v>376</v>
      </c>
      <c r="B311" s="1642"/>
      <c r="C311" s="1614"/>
      <c r="D311" s="1638" t="s">
        <v>239</v>
      </c>
      <c r="E311" s="1615"/>
      <c r="F311" s="1615"/>
      <c r="G311" s="1616"/>
      <c r="H311" s="1646"/>
      <c r="I311" s="1628">
        <f>SUM(J311:N311)</f>
        <v>8000</v>
      </c>
      <c r="J311" s="1643"/>
      <c r="K311" s="1643"/>
      <c r="L311" s="1643"/>
      <c r="M311" s="1624">
        <v>8000</v>
      </c>
      <c r="N311" s="1667"/>
      <c r="P311" s="1661"/>
    </row>
    <row r="312" spans="1:16" s="1660" customFormat="1" ht="18" customHeight="1" x14ac:dyDescent="0.3">
      <c r="A312" s="1528">
        <v>377</v>
      </c>
      <c r="B312" s="1642"/>
      <c r="C312" s="1614"/>
      <c r="D312" s="1629" t="s">
        <v>702</v>
      </c>
      <c r="E312" s="1615"/>
      <c r="F312" s="1615"/>
      <c r="G312" s="1616"/>
      <c r="H312" s="1646"/>
      <c r="I312" s="1630">
        <f>SUM(J312:N312)</f>
        <v>8000</v>
      </c>
      <c r="J312" s="1645"/>
      <c r="K312" s="1645"/>
      <c r="L312" s="1645"/>
      <c r="M312" s="1597">
        <v>8000</v>
      </c>
      <c r="N312" s="1667"/>
      <c r="P312" s="1661"/>
    </row>
    <row r="313" spans="1:16" s="1660" customFormat="1" ht="18" customHeight="1" x14ac:dyDescent="0.3">
      <c r="A313" s="1528">
        <v>378</v>
      </c>
      <c r="B313" s="1642"/>
      <c r="C313" s="1614"/>
      <c r="D313" s="1629" t="s">
        <v>745</v>
      </c>
      <c r="E313" s="1615"/>
      <c r="F313" s="1615"/>
      <c r="G313" s="1616"/>
      <c r="H313" s="1646"/>
      <c r="I313" s="1597">
        <f>SUM(J313:Q313)</f>
        <v>2532</v>
      </c>
      <c r="J313" s="1643"/>
      <c r="K313" s="1643"/>
      <c r="L313" s="1643"/>
      <c r="M313" s="1597">
        <v>2532</v>
      </c>
      <c r="N313" s="1667"/>
      <c r="P313" s="1661"/>
    </row>
    <row r="314" spans="1:16" s="1658" customFormat="1" ht="18" customHeight="1" x14ac:dyDescent="0.3">
      <c r="A314" s="1528">
        <v>380</v>
      </c>
      <c r="B314" s="1619"/>
      <c r="C314" s="1568"/>
      <c r="D314" s="1647" t="s">
        <v>258</v>
      </c>
      <c r="E314" s="1570"/>
      <c r="F314" s="1570">
        <v>100</v>
      </c>
      <c r="G314" s="1571"/>
      <c r="H314" s="1622" t="s">
        <v>24</v>
      </c>
      <c r="I314" s="1662"/>
      <c r="J314" s="1632"/>
      <c r="K314" s="1632"/>
      <c r="L314" s="1632"/>
      <c r="M314" s="1632"/>
      <c r="N314" s="1633"/>
      <c r="P314" s="1659"/>
    </row>
    <row r="315" spans="1:16" s="1660" customFormat="1" ht="18" customHeight="1" x14ac:dyDescent="0.3">
      <c r="A315" s="1528">
        <v>381</v>
      </c>
      <c r="B315" s="1642"/>
      <c r="C315" s="1614"/>
      <c r="D315" s="1638" t="s">
        <v>239</v>
      </c>
      <c r="E315" s="1615"/>
      <c r="F315" s="1615"/>
      <c r="G315" s="1616"/>
      <c r="H315" s="1646"/>
      <c r="I315" s="1628">
        <f>SUM(J315:N315)</f>
        <v>100</v>
      </c>
      <c r="J315" s="1643"/>
      <c r="K315" s="1643"/>
      <c r="L315" s="1643"/>
      <c r="M315" s="1624">
        <v>100</v>
      </c>
      <c r="N315" s="1667"/>
      <c r="P315" s="1661"/>
    </row>
    <row r="316" spans="1:16" s="1660" customFormat="1" ht="18" customHeight="1" x14ac:dyDescent="0.3">
      <c r="A316" s="1528">
        <v>382</v>
      </c>
      <c r="B316" s="1642"/>
      <c r="C316" s="1614"/>
      <c r="D316" s="1629" t="s">
        <v>702</v>
      </c>
      <c r="E316" s="1615"/>
      <c r="F316" s="1615"/>
      <c r="G316" s="1616"/>
      <c r="H316" s="1646"/>
      <c r="I316" s="1630">
        <f>SUM(J316:N316)</f>
        <v>100</v>
      </c>
      <c r="J316" s="1645"/>
      <c r="K316" s="1645"/>
      <c r="L316" s="1645"/>
      <c r="M316" s="1597">
        <v>100</v>
      </c>
      <c r="N316" s="1667"/>
      <c r="P316" s="1661"/>
    </row>
    <row r="317" spans="1:16" s="1660" customFormat="1" ht="18" customHeight="1" x14ac:dyDescent="0.3">
      <c r="A317" s="1528">
        <v>383</v>
      </c>
      <c r="B317" s="1642"/>
      <c r="C317" s="1614"/>
      <c r="D317" s="1629" t="s">
        <v>745</v>
      </c>
      <c r="E317" s="1615"/>
      <c r="F317" s="1615"/>
      <c r="G317" s="1616"/>
      <c r="H317" s="1646"/>
      <c r="I317" s="1585">
        <f>SUM(J317:Q317)</f>
        <v>0</v>
      </c>
      <c r="J317" s="1643"/>
      <c r="K317" s="1643"/>
      <c r="L317" s="1643"/>
      <c r="M317" s="1597">
        <v>0</v>
      </c>
      <c r="N317" s="1667"/>
      <c r="P317" s="1661"/>
    </row>
    <row r="318" spans="1:16" s="1658" customFormat="1" ht="18" customHeight="1" x14ac:dyDescent="0.3">
      <c r="A318" s="1528">
        <v>385</v>
      </c>
      <c r="B318" s="1619"/>
      <c r="C318" s="1568"/>
      <c r="D318" s="1647" t="s">
        <v>259</v>
      </c>
      <c r="E318" s="1570">
        <v>345</v>
      </c>
      <c r="F318" s="1570">
        <v>2000</v>
      </c>
      <c r="G318" s="1571">
        <v>2035</v>
      </c>
      <c r="H318" s="1622" t="s">
        <v>24</v>
      </c>
      <c r="I318" s="1662"/>
      <c r="J318" s="1632"/>
      <c r="K318" s="1632"/>
      <c r="L318" s="1632"/>
      <c r="M318" s="1632"/>
      <c r="N318" s="1633"/>
      <c r="P318" s="1659"/>
    </row>
    <row r="319" spans="1:16" s="1660" customFormat="1" ht="18" customHeight="1" x14ac:dyDescent="0.3">
      <c r="A319" s="1528">
        <v>386</v>
      </c>
      <c r="B319" s="1642"/>
      <c r="C319" s="1614"/>
      <c r="D319" s="1638" t="s">
        <v>239</v>
      </c>
      <c r="E319" s="1615"/>
      <c r="F319" s="1615"/>
      <c r="G319" s="1616"/>
      <c r="H319" s="1646"/>
      <c r="I319" s="1628">
        <f>SUM(J319:N319)</f>
        <v>6000</v>
      </c>
      <c r="J319" s="1643"/>
      <c r="K319" s="1643"/>
      <c r="L319" s="1643"/>
      <c r="M319" s="1624">
        <f>4000+2000</f>
        <v>6000</v>
      </c>
      <c r="N319" s="1667"/>
      <c r="P319" s="1661"/>
    </row>
    <row r="320" spans="1:16" s="1660" customFormat="1" ht="18" customHeight="1" x14ac:dyDescent="0.3">
      <c r="A320" s="1528">
        <v>387</v>
      </c>
      <c r="B320" s="1642"/>
      <c r="C320" s="1614"/>
      <c r="D320" s="1629" t="s">
        <v>702</v>
      </c>
      <c r="E320" s="1615"/>
      <c r="F320" s="1615"/>
      <c r="G320" s="1616"/>
      <c r="H320" s="1646"/>
      <c r="I320" s="1630">
        <f>SUM(J320:N320)</f>
        <v>6000</v>
      </c>
      <c r="J320" s="1645"/>
      <c r="K320" s="1645"/>
      <c r="L320" s="1645"/>
      <c r="M320" s="1597">
        <v>6000</v>
      </c>
      <c r="N320" s="1667"/>
      <c r="P320" s="1661"/>
    </row>
    <row r="321" spans="1:16" s="1660" customFormat="1" ht="18" customHeight="1" x14ac:dyDescent="0.3">
      <c r="A321" s="1528">
        <v>388</v>
      </c>
      <c r="B321" s="1642"/>
      <c r="C321" s="1614"/>
      <c r="D321" s="1629" t="s">
        <v>745</v>
      </c>
      <c r="E321" s="1615"/>
      <c r="F321" s="1615"/>
      <c r="G321" s="1616"/>
      <c r="H321" s="1646"/>
      <c r="I321" s="1585">
        <f>SUM(J321:Q321)</f>
        <v>1280</v>
      </c>
      <c r="J321" s="1643"/>
      <c r="K321" s="1643"/>
      <c r="L321" s="1643"/>
      <c r="M321" s="1597">
        <v>1280</v>
      </c>
      <c r="N321" s="1667"/>
      <c r="P321" s="1661"/>
    </row>
    <row r="322" spans="1:16" s="1658" customFormat="1" ht="18" customHeight="1" x14ac:dyDescent="0.3">
      <c r="A322" s="1528">
        <v>390</v>
      </c>
      <c r="B322" s="1619"/>
      <c r="C322" s="1568"/>
      <c r="D322" s="1647" t="s">
        <v>260</v>
      </c>
      <c r="E322" s="1570">
        <v>109</v>
      </c>
      <c r="F322" s="1570">
        <v>500</v>
      </c>
      <c r="G322" s="1571">
        <v>57</v>
      </c>
      <c r="H322" s="1622" t="s">
        <v>24</v>
      </c>
      <c r="I322" s="1662"/>
      <c r="J322" s="1632"/>
      <c r="K322" s="1632"/>
      <c r="L322" s="1632"/>
      <c r="M322" s="1632"/>
      <c r="N322" s="1633"/>
      <c r="P322" s="1659"/>
    </row>
    <row r="323" spans="1:16" s="1660" customFormat="1" ht="18" customHeight="1" x14ac:dyDescent="0.3">
      <c r="A323" s="1528">
        <v>391</v>
      </c>
      <c r="B323" s="1642"/>
      <c r="C323" s="1614"/>
      <c r="D323" s="1638" t="s">
        <v>239</v>
      </c>
      <c r="E323" s="1615"/>
      <c r="F323" s="1615"/>
      <c r="G323" s="1616"/>
      <c r="H323" s="1646"/>
      <c r="I323" s="1628">
        <f>SUM(J323:N323)</f>
        <v>500</v>
      </c>
      <c r="J323" s="1643"/>
      <c r="K323" s="1643"/>
      <c r="L323" s="1643"/>
      <c r="M323" s="1624">
        <v>500</v>
      </c>
      <c r="N323" s="1667"/>
      <c r="P323" s="1661"/>
    </row>
    <row r="324" spans="1:16" s="1660" customFormat="1" ht="18" customHeight="1" x14ac:dyDescent="0.3">
      <c r="A324" s="1528">
        <v>392</v>
      </c>
      <c r="B324" s="1642"/>
      <c r="C324" s="1614"/>
      <c r="D324" s="1629" t="s">
        <v>702</v>
      </c>
      <c r="E324" s="1615"/>
      <c r="F324" s="1615"/>
      <c r="G324" s="1616"/>
      <c r="H324" s="1646"/>
      <c r="I324" s="1630">
        <f>SUM(J324:N324)</f>
        <v>500</v>
      </c>
      <c r="J324" s="1645"/>
      <c r="K324" s="1645"/>
      <c r="L324" s="1645"/>
      <c r="M324" s="1597">
        <v>500</v>
      </c>
      <c r="N324" s="1667"/>
      <c r="P324" s="1661"/>
    </row>
    <row r="325" spans="1:16" s="1660" customFormat="1" ht="18" customHeight="1" x14ac:dyDescent="0.3">
      <c r="A325" s="1528">
        <v>393</v>
      </c>
      <c r="B325" s="1642"/>
      <c r="C325" s="1614"/>
      <c r="D325" s="1629" t="s">
        <v>745</v>
      </c>
      <c r="E325" s="1615"/>
      <c r="F325" s="1615"/>
      <c r="G325" s="1616"/>
      <c r="H325" s="1646"/>
      <c r="I325" s="1585">
        <f>SUM(J325:Q325)</f>
        <v>0</v>
      </c>
      <c r="J325" s="1643"/>
      <c r="K325" s="1643"/>
      <c r="L325" s="1643"/>
      <c r="M325" s="1597">
        <v>0</v>
      </c>
      <c r="N325" s="1667"/>
      <c r="P325" s="1661"/>
    </row>
    <row r="326" spans="1:16" s="1658" customFormat="1" ht="18" customHeight="1" x14ac:dyDescent="0.3">
      <c r="A326" s="1528">
        <v>395</v>
      </c>
      <c r="B326" s="1619"/>
      <c r="C326" s="1568"/>
      <c r="D326" s="1647" t="s">
        <v>261</v>
      </c>
      <c r="E326" s="1570">
        <v>945</v>
      </c>
      <c r="F326" s="1570">
        <v>2000</v>
      </c>
      <c r="G326" s="1571">
        <v>1290</v>
      </c>
      <c r="H326" s="1622" t="s">
        <v>24</v>
      </c>
      <c r="I326" s="1662"/>
      <c r="J326" s="1632"/>
      <c r="K326" s="1632"/>
      <c r="L326" s="1632"/>
      <c r="M326" s="1632"/>
      <c r="N326" s="1633"/>
      <c r="P326" s="1659"/>
    </row>
    <row r="327" spans="1:16" s="1660" customFormat="1" ht="18" customHeight="1" x14ac:dyDescent="0.3">
      <c r="A327" s="1528">
        <v>396</v>
      </c>
      <c r="B327" s="1642"/>
      <c r="C327" s="1614"/>
      <c r="D327" s="1638" t="s">
        <v>239</v>
      </c>
      <c r="E327" s="1615"/>
      <c r="F327" s="1615"/>
      <c r="G327" s="1616"/>
      <c r="H327" s="1646"/>
      <c r="I327" s="1628">
        <f>SUM(J327:N327)</f>
        <v>2000</v>
      </c>
      <c r="J327" s="1643"/>
      <c r="K327" s="1643"/>
      <c r="L327" s="1643"/>
      <c r="M327" s="1624">
        <v>2000</v>
      </c>
      <c r="N327" s="1667"/>
      <c r="P327" s="1661"/>
    </row>
    <row r="328" spans="1:16" s="1660" customFormat="1" ht="18" customHeight="1" x14ac:dyDescent="0.3">
      <c r="A328" s="1528">
        <v>397</v>
      </c>
      <c r="B328" s="1642"/>
      <c r="C328" s="1614"/>
      <c r="D328" s="1629" t="s">
        <v>702</v>
      </c>
      <c r="E328" s="1615"/>
      <c r="F328" s="1615"/>
      <c r="G328" s="1616"/>
      <c r="H328" s="1646"/>
      <c r="I328" s="1630">
        <f>SUM(J328:N328)</f>
        <v>2000</v>
      </c>
      <c r="J328" s="1645"/>
      <c r="K328" s="1645"/>
      <c r="L328" s="1645"/>
      <c r="M328" s="1597">
        <v>2000</v>
      </c>
      <c r="N328" s="1667"/>
      <c r="P328" s="1661"/>
    </row>
    <row r="329" spans="1:16" s="1660" customFormat="1" ht="18" customHeight="1" x14ac:dyDescent="0.3">
      <c r="A329" s="1528">
        <v>398</v>
      </c>
      <c r="B329" s="1642"/>
      <c r="C329" s="1614"/>
      <c r="D329" s="1629" t="s">
        <v>745</v>
      </c>
      <c r="E329" s="1615"/>
      <c r="F329" s="1615"/>
      <c r="G329" s="1616"/>
      <c r="H329" s="1646"/>
      <c r="I329" s="1585">
        <f>SUM(J329:Q329)</f>
        <v>720</v>
      </c>
      <c r="J329" s="1643"/>
      <c r="K329" s="1643"/>
      <c r="L329" s="1643"/>
      <c r="M329" s="1597">
        <v>720</v>
      </c>
      <c r="N329" s="1667"/>
      <c r="P329" s="1661"/>
    </row>
    <row r="330" spans="1:16" s="1658" customFormat="1" ht="18" customHeight="1" x14ac:dyDescent="0.3">
      <c r="A330" s="1528">
        <v>400</v>
      </c>
      <c r="B330" s="1619"/>
      <c r="C330" s="1568"/>
      <c r="D330" s="1647" t="s">
        <v>262</v>
      </c>
      <c r="E330" s="1570"/>
      <c r="F330" s="1570">
        <v>400</v>
      </c>
      <c r="G330" s="1571"/>
      <c r="H330" s="1622" t="s">
        <v>24</v>
      </c>
      <c r="I330" s="1662"/>
      <c r="J330" s="1632"/>
      <c r="K330" s="1632"/>
      <c r="L330" s="1632"/>
      <c r="M330" s="1632"/>
      <c r="N330" s="1633"/>
      <c r="P330" s="1659"/>
    </row>
    <row r="331" spans="1:16" s="1660" customFormat="1" ht="18" customHeight="1" x14ac:dyDescent="0.3">
      <c r="A331" s="1528">
        <v>401</v>
      </c>
      <c r="B331" s="1642"/>
      <c r="C331" s="1614"/>
      <c r="D331" s="1638" t="s">
        <v>239</v>
      </c>
      <c r="E331" s="1615"/>
      <c r="F331" s="1615"/>
      <c r="G331" s="1616"/>
      <c r="H331" s="1646"/>
      <c r="I331" s="1628">
        <f>SUM(J331:N331)</f>
        <v>1000</v>
      </c>
      <c r="J331" s="1643"/>
      <c r="K331" s="1643"/>
      <c r="L331" s="1643"/>
      <c r="M331" s="1624">
        <f>400+600</f>
        <v>1000</v>
      </c>
      <c r="N331" s="1667"/>
      <c r="P331" s="1661"/>
    </row>
    <row r="332" spans="1:16" s="1660" customFormat="1" ht="18" customHeight="1" x14ac:dyDescent="0.3">
      <c r="A332" s="1528">
        <v>402</v>
      </c>
      <c r="B332" s="1642"/>
      <c r="C332" s="1614"/>
      <c r="D332" s="1629" t="s">
        <v>702</v>
      </c>
      <c r="E332" s="1615"/>
      <c r="F332" s="1615"/>
      <c r="G332" s="1616"/>
      <c r="H332" s="1646"/>
      <c r="I332" s="1630">
        <f>SUM(J332:N332)</f>
        <v>1000</v>
      </c>
      <c r="J332" s="1645"/>
      <c r="K332" s="1645"/>
      <c r="L332" s="1645"/>
      <c r="M332" s="1597">
        <v>1000</v>
      </c>
      <c r="N332" s="1667"/>
      <c r="P332" s="1661"/>
    </row>
    <row r="333" spans="1:16" s="1660" customFormat="1" ht="18" customHeight="1" x14ac:dyDescent="0.3">
      <c r="A333" s="1528">
        <v>403</v>
      </c>
      <c r="B333" s="1642"/>
      <c r="C333" s="1614"/>
      <c r="D333" s="1629" t="s">
        <v>745</v>
      </c>
      <c r="E333" s="1615"/>
      <c r="F333" s="1615"/>
      <c r="G333" s="1616"/>
      <c r="H333" s="1646"/>
      <c r="I333" s="1585">
        <f>SUM(J333:Q333)</f>
        <v>0</v>
      </c>
      <c r="J333" s="1643"/>
      <c r="K333" s="1643"/>
      <c r="L333" s="1643"/>
      <c r="M333" s="1597">
        <v>0</v>
      </c>
      <c r="N333" s="1667"/>
      <c r="P333" s="1661"/>
    </row>
    <row r="334" spans="1:16" s="1658" customFormat="1" ht="18" customHeight="1" x14ac:dyDescent="0.3">
      <c r="A334" s="1528">
        <v>405</v>
      </c>
      <c r="B334" s="1619"/>
      <c r="C334" s="1568"/>
      <c r="D334" s="1647" t="s">
        <v>263</v>
      </c>
      <c r="E334" s="1570">
        <v>228</v>
      </c>
      <c r="F334" s="1570">
        <v>510</v>
      </c>
      <c r="G334" s="1571">
        <v>291</v>
      </c>
      <c r="H334" s="1622" t="s">
        <v>24</v>
      </c>
      <c r="I334" s="1628"/>
      <c r="J334" s="1624"/>
      <c r="K334" s="1624"/>
      <c r="L334" s="1624"/>
      <c r="M334" s="1624"/>
      <c r="N334" s="1625"/>
      <c r="P334" s="1659"/>
    </row>
    <row r="335" spans="1:16" s="1660" customFormat="1" ht="18" customHeight="1" x14ac:dyDescent="0.3">
      <c r="A335" s="1528">
        <v>406</v>
      </c>
      <c r="B335" s="1642"/>
      <c r="C335" s="1614"/>
      <c r="D335" s="1638" t="s">
        <v>239</v>
      </c>
      <c r="E335" s="1615"/>
      <c r="F335" s="1615"/>
      <c r="G335" s="1616"/>
      <c r="H335" s="1646"/>
      <c r="I335" s="1628">
        <f>SUM(J335:N335)</f>
        <v>510</v>
      </c>
      <c r="J335" s="1643"/>
      <c r="K335" s="1643"/>
      <c r="L335" s="1643"/>
      <c r="M335" s="1624">
        <v>510</v>
      </c>
      <c r="N335" s="1667"/>
      <c r="P335" s="1661"/>
    </row>
    <row r="336" spans="1:16" s="1660" customFormat="1" ht="18" customHeight="1" x14ac:dyDescent="0.3">
      <c r="A336" s="1528">
        <v>407</v>
      </c>
      <c r="B336" s="1642"/>
      <c r="C336" s="1614"/>
      <c r="D336" s="1629" t="s">
        <v>702</v>
      </c>
      <c r="E336" s="1615"/>
      <c r="F336" s="1615"/>
      <c r="G336" s="1616"/>
      <c r="H336" s="1646"/>
      <c r="I336" s="1630">
        <f>SUM(J336:N336)</f>
        <v>510</v>
      </c>
      <c r="J336" s="1645"/>
      <c r="K336" s="1645"/>
      <c r="L336" s="1645"/>
      <c r="M336" s="1597">
        <v>510</v>
      </c>
      <c r="N336" s="1667"/>
      <c r="P336" s="1661"/>
    </row>
    <row r="337" spans="1:16" s="1660" customFormat="1" ht="18" customHeight="1" x14ac:dyDescent="0.3">
      <c r="A337" s="1528">
        <v>408</v>
      </c>
      <c r="B337" s="1642"/>
      <c r="C337" s="1614"/>
      <c r="D337" s="1629" t="s">
        <v>745</v>
      </c>
      <c r="E337" s="1615"/>
      <c r="F337" s="1615"/>
      <c r="G337" s="1616"/>
      <c r="H337" s="1646"/>
      <c r="I337" s="1585">
        <f>SUM(J337:Q337)</f>
        <v>57</v>
      </c>
      <c r="J337" s="1643"/>
      <c r="K337" s="1643"/>
      <c r="L337" s="1643"/>
      <c r="M337" s="1597">
        <f>58-1</f>
        <v>57</v>
      </c>
      <c r="N337" s="1667"/>
      <c r="P337" s="1661"/>
    </row>
    <row r="338" spans="1:16" s="1660" customFormat="1" ht="18" customHeight="1" x14ac:dyDescent="0.3">
      <c r="A338" s="1528">
        <v>410</v>
      </c>
      <c r="B338" s="1642"/>
      <c r="C338" s="1614"/>
      <c r="D338" s="1647" t="s">
        <v>428</v>
      </c>
      <c r="E338" s="1615"/>
      <c r="F338" s="1570">
        <v>30000</v>
      </c>
      <c r="G338" s="1616"/>
      <c r="H338" s="1622" t="s">
        <v>24</v>
      </c>
      <c r="I338" s="1664"/>
      <c r="J338" s="1643"/>
      <c r="K338" s="1643"/>
      <c r="L338" s="1643"/>
      <c r="M338" s="1624"/>
      <c r="N338" s="1667"/>
      <c r="P338" s="1661"/>
    </row>
    <row r="339" spans="1:16" s="1566" customFormat="1" ht="22.5" customHeight="1" x14ac:dyDescent="0.3">
      <c r="A339" s="1528">
        <v>411</v>
      </c>
      <c r="B339" s="1588"/>
      <c r="C339" s="1589">
        <v>51</v>
      </c>
      <c r="D339" s="1590" t="s">
        <v>60</v>
      </c>
      <c r="E339" s="1570">
        <v>3840</v>
      </c>
      <c r="F339" s="1570">
        <v>7000</v>
      </c>
      <c r="G339" s="1571">
        <v>4706</v>
      </c>
      <c r="H339" s="1572" t="s">
        <v>23</v>
      </c>
      <c r="I339" s="1573"/>
      <c r="J339" s="1574"/>
      <c r="K339" s="1574"/>
      <c r="L339" s="1574"/>
      <c r="M339" s="1574"/>
      <c r="N339" s="1576"/>
      <c r="P339" s="1577"/>
    </row>
    <row r="340" spans="1:16" s="1618" customFormat="1" ht="18" customHeight="1" x14ac:dyDescent="0.3">
      <c r="A340" s="1528">
        <v>412</v>
      </c>
      <c r="B340" s="1613"/>
      <c r="C340" s="1614"/>
      <c r="D340" s="1569" t="s">
        <v>239</v>
      </c>
      <c r="E340" s="1615"/>
      <c r="F340" s="1615"/>
      <c r="G340" s="1616"/>
      <c r="H340" s="1617"/>
      <c r="I340" s="1573">
        <f>SUM(J340:N340)</f>
        <v>7000</v>
      </c>
      <c r="J340" s="1575"/>
      <c r="K340" s="1575"/>
      <c r="L340" s="1575"/>
      <c r="M340" s="1575">
        <v>7000</v>
      </c>
      <c r="N340" s="1592"/>
    </row>
    <row r="341" spans="1:16" s="1618" customFormat="1" ht="18" customHeight="1" x14ac:dyDescent="0.3">
      <c r="A341" s="1528">
        <v>413</v>
      </c>
      <c r="B341" s="1613"/>
      <c r="C341" s="1614"/>
      <c r="D341" s="1578" t="s">
        <v>702</v>
      </c>
      <c r="E341" s="1615"/>
      <c r="F341" s="1615"/>
      <c r="G341" s="1616"/>
      <c r="H341" s="1617"/>
      <c r="I341" s="1593">
        <f>SUM(J341:N341)</f>
        <v>7000</v>
      </c>
      <c r="J341" s="1595"/>
      <c r="K341" s="1595"/>
      <c r="L341" s="1595"/>
      <c r="M341" s="1595">
        <v>7000</v>
      </c>
      <c r="N341" s="1592"/>
    </row>
    <row r="342" spans="1:16" s="1618" customFormat="1" ht="18" customHeight="1" x14ac:dyDescent="0.3">
      <c r="A342" s="1528">
        <v>414</v>
      </c>
      <c r="B342" s="1613"/>
      <c r="C342" s="1614"/>
      <c r="D342" s="1584" t="s">
        <v>745</v>
      </c>
      <c r="E342" s="1615"/>
      <c r="F342" s="1615"/>
      <c r="G342" s="1616"/>
      <c r="H342" s="1617"/>
      <c r="I342" s="1585">
        <f>SUM(J342:Q342)</f>
        <v>2197</v>
      </c>
      <c r="J342" s="1597"/>
      <c r="K342" s="1597"/>
      <c r="L342" s="1597"/>
      <c r="M342" s="1597">
        <v>2197</v>
      </c>
      <c r="N342" s="1592"/>
    </row>
    <row r="343" spans="1:16" s="1657" customFormat="1" ht="22.5" customHeight="1" x14ac:dyDescent="0.35">
      <c r="A343" s="1528">
        <v>416</v>
      </c>
      <c r="B343" s="1656"/>
      <c r="C343" s="1589">
        <v>52</v>
      </c>
      <c r="D343" s="1590" t="s">
        <v>61</v>
      </c>
      <c r="E343" s="1570">
        <v>1474</v>
      </c>
      <c r="F343" s="1570">
        <v>4910</v>
      </c>
      <c r="G343" s="1571">
        <v>1693</v>
      </c>
      <c r="H343" s="1572" t="s">
        <v>23</v>
      </c>
      <c r="I343" s="1573"/>
      <c r="J343" s="1574"/>
      <c r="K343" s="1574"/>
      <c r="L343" s="1574"/>
      <c r="M343" s="1574"/>
      <c r="N343" s="1576"/>
      <c r="P343" s="1538"/>
    </row>
    <row r="344" spans="1:16" s="1618" customFormat="1" ht="18" customHeight="1" x14ac:dyDescent="0.3">
      <c r="A344" s="1528">
        <v>417</v>
      </c>
      <c r="B344" s="1613"/>
      <c r="C344" s="1614"/>
      <c r="D344" s="1569" t="s">
        <v>239</v>
      </c>
      <c r="E344" s="1615"/>
      <c r="F344" s="1615"/>
      <c r="G344" s="1616"/>
      <c r="H344" s="1617"/>
      <c r="I344" s="1573">
        <f>SUM(J344:N344)</f>
        <v>6177</v>
      </c>
      <c r="J344" s="1575">
        <v>5800</v>
      </c>
      <c r="K344" s="1575">
        <v>377</v>
      </c>
      <c r="L344" s="1575"/>
      <c r="M344" s="1575"/>
      <c r="N344" s="1592"/>
    </row>
    <row r="345" spans="1:16" s="1618" customFormat="1" ht="18" customHeight="1" x14ac:dyDescent="0.3">
      <c r="A345" s="1528">
        <v>418</v>
      </c>
      <c r="B345" s="1613"/>
      <c r="C345" s="1614"/>
      <c r="D345" s="1578" t="s">
        <v>702</v>
      </c>
      <c r="E345" s="1615"/>
      <c r="F345" s="1615"/>
      <c r="G345" s="1616"/>
      <c r="H345" s="1617"/>
      <c r="I345" s="1593">
        <f>SUM(J345:N345)</f>
        <v>6177</v>
      </c>
      <c r="J345" s="1595">
        <v>5800</v>
      </c>
      <c r="K345" s="1595">
        <v>377</v>
      </c>
      <c r="L345" s="1575"/>
      <c r="M345" s="1575"/>
      <c r="N345" s="1592"/>
    </row>
    <row r="346" spans="1:16" s="1618" customFormat="1" ht="18" customHeight="1" x14ac:dyDescent="0.3">
      <c r="A346" s="1528">
        <v>419</v>
      </c>
      <c r="B346" s="1613"/>
      <c r="C346" s="1614"/>
      <c r="D346" s="1584" t="s">
        <v>745</v>
      </c>
      <c r="E346" s="1615"/>
      <c r="F346" s="1615"/>
      <c r="G346" s="1616"/>
      <c r="H346" s="1617"/>
      <c r="I346" s="1585">
        <f>SUM(J346:Q346)</f>
        <v>897</v>
      </c>
      <c r="J346" s="1597">
        <v>839</v>
      </c>
      <c r="K346" s="1597">
        <v>58</v>
      </c>
      <c r="L346" s="1575"/>
      <c r="M346" s="1575"/>
      <c r="N346" s="1592"/>
    </row>
    <row r="347" spans="1:16" s="1657" customFormat="1" ht="22.5" customHeight="1" x14ac:dyDescent="0.35">
      <c r="A347" s="1528">
        <v>421</v>
      </c>
      <c r="B347" s="1656"/>
      <c r="C347" s="1589">
        <v>53</v>
      </c>
      <c r="D347" s="1590" t="s">
        <v>216</v>
      </c>
      <c r="E347" s="1570">
        <v>577</v>
      </c>
      <c r="F347" s="1570">
        <v>3334</v>
      </c>
      <c r="G347" s="1571">
        <v>216</v>
      </c>
      <c r="H347" s="1572" t="s">
        <v>24</v>
      </c>
      <c r="I347" s="1573"/>
      <c r="J347" s="1574"/>
      <c r="K347" s="1574"/>
      <c r="L347" s="1574"/>
      <c r="M347" s="1574"/>
      <c r="N347" s="1576"/>
      <c r="P347" s="1538"/>
    </row>
    <row r="348" spans="1:16" s="1618" customFormat="1" ht="18" customHeight="1" x14ac:dyDescent="0.3">
      <c r="A348" s="1528">
        <v>422</v>
      </c>
      <c r="B348" s="1613"/>
      <c r="C348" s="1614"/>
      <c r="D348" s="1569" t="s">
        <v>239</v>
      </c>
      <c r="E348" s="1615"/>
      <c r="F348" s="1615"/>
      <c r="G348" s="1616"/>
      <c r="H348" s="1617"/>
      <c r="I348" s="1573">
        <f>SUM(J348:N348)</f>
        <v>4407</v>
      </c>
      <c r="J348" s="1575">
        <v>3900</v>
      </c>
      <c r="K348" s="1575">
        <v>507</v>
      </c>
      <c r="L348" s="1575"/>
      <c r="M348" s="1575"/>
      <c r="N348" s="1592"/>
    </row>
    <row r="349" spans="1:16" s="1618" customFormat="1" ht="18" customHeight="1" x14ac:dyDescent="0.3">
      <c r="A349" s="1528">
        <v>423</v>
      </c>
      <c r="B349" s="1613"/>
      <c r="C349" s="1614"/>
      <c r="D349" s="1578" t="s">
        <v>702</v>
      </c>
      <c r="E349" s="1615"/>
      <c r="F349" s="1615"/>
      <c r="G349" s="1616"/>
      <c r="H349" s="1617"/>
      <c r="I349" s="1593">
        <f>SUM(J349:N349)</f>
        <v>4407</v>
      </c>
      <c r="J349" s="1595">
        <v>3900</v>
      </c>
      <c r="K349" s="1595">
        <v>507</v>
      </c>
      <c r="L349" s="1575"/>
      <c r="M349" s="1575"/>
      <c r="N349" s="1592"/>
    </row>
    <row r="350" spans="1:16" s="1618" customFormat="1" ht="18" customHeight="1" x14ac:dyDescent="0.3">
      <c r="A350" s="1528">
        <v>424</v>
      </c>
      <c r="B350" s="1613"/>
      <c r="C350" s="1614"/>
      <c r="D350" s="1584" t="s">
        <v>745</v>
      </c>
      <c r="E350" s="1615"/>
      <c r="F350" s="1615"/>
      <c r="G350" s="1616"/>
      <c r="H350" s="1617"/>
      <c r="I350" s="1585">
        <f>SUM(J350:Q350)</f>
        <v>0</v>
      </c>
      <c r="J350" s="1597">
        <v>0</v>
      </c>
      <c r="K350" s="1597">
        <v>0</v>
      </c>
      <c r="L350" s="1575"/>
      <c r="M350" s="1575"/>
      <c r="N350" s="1592"/>
    </row>
    <row r="351" spans="1:16" s="1657" customFormat="1" ht="22.5" customHeight="1" x14ac:dyDescent="0.35">
      <c r="A351" s="1528">
        <v>426</v>
      </c>
      <c r="B351" s="1656"/>
      <c r="C351" s="1589">
        <v>54</v>
      </c>
      <c r="D351" s="1590" t="s">
        <v>62</v>
      </c>
      <c r="E351" s="1570"/>
      <c r="F351" s="1570">
        <v>100</v>
      </c>
      <c r="G351" s="1571"/>
      <c r="H351" s="1572" t="s">
        <v>24</v>
      </c>
      <c r="I351" s="1573"/>
      <c r="J351" s="1574"/>
      <c r="K351" s="1574"/>
      <c r="L351" s="1574"/>
      <c r="M351" s="1574"/>
      <c r="N351" s="1576"/>
      <c r="P351" s="1538"/>
    </row>
    <row r="352" spans="1:16" s="1618" customFormat="1" ht="18" customHeight="1" x14ac:dyDescent="0.3">
      <c r="A352" s="1528">
        <v>427</v>
      </c>
      <c r="B352" s="1613"/>
      <c r="C352" s="1614"/>
      <c r="D352" s="1569" t="s">
        <v>239</v>
      </c>
      <c r="E352" s="1615"/>
      <c r="F352" s="1615"/>
      <c r="G352" s="1616"/>
      <c r="H352" s="1617"/>
      <c r="I352" s="1573">
        <f>SUM(J352:N352)</f>
        <v>100</v>
      </c>
      <c r="J352" s="1575"/>
      <c r="K352" s="1575"/>
      <c r="L352" s="1575"/>
      <c r="M352" s="1575">
        <v>100</v>
      </c>
      <c r="N352" s="1592"/>
    </row>
    <row r="353" spans="1:16" s="1618" customFormat="1" ht="18" customHeight="1" x14ac:dyDescent="0.3">
      <c r="A353" s="1528">
        <v>428</v>
      </c>
      <c r="B353" s="1613"/>
      <c r="C353" s="1614"/>
      <c r="D353" s="1578" t="s">
        <v>702</v>
      </c>
      <c r="E353" s="1615"/>
      <c r="F353" s="1615"/>
      <c r="G353" s="1616"/>
      <c r="H353" s="1617"/>
      <c r="I353" s="1593">
        <f>SUM(J353:N353)</f>
        <v>100</v>
      </c>
      <c r="J353" s="1595"/>
      <c r="K353" s="1595"/>
      <c r="L353" s="1595"/>
      <c r="M353" s="1595">
        <v>100</v>
      </c>
      <c r="N353" s="1592"/>
    </row>
    <row r="354" spans="1:16" s="1618" customFormat="1" ht="18" customHeight="1" x14ac:dyDescent="0.3">
      <c r="A354" s="1528">
        <v>429</v>
      </c>
      <c r="B354" s="1613"/>
      <c r="C354" s="1614"/>
      <c r="D354" s="1584" t="s">
        <v>745</v>
      </c>
      <c r="E354" s="1615"/>
      <c r="F354" s="1615"/>
      <c r="G354" s="1616"/>
      <c r="H354" s="1617"/>
      <c r="I354" s="1585">
        <f>SUM(J354:Q354)</f>
        <v>0</v>
      </c>
      <c r="J354" s="1575"/>
      <c r="K354" s="1575"/>
      <c r="L354" s="1575"/>
      <c r="M354" s="1597">
        <v>0</v>
      </c>
      <c r="N354" s="1592"/>
    </row>
    <row r="355" spans="1:16" s="1657" customFormat="1" ht="22.5" customHeight="1" x14ac:dyDescent="0.35">
      <c r="A355" s="1528">
        <v>431</v>
      </c>
      <c r="B355" s="1656"/>
      <c r="C355" s="1589">
        <v>56</v>
      </c>
      <c r="D355" s="1590" t="s">
        <v>237</v>
      </c>
      <c r="E355" s="1570">
        <v>12000</v>
      </c>
      <c r="F355" s="1570">
        <v>12000</v>
      </c>
      <c r="G355" s="1571">
        <v>12000</v>
      </c>
      <c r="H355" s="1572" t="s">
        <v>23</v>
      </c>
      <c r="I355" s="1573"/>
      <c r="J355" s="1574"/>
      <c r="K355" s="1574"/>
      <c r="L355" s="1574"/>
      <c r="M355" s="1574"/>
      <c r="N355" s="1576"/>
      <c r="P355" s="1538"/>
    </row>
    <row r="356" spans="1:16" s="1618" customFormat="1" ht="18" customHeight="1" x14ac:dyDescent="0.3">
      <c r="A356" s="1528">
        <v>432</v>
      </c>
      <c r="B356" s="1613"/>
      <c r="C356" s="1614"/>
      <c r="D356" s="1569" t="s">
        <v>239</v>
      </c>
      <c r="E356" s="1615"/>
      <c r="F356" s="1615"/>
      <c r="G356" s="1616"/>
      <c r="H356" s="1617"/>
      <c r="I356" s="1573">
        <f>SUM(J356:N356)</f>
        <v>12000</v>
      </c>
      <c r="J356" s="1575"/>
      <c r="K356" s="1575"/>
      <c r="L356" s="1575"/>
      <c r="M356" s="1575"/>
      <c r="N356" s="1592">
        <v>12000</v>
      </c>
    </row>
    <row r="357" spans="1:16" s="1618" customFormat="1" ht="18" customHeight="1" x14ac:dyDescent="0.3">
      <c r="A357" s="1528">
        <v>433</v>
      </c>
      <c r="B357" s="1613"/>
      <c r="C357" s="1614"/>
      <c r="D357" s="1578" t="s">
        <v>702</v>
      </c>
      <c r="E357" s="1615"/>
      <c r="F357" s="1615"/>
      <c r="G357" s="1616"/>
      <c r="H357" s="1617"/>
      <c r="I357" s="1593">
        <f>SUM(J357:N357)</f>
        <v>12000</v>
      </c>
      <c r="J357" s="1595"/>
      <c r="K357" s="1595"/>
      <c r="L357" s="1595"/>
      <c r="M357" s="1595"/>
      <c r="N357" s="1596">
        <v>12000</v>
      </c>
    </row>
    <row r="358" spans="1:16" s="1618" customFormat="1" ht="18" customHeight="1" x14ac:dyDescent="0.3">
      <c r="A358" s="1528">
        <v>434</v>
      </c>
      <c r="B358" s="1613"/>
      <c r="C358" s="1614"/>
      <c r="D358" s="1584" t="s">
        <v>745</v>
      </c>
      <c r="E358" s="1615"/>
      <c r="F358" s="1615"/>
      <c r="G358" s="1616"/>
      <c r="H358" s="1617"/>
      <c r="I358" s="1585">
        <f>SUM(J358:Q358)</f>
        <v>6000</v>
      </c>
      <c r="J358" s="1597"/>
      <c r="K358" s="1597"/>
      <c r="L358" s="1597"/>
      <c r="M358" s="1597"/>
      <c r="N358" s="1598">
        <v>6000</v>
      </c>
    </row>
    <row r="359" spans="1:16" s="1657" customFormat="1" ht="22.5" customHeight="1" x14ac:dyDescent="0.35">
      <c r="A359" s="1528">
        <v>436</v>
      </c>
      <c r="B359" s="1656"/>
      <c r="C359" s="1589">
        <v>57</v>
      </c>
      <c r="D359" s="1590" t="s">
        <v>63</v>
      </c>
      <c r="E359" s="1570">
        <v>80000</v>
      </c>
      <c r="F359" s="1570">
        <v>85000</v>
      </c>
      <c r="G359" s="1571">
        <v>85000</v>
      </c>
      <c r="H359" s="1572" t="s">
        <v>23</v>
      </c>
      <c r="I359" s="1573"/>
      <c r="J359" s="1574"/>
      <c r="K359" s="1574"/>
      <c r="L359" s="1574"/>
      <c r="M359" s="1574"/>
      <c r="N359" s="1576"/>
      <c r="P359" s="1538"/>
    </row>
    <row r="360" spans="1:16" s="1618" customFormat="1" ht="18" customHeight="1" x14ac:dyDescent="0.3">
      <c r="A360" s="1528">
        <v>437</v>
      </c>
      <c r="B360" s="1613"/>
      <c r="C360" s="1614"/>
      <c r="D360" s="1569" t="s">
        <v>239</v>
      </c>
      <c r="E360" s="1615"/>
      <c r="F360" s="1615"/>
      <c r="G360" s="1616"/>
      <c r="H360" s="1617"/>
      <c r="I360" s="1573">
        <f>SUM(J360:N360)</f>
        <v>85000</v>
      </c>
      <c r="J360" s="1575"/>
      <c r="K360" s="1575"/>
      <c r="L360" s="1575"/>
      <c r="M360" s="1575"/>
      <c r="N360" s="1592">
        <v>85000</v>
      </c>
    </row>
    <row r="361" spans="1:16" s="1618" customFormat="1" ht="18" customHeight="1" x14ac:dyDescent="0.3">
      <c r="A361" s="1528">
        <v>438</v>
      </c>
      <c r="B361" s="1613"/>
      <c r="C361" s="1614"/>
      <c r="D361" s="1578" t="s">
        <v>702</v>
      </c>
      <c r="E361" s="1615"/>
      <c r="F361" s="1615"/>
      <c r="G361" s="1616"/>
      <c r="H361" s="1617"/>
      <c r="I361" s="1593">
        <f>SUM(J361:N361)</f>
        <v>85000</v>
      </c>
      <c r="J361" s="1595"/>
      <c r="K361" s="1595"/>
      <c r="L361" s="1595"/>
      <c r="M361" s="1595"/>
      <c r="N361" s="1596">
        <v>85000</v>
      </c>
    </row>
    <row r="362" spans="1:16" s="1618" customFormat="1" ht="18" customHeight="1" x14ac:dyDescent="0.3">
      <c r="A362" s="1528">
        <v>439</v>
      </c>
      <c r="B362" s="1613"/>
      <c r="C362" s="1614"/>
      <c r="D362" s="1584" t="s">
        <v>745</v>
      </c>
      <c r="E362" s="1615"/>
      <c r="F362" s="1615"/>
      <c r="G362" s="1616"/>
      <c r="H362" s="1617"/>
      <c r="I362" s="1585">
        <f>SUM(J362:Q362)</f>
        <v>40000</v>
      </c>
      <c r="J362" s="1597"/>
      <c r="K362" s="1597"/>
      <c r="L362" s="1597"/>
      <c r="M362" s="1597"/>
      <c r="N362" s="1598">
        <v>40000</v>
      </c>
    </row>
    <row r="363" spans="1:16" s="1657" customFormat="1" ht="22.5" customHeight="1" x14ac:dyDescent="0.35">
      <c r="A363" s="1528">
        <v>441</v>
      </c>
      <c r="B363" s="1656"/>
      <c r="C363" s="1589">
        <v>58</v>
      </c>
      <c r="D363" s="1590" t="s">
        <v>623</v>
      </c>
      <c r="E363" s="1570">
        <v>889032</v>
      </c>
      <c r="F363" s="1570">
        <v>886415</v>
      </c>
      <c r="G363" s="1571">
        <v>983535</v>
      </c>
      <c r="H363" s="1572" t="s">
        <v>23</v>
      </c>
      <c r="I363" s="1573"/>
      <c r="J363" s="1574"/>
      <c r="K363" s="1574"/>
      <c r="L363" s="1574"/>
      <c r="M363" s="1574"/>
      <c r="N363" s="1576"/>
      <c r="P363" s="1538"/>
    </row>
    <row r="364" spans="1:16" s="1618" customFormat="1" ht="18" customHeight="1" x14ac:dyDescent="0.3">
      <c r="A364" s="1528">
        <v>442</v>
      </c>
      <c r="B364" s="1613"/>
      <c r="C364" s="1614"/>
      <c r="D364" s="1569" t="s">
        <v>239</v>
      </c>
      <c r="E364" s="1615"/>
      <c r="F364" s="1615"/>
      <c r="G364" s="1616"/>
      <c r="H364" s="1617"/>
      <c r="I364" s="1573">
        <f>SUM(J364:N364)</f>
        <v>904763</v>
      </c>
      <c r="J364" s="1575"/>
      <c r="K364" s="1575"/>
      <c r="L364" s="1575"/>
      <c r="M364" s="1575"/>
      <c r="N364" s="1592">
        <v>904763</v>
      </c>
    </row>
    <row r="365" spans="1:16" s="1618" customFormat="1" ht="18" customHeight="1" x14ac:dyDescent="0.3">
      <c r="A365" s="1528">
        <v>443</v>
      </c>
      <c r="B365" s="1613"/>
      <c r="C365" s="1614"/>
      <c r="D365" s="1578" t="s">
        <v>702</v>
      </c>
      <c r="E365" s="1615"/>
      <c r="F365" s="1615"/>
      <c r="G365" s="1616"/>
      <c r="H365" s="1617"/>
      <c r="I365" s="1593">
        <f>SUM(J365:N365)</f>
        <v>969150</v>
      </c>
      <c r="J365" s="1595"/>
      <c r="K365" s="1595"/>
      <c r="L365" s="1595"/>
      <c r="M365" s="1595"/>
      <c r="N365" s="1596">
        <v>969150</v>
      </c>
    </row>
    <row r="366" spans="1:16" s="1618" customFormat="1" ht="18" customHeight="1" x14ac:dyDescent="0.3">
      <c r="A366" s="1528">
        <v>444</v>
      </c>
      <c r="B366" s="1613"/>
      <c r="C366" s="1614"/>
      <c r="D366" s="1584" t="s">
        <v>745</v>
      </c>
      <c r="E366" s="1615"/>
      <c r="F366" s="1615"/>
      <c r="G366" s="1616"/>
      <c r="H366" s="1617"/>
      <c r="I366" s="1585">
        <f>SUM(J366:Q366)</f>
        <v>496181</v>
      </c>
      <c r="J366" s="1597"/>
      <c r="K366" s="1597"/>
      <c r="L366" s="1597"/>
      <c r="M366" s="1597"/>
      <c r="N366" s="1598">
        <v>496181</v>
      </c>
    </row>
    <row r="367" spans="1:16" s="1657" customFormat="1" ht="23.45" customHeight="1" x14ac:dyDescent="0.35">
      <c r="A367" s="1528">
        <v>447</v>
      </c>
      <c r="B367" s="1656"/>
      <c r="C367" s="1589">
        <v>59</v>
      </c>
      <c r="D367" s="1590" t="s">
        <v>248</v>
      </c>
      <c r="E367" s="1570">
        <v>90207</v>
      </c>
      <c r="F367" s="1570"/>
      <c r="G367" s="1571"/>
      <c r="H367" s="1572" t="s">
        <v>23</v>
      </c>
      <c r="I367" s="1573"/>
      <c r="J367" s="1574"/>
      <c r="K367" s="1574"/>
      <c r="L367" s="1574"/>
      <c r="M367" s="1574"/>
      <c r="N367" s="1576"/>
      <c r="P367" s="1538"/>
    </row>
    <row r="368" spans="1:16" s="1577" customFormat="1" ht="22.5" customHeight="1" x14ac:dyDescent="0.3">
      <c r="A368" s="1528">
        <v>448</v>
      </c>
      <c r="B368" s="1567"/>
      <c r="C368" s="1589">
        <v>60</v>
      </c>
      <c r="D368" s="1559" t="s">
        <v>278</v>
      </c>
      <c r="E368" s="1570">
        <v>1419</v>
      </c>
      <c r="F368" s="1570">
        <v>4320</v>
      </c>
      <c r="G368" s="1571">
        <v>2325</v>
      </c>
      <c r="H368" s="1572" t="s">
        <v>24</v>
      </c>
      <c r="I368" s="1573"/>
      <c r="J368" s="1574"/>
      <c r="K368" s="1574"/>
      <c r="L368" s="1574"/>
      <c r="M368" s="1574"/>
      <c r="N368" s="1576"/>
    </row>
    <row r="369" spans="1:16" s="1618" customFormat="1" ht="18" customHeight="1" x14ac:dyDescent="0.3">
      <c r="A369" s="1528">
        <v>449</v>
      </c>
      <c r="B369" s="1613"/>
      <c r="C369" s="1614"/>
      <c r="D369" s="1569" t="s">
        <v>239</v>
      </c>
      <c r="E369" s="1615"/>
      <c r="F369" s="1615"/>
      <c r="G369" s="1616"/>
      <c r="H369" s="1617"/>
      <c r="I369" s="1573">
        <f>SUM(J369:N369)</f>
        <v>4320</v>
      </c>
      <c r="J369" s="1575"/>
      <c r="K369" s="1575"/>
      <c r="L369" s="1575">
        <v>4320</v>
      </c>
      <c r="M369" s="1575"/>
      <c r="N369" s="1592"/>
    </row>
    <row r="370" spans="1:16" s="1618" customFormat="1" ht="18" customHeight="1" x14ac:dyDescent="0.3">
      <c r="A370" s="1528">
        <v>450</v>
      </c>
      <c r="B370" s="1613"/>
      <c r="C370" s="1614"/>
      <c r="D370" s="1578" t="s">
        <v>702</v>
      </c>
      <c r="E370" s="1615"/>
      <c r="F370" s="1615"/>
      <c r="G370" s="1616"/>
      <c r="H370" s="1617"/>
      <c r="I370" s="1593">
        <f>SUM(J370:N370)</f>
        <v>4320</v>
      </c>
      <c r="J370" s="1595"/>
      <c r="K370" s="1595"/>
      <c r="L370" s="1595">
        <v>4320</v>
      </c>
      <c r="M370" s="1575"/>
      <c r="N370" s="1592"/>
    </row>
    <row r="371" spans="1:16" s="1618" customFormat="1" ht="18" customHeight="1" x14ac:dyDescent="0.3">
      <c r="A371" s="1528">
        <v>451</v>
      </c>
      <c r="B371" s="1613"/>
      <c r="C371" s="1614"/>
      <c r="D371" s="1584" t="s">
        <v>745</v>
      </c>
      <c r="E371" s="1615"/>
      <c r="F371" s="1615"/>
      <c r="G371" s="1616"/>
      <c r="H371" s="1617"/>
      <c r="I371" s="1585">
        <f>SUM(J371:Q371)</f>
        <v>232</v>
      </c>
      <c r="J371" s="1597"/>
      <c r="K371" s="1597"/>
      <c r="L371" s="1597">
        <v>232</v>
      </c>
      <c r="M371" s="1597"/>
      <c r="N371" s="1598"/>
    </row>
    <row r="372" spans="1:16" s="1577" customFormat="1" ht="22.5" customHeight="1" x14ac:dyDescent="0.3">
      <c r="A372" s="1528">
        <v>453</v>
      </c>
      <c r="B372" s="1567"/>
      <c r="C372" s="1589">
        <v>61</v>
      </c>
      <c r="D372" s="1559" t="s">
        <v>279</v>
      </c>
      <c r="E372" s="1570"/>
      <c r="F372" s="1570">
        <v>4000</v>
      </c>
      <c r="G372" s="1571"/>
      <c r="H372" s="1572" t="s">
        <v>24</v>
      </c>
      <c r="I372" s="1573"/>
      <c r="J372" s="1574"/>
      <c r="K372" s="1574"/>
      <c r="L372" s="1574"/>
      <c r="M372" s="1574"/>
      <c r="N372" s="1576"/>
    </row>
    <row r="373" spans="1:16" s="1566" customFormat="1" ht="22.5" customHeight="1" x14ac:dyDescent="0.3">
      <c r="A373" s="1528">
        <v>454</v>
      </c>
      <c r="B373" s="1588"/>
      <c r="C373" s="1589">
        <v>62</v>
      </c>
      <c r="D373" s="1590" t="s">
        <v>64</v>
      </c>
      <c r="E373" s="1570">
        <v>2000</v>
      </c>
      <c r="F373" s="1570">
        <v>2000</v>
      </c>
      <c r="G373" s="1571">
        <v>2000</v>
      </c>
      <c r="H373" s="1572" t="s">
        <v>24</v>
      </c>
      <c r="I373" s="1573"/>
      <c r="J373" s="1574"/>
      <c r="K373" s="1574"/>
      <c r="L373" s="1574"/>
      <c r="M373" s="1574"/>
      <c r="N373" s="1576"/>
      <c r="P373" s="1577"/>
    </row>
    <row r="374" spans="1:16" s="1618" customFormat="1" ht="18" customHeight="1" x14ac:dyDescent="0.3">
      <c r="A374" s="1528">
        <v>455</v>
      </c>
      <c r="B374" s="1613"/>
      <c r="C374" s="1614"/>
      <c r="D374" s="1569" t="s">
        <v>239</v>
      </c>
      <c r="E374" s="1615"/>
      <c r="F374" s="1615"/>
      <c r="G374" s="1616"/>
      <c r="H374" s="1617"/>
      <c r="I374" s="1573">
        <f>SUM(J374:N374)</f>
        <v>2000</v>
      </c>
      <c r="J374" s="1575"/>
      <c r="K374" s="1575"/>
      <c r="L374" s="1575">
        <v>2000</v>
      </c>
      <c r="M374" s="1575"/>
      <c r="N374" s="1592"/>
    </row>
    <row r="375" spans="1:16" s="1618" customFormat="1" ht="18" customHeight="1" x14ac:dyDescent="0.3">
      <c r="A375" s="1528">
        <v>456</v>
      </c>
      <c r="B375" s="1613"/>
      <c r="C375" s="1614"/>
      <c r="D375" s="1578" t="s">
        <v>702</v>
      </c>
      <c r="E375" s="1615"/>
      <c r="F375" s="1615"/>
      <c r="G375" s="1616"/>
      <c r="H375" s="1617"/>
      <c r="I375" s="1593">
        <f>SUM(J375:N375)</f>
        <v>2000</v>
      </c>
      <c r="J375" s="1595"/>
      <c r="K375" s="1595"/>
      <c r="L375" s="1595">
        <v>2000</v>
      </c>
      <c r="M375" s="1575"/>
      <c r="N375" s="1592"/>
    </row>
    <row r="376" spans="1:16" s="1618" customFormat="1" ht="18" customHeight="1" x14ac:dyDescent="0.3">
      <c r="A376" s="1528">
        <v>457</v>
      </c>
      <c r="B376" s="1613"/>
      <c r="C376" s="1614"/>
      <c r="D376" s="1584" t="s">
        <v>745</v>
      </c>
      <c r="E376" s="1615"/>
      <c r="F376" s="1615"/>
      <c r="G376" s="1616"/>
      <c r="H376" s="1617"/>
      <c r="I376" s="1585">
        <f>SUM(J376:Q376)</f>
        <v>1004</v>
      </c>
      <c r="J376" s="1597"/>
      <c r="K376" s="1597"/>
      <c r="L376" s="1597">
        <v>1004</v>
      </c>
      <c r="M376" s="1597"/>
      <c r="N376" s="1598"/>
    </row>
    <row r="377" spans="1:16" s="1566" customFormat="1" ht="23.45" customHeight="1" x14ac:dyDescent="0.3">
      <c r="A377" s="1528">
        <v>459</v>
      </c>
      <c r="B377" s="1588"/>
      <c r="C377" s="1589">
        <v>63</v>
      </c>
      <c r="D377" s="1590" t="s">
        <v>264</v>
      </c>
      <c r="E377" s="1570"/>
      <c r="F377" s="1570"/>
      <c r="G377" s="1571"/>
      <c r="H377" s="1572" t="s">
        <v>24</v>
      </c>
      <c r="I377" s="1573"/>
      <c r="J377" s="1574"/>
      <c r="K377" s="1574"/>
      <c r="L377" s="1574"/>
      <c r="M377" s="1574"/>
      <c r="N377" s="1576"/>
      <c r="P377" s="1577"/>
    </row>
    <row r="378" spans="1:16" s="1566" customFormat="1" ht="23.45" customHeight="1" x14ac:dyDescent="0.3">
      <c r="A378" s="1528">
        <v>460</v>
      </c>
      <c r="B378" s="1588"/>
      <c r="C378" s="1589">
        <v>64</v>
      </c>
      <c r="D378" s="1590" t="s">
        <v>65</v>
      </c>
      <c r="E378" s="1570">
        <v>1000</v>
      </c>
      <c r="F378" s="1570">
        <v>1000</v>
      </c>
      <c r="G378" s="1571">
        <v>1000</v>
      </c>
      <c r="H378" s="1572" t="s">
        <v>24</v>
      </c>
      <c r="I378" s="1573"/>
      <c r="J378" s="1574"/>
      <c r="K378" s="1574"/>
      <c r="L378" s="1574"/>
      <c r="M378" s="1574"/>
      <c r="N378" s="1576"/>
      <c r="P378" s="1577"/>
    </row>
    <row r="379" spans="1:16" s="1618" customFormat="1" ht="18" customHeight="1" x14ac:dyDescent="0.3">
      <c r="A379" s="1528">
        <v>461</v>
      </c>
      <c r="B379" s="1613"/>
      <c r="C379" s="1614"/>
      <c r="D379" s="1569" t="s">
        <v>239</v>
      </c>
      <c r="E379" s="1615"/>
      <c r="F379" s="1615"/>
      <c r="G379" s="1616"/>
      <c r="H379" s="1617"/>
      <c r="I379" s="1573">
        <f>SUM(J379:N379)</f>
        <v>1000</v>
      </c>
      <c r="J379" s="1575"/>
      <c r="K379" s="1575"/>
      <c r="L379" s="1575">
        <v>1000</v>
      </c>
      <c r="M379" s="1575"/>
      <c r="N379" s="1592"/>
    </row>
    <row r="380" spans="1:16" s="1618" customFormat="1" ht="18" customHeight="1" x14ac:dyDescent="0.3">
      <c r="A380" s="1528">
        <v>462</v>
      </c>
      <c r="B380" s="1613"/>
      <c r="C380" s="1614"/>
      <c r="D380" s="1578" t="s">
        <v>702</v>
      </c>
      <c r="E380" s="1615"/>
      <c r="F380" s="1615"/>
      <c r="G380" s="1616"/>
      <c r="H380" s="1617"/>
      <c r="I380" s="1593">
        <f>SUM(J380:N380)</f>
        <v>1000</v>
      </c>
      <c r="J380" s="1595"/>
      <c r="K380" s="1595"/>
      <c r="L380" s="1595">
        <v>1000</v>
      </c>
      <c r="M380" s="1575"/>
      <c r="N380" s="1592"/>
    </row>
    <row r="381" spans="1:16" s="1618" customFormat="1" ht="18" customHeight="1" x14ac:dyDescent="0.3">
      <c r="A381" s="1528">
        <v>463</v>
      </c>
      <c r="B381" s="1613"/>
      <c r="C381" s="1614"/>
      <c r="D381" s="1584" t="s">
        <v>745</v>
      </c>
      <c r="E381" s="1615"/>
      <c r="F381" s="1615"/>
      <c r="G381" s="1616"/>
      <c r="H381" s="1617"/>
      <c r="I381" s="1585">
        <f>SUM(J381:Q381)</f>
        <v>502</v>
      </c>
      <c r="J381" s="1597"/>
      <c r="K381" s="1597"/>
      <c r="L381" s="1597">
        <v>502</v>
      </c>
      <c r="M381" s="1597"/>
      <c r="N381" s="1598"/>
    </row>
    <row r="382" spans="1:16" s="1577" customFormat="1" ht="22.5" customHeight="1" x14ac:dyDescent="0.3">
      <c r="A382" s="1528">
        <v>465</v>
      </c>
      <c r="B382" s="1567"/>
      <c r="C382" s="1589">
        <v>65</v>
      </c>
      <c r="D382" s="1590" t="s">
        <v>325</v>
      </c>
      <c r="E382" s="1570">
        <v>3000</v>
      </c>
      <c r="F382" s="1570">
        <v>3000</v>
      </c>
      <c r="G382" s="1571">
        <v>3000</v>
      </c>
      <c r="H382" s="1572" t="s">
        <v>23</v>
      </c>
      <c r="I382" s="1573"/>
      <c r="J382" s="1574"/>
      <c r="K382" s="1574"/>
      <c r="L382" s="1574"/>
      <c r="M382" s="1574"/>
      <c r="N382" s="1576"/>
    </row>
    <row r="383" spans="1:16" s="1577" customFormat="1" ht="18" customHeight="1" x14ac:dyDescent="0.3">
      <c r="A383" s="1528">
        <v>466</v>
      </c>
      <c r="B383" s="1567"/>
      <c r="C383" s="1589"/>
      <c r="D383" s="1569" t="s">
        <v>239</v>
      </c>
      <c r="E383" s="1570"/>
      <c r="F383" s="1570"/>
      <c r="G383" s="1571"/>
      <c r="H383" s="1572"/>
      <c r="I383" s="1573">
        <f>SUM(J383:N383)</f>
        <v>3000</v>
      </c>
      <c r="J383" s="1574"/>
      <c r="K383" s="1574"/>
      <c r="L383" s="1575"/>
      <c r="M383" s="1574"/>
      <c r="N383" s="1592">
        <v>3000</v>
      </c>
    </row>
    <row r="384" spans="1:16" s="1577" customFormat="1" ht="18" customHeight="1" x14ac:dyDescent="0.3">
      <c r="A384" s="1528">
        <v>467</v>
      </c>
      <c r="B384" s="1567"/>
      <c r="C384" s="1589"/>
      <c r="D384" s="1578" t="s">
        <v>702</v>
      </c>
      <c r="E384" s="1570"/>
      <c r="F384" s="1570"/>
      <c r="G384" s="1571"/>
      <c r="H384" s="1572"/>
      <c r="I384" s="1593">
        <f>SUM(J384:N384)</f>
        <v>3000</v>
      </c>
      <c r="J384" s="1594"/>
      <c r="K384" s="1594"/>
      <c r="L384" s="1595"/>
      <c r="M384" s="1594"/>
      <c r="N384" s="1596">
        <v>3000</v>
      </c>
    </row>
    <row r="385" spans="1:16" s="1577" customFormat="1" ht="18" customHeight="1" x14ac:dyDescent="0.3">
      <c r="A385" s="1528">
        <v>468</v>
      </c>
      <c r="B385" s="1567"/>
      <c r="C385" s="1589"/>
      <c r="D385" s="1584" t="s">
        <v>745</v>
      </c>
      <c r="E385" s="1570"/>
      <c r="F385" s="1570"/>
      <c r="G385" s="1571"/>
      <c r="H385" s="1572"/>
      <c r="I385" s="1585">
        <f>SUM(J385:Q385)</f>
        <v>1500</v>
      </c>
      <c r="J385" s="1597"/>
      <c r="K385" s="1597"/>
      <c r="L385" s="1645"/>
      <c r="M385" s="1597"/>
      <c r="N385" s="1641">
        <v>1500</v>
      </c>
    </row>
    <row r="386" spans="1:16" s="1566" customFormat="1" ht="22.5" customHeight="1" x14ac:dyDescent="0.3">
      <c r="A386" s="1528">
        <v>470</v>
      </c>
      <c r="B386" s="1588"/>
      <c r="C386" s="1589">
        <v>67</v>
      </c>
      <c r="D386" s="1590" t="s">
        <v>66</v>
      </c>
      <c r="E386" s="1570">
        <v>6665</v>
      </c>
      <c r="F386" s="1570">
        <v>7350</v>
      </c>
      <c r="G386" s="1571">
        <v>6195</v>
      </c>
      <c r="H386" s="1572" t="s">
        <v>23</v>
      </c>
      <c r="I386" s="1573"/>
      <c r="J386" s="1574"/>
      <c r="K386" s="1574"/>
      <c r="L386" s="1574"/>
      <c r="M386" s="1574"/>
      <c r="N386" s="1576"/>
      <c r="P386" s="1577"/>
    </row>
    <row r="387" spans="1:16" s="1618" customFormat="1" ht="18" customHeight="1" x14ac:dyDescent="0.3">
      <c r="A387" s="1528">
        <v>471</v>
      </c>
      <c r="B387" s="1613"/>
      <c r="C387" s="1614"/>
      <c r="D387" s="1569" t="s">
        <v>239</v>
      </c>
      <c r="E387" s="1615"/>
      <c r="F387" s="1615"/>
      <c r="G387" s="1616"/>
      <c r="H387" s="1617"/>
      <c r="I387" s="1573">
        <f>SUM(J387:N387)</f>
        <v>8374</v>
      </c>
      <c r="J387" s="1575"/>
      <c r="K387" s="1575"/>
      <c r="L387" s="1575">
        <f>7219+1155</f>
        <v>8374</v>
      </c>
      <c r="M387" s="1575"/>
      <c r="N387" s="1592"/>
    </row>
    <row r="388" spans="1:16" s="1618" customFormat="1" ht="18" customHeight="1" x14ac:dyDescent="0.3">
      <c r="A388" s="1528">
        <v>472</v>
      </c>
      <c r="B388" s="1613"/>
      <c r="C388" s="1614"/>
      <c r="D388" s="1578" t="s">
        <v>702</v>
      </c>
      <c r="E388" s="1615"/>
      <c r="F388" s="1615"/>
      <c r="G388" s="1616"/>
      <c r="H388" s="1617"/>
      <c r="I388" s="1593">
        <f>SUM(J388:N388)</f>
        <v>8374</v>
      </c>
      <c r="J388" s="1595"/>
      <c r="K388" s="1595"/>
      <c r="L388" s="1595">
        <v>8374</v>
      </c>
      <c r="M388" s="1575"/>
      <c r="N388" s="1592"/>
    </row>
    <row r="389" spans="1:16" s="1618" customFormat="1" ht="18" customHeight="1" x14ac:dyDescent="0.3">
      <c r="A389" s="1528">
        <v>473</v>
      </c>
      <c r="B389" s="1613"/>
      <c r="C389" s="1614"/>
      <c r="D389" s="1584" t="s">
        <v>745</v>
      </c>
      <c r="E389" s="1615"/>
      <c r="F389" s="1615"/>
      <c r="G389" s="1616"/>
      <c r="H389" s="1617"/>
      <c r="I389" s="1585">
        <f>SUM(J389:Q389)</f>
        <v>3523</v>
      </c>
      <c r="J389" s="1597"/>
      <c r="K389" s="1597"/>
      <c r="L389" s="1597">
        <v>3523</v>
      </c>
      <c r="M389" s="1597"/>
      <c r="N389" s="1598"/>
    </row>
    <row r="390" spans="1:16" s="1566" customFormat="1" ht="22.5" customHeight="1" x14ac:dyDescent="0.3">
      <c r="A390" s="1528">
        <v>475</v>
      </c>
      <c r="B390" s="1588"/>
      <c r="C390" s="1589">
        <v>68</v>
      </c>
      <c r="D390" s="1590" t="s">
        <v>67</v>
      </c>
      <c r="E390" s="1570">
        <v>2227</v>
      </c>
      <c r="F390" s="1570">
        <v>6448</v>
      </c>
      <c r="G390" s="1571">
        <v>2326</v>
      </c>
      <c r="H390" s="1572" t="s">
        <v>24</v>
      </c>
      <c r="I390" s="1573"/>
      <c r="J390" s="1574"/>
      <c r="K390" s="1574"/>
      <c r="L390" s="1574"/>
      <c r="M390" s="1574"/>
      <c r="N390" s="1576"/>
      <c r="P390" s="1577"/>
    </row>
    <row r="391" spans="1:16" s="1618" customFormat="1" ht="18" customHeight="1" x14ac:dyDescent="0.3">
      <c r="A391" s="1528">
        <v>476</v>
      </c>
      <c r="B391" s="1613"/>
      <c r="C391" s="1614"/>
      <c r="D391" s="1569" t="s">
        <v>239</v>
      </c>
      <c r="E391" s="1615"/>
      <c r="F391" s="1615"/>
      <c r="G391" s="1616"/>
      <c r="H391" s="1617"/>
      <c r="I391" s="1573">
        <f>SUM(J391:N391)</f>
        <v>6448</v>
      </c>
      <c r="J391" s="1575"/>
      <c r="K391" s="1575"/>
      <c r="L391" s="1575">
        <f>6448</f>
        <v>6448</v>
      </c>
      <c r="M391" s="1575"/>
      <c r="N391" s="1592"/>
    </row>
    <row r="392" spans="1:16" s="1618" customFormat="1" ht="18" customHeight="1" x14ac:dyDescent="0.3">
      <c r="A392" s="1528">
        <v>477</v>
      </c>
      <c r="B392" s="1613"/>
      <c r="C392" s="1614"/>
      <c r="D392" s="1578" t="s">
        <v>702</v>
      </c>
      <c r="E392" s="1615"/>
      <c r="F392" s="1615"/>
      <c r="G392" s="1616"/>
      <c r="H392" s="1617"/>
      <c r="I392" s="1593">
        <f>SUM(J392:N392)</f>
        <v>6448</v>
      </c>
      <c r="J392" s="1595"/>
      <c r="K392" s="1595"/>
      <c r="L392" s="1595">
        <v>6448</v>
      </c>
      <c r="M392" s="1575"/>
      <c r="N392" s="1592"/>
    </row>
    <row r="393" spans="1:16" s="1618" customFormat="1" ht="18" customHeight="1" x14ac:dyDescent="0.3">
      <c r="A393" s="1528">
        <v>478</v>
      </c>
      <c r="B393" s="1613"/>
      <c r="C393" s="1614"/>
      <c r="D393" s="1584" t="s">
        <v>745</v>
      </c>
      <c r="E393" s="1615"/>
      <c r="F393" s="1615"/>
      <c r="G393" s="1616"/>
      <c r="H393" s="1617"/>
      <c r="I393" s="1585">
        <f>SUM(J393:Q393)</f>
        <v>662</v>
      </c>
      <c r="J393" s="1597"/>
      <c r="K393" s="1597"/>
      <c r="L393" s="1597">
        <v>662</v>
      </c>
      <c r="M393" s="1597"/>
      <c r="N393" s="1598"/>
    </row>
    <row r="394" spans="1:16" s="1566" customFormat="1" ht="22.5" customHeight="1" x14ac:dyDescent="0.3">
      <c r="A394" s="1528">
        <v>480</v>
      </c>
      <c r="B394" s="1588"/>
      <c r="C394" s="1589">
        <v>69</v>
      </c>
      <c r="D394" s="1590" t="s">
        <v>68</v>
      </c>
      <c r="E394" s="1570">
        <v>250887</v>
      </c>
      <c r="F394" s="1570">
        <v>511189</v>
      </c>
      <c r="G394" s="1571">
        <v>321258</v>
      </c>
      <c r="H394" s="1572" t="s">
        <v>23</v>
      </c>
      <c r="I394" s="1573"/>
      <c r="J394" s="1574"/>
      <c r="K394" s="1574"/>
      <c r="L394" s="1574"/>
      <c r="M394" s="1574"/>
      <c r="N394" s="1576"/>
      <c r="P394" s="1577"/>
    </row>
    <row r="395" spans="1:16" s="1618" customFormat="1" ht="18" customHeight="1" x14ac:dyDescent="0.3">
      <c r="A395" s="1528">
        <v>481</v>
      </c>
      <c r="B395" s="1613"/>
      <c r="C395" s="1614"/>
      <c r="D395" s="1569" t="s">
        <v>239</v>
      </c>
      <c r="E395" s="1615"/>
      <c r="F395" s="1615"/>
      <c r="G395" s="1616"/>
      <c r="H395" s="1617"/>
      <c r="I395" s="1573">
        <f>SUM(J395:N395)</f>
        <v>678928</v>
      </c>
      <c r="J395" s="1575">
        <f>362323+109286</f>
        <v>471609</v>
      </c>
      <c r="K395" s="1575">
        <f>46889+34072</f>
        <v>80961</v>
      </c>
      <c r="L395" s="1575">
        <f>52685+25000+48673</f>
        <v>126358</v>
      </c>
      <c r="M395" s="1575"/>
      <c r="N395" s="1592"/>
    </row>
    <row r="396" spans="1:16" s="1618" customFormat="1" ht="18" customHeight="1" x14ac:dyDescent="0.3">
      <c r="A396" s="1528">
        <v>482</v>
      </c>
      <c r="B396" s="1613"/>
      <c r="C396" s="1614"/>
      <c r="D396" s="1578" t="s">
        <v>702</v>
      </c>
      <c r="E396" s="1615"/>
      <c r="F396" s="1615"/>
      <c r="G396" s="1616"/>
      <c r="H396" s="1617"/>
      <c r="I396" s="1593">
        <f>SUM(J396:N396)</f>
        <v>668928</v>
      </c>
      <c r="J396" s="1595">
        <v>471609</v>
      </c>
      <c r="K396" s="1595">
        <v>80961</v>
      </c>
      <c r="L396" s="1595">
        <v>116358</v>
      </c>
      <c r="M396" s="1575"/>
      <c r="N396" s="1592"/>
    </row>
    <row r="397" spans="1:16" s="1618" customFormat="1" ht="18" customHeight="1" x14ac:dyDescent="0.3">
      <c r="A397" s="1528">
        <v>483</v>
      </c>
      <c r="B397" s="1613"/>
      <c r="C397" s="1614"/>
      <c r="D397" s="1584" t="s">
        <v>745</v>
      </c>
      <c r="E397" s="1615"/>
      <c r="F397" s="1615"/>
      <c r="G397" s="1616"/>
      <c r="H397" s="1617"/>
      <c r="I397" s="1585">
        <f>SUM(J397:Q397)</f>
        <v>224629</v>
      </c>
      <c r="J397" s="1597">
        <v>177821</v>
      </c>
      <c r="K397" s="1597">
        <v>20463</v>
      </c>
      <c r="L397" s="1597">
        <v>26345</v>
      </c>
      <c r="M397" s="1575"/>
      <c r="N397" s="1592"/>
    </row>
    <row r="398" spans="1:16" s="1577" customFormat="1" ht="22.5" customHeight="1" x14ac:dyDescent="0.3">
      <c r="A398" s="1528">
        <v>485</v>
      </c>
      <c r="B398" s="1567"/>
      <c r="C398" s="1589">
        <v>70</v>
      </c>
      <c r="D398" s="1559" t="s">
        <v>498</v>
      </c>
      <c r="E398" s="1570">
        <v>45</v>
      </c>
      <c r="F398" s="1570">
        <v>180</v>
      </c>
      <c r="G398" s="1571">
        <v>180</v>
      </c>
      <c r="H398" s="1572" t="s">
        <v>23</v>
      </c>
      <c r="I398" s="1573"/>
      <c r="J398" s="1574"/>
      <c r="K398" s="1574"/>
      <c r="L398" s="1574"/>
      <c r="M398" s="1574"/>
      <c r="N398" s="1576"/>
    </row>
    <row r="399" spans="1:16" s="1618" customFormat="1" ht="18" customHeight="1" x14ac:dyDescent="0.3">
      <c r="A399" s="1528">
        <v>486</v>
      </c>
      <c r="B399" s="1613"/>
      <c r="C399" s="1614"/>
      <c r="D399" s="1569" t="s">
        <v>239</v>
      </c>
      <c r="E399" s="1615"/>
      <c r="F399" s="1615"/>
      <c r="G399" s="1616"/>
      <c r="H399" s="1617"/>
      <c r="I399" s="1573">
        <f>SUM(J399:N399)</f>
        <v>180</v>
      </c>
      <c r="J399" s="1575"/>
      <c r="K399" s="1575"/>
      <c r="L399" s="1575">
        <v>180</v>
      </c>
      <c r="M399" s="1575"/>
      <c r="N399" s="1592"/>
    </row>
    <row r="400" spans="1:16" s="1618" customFormat="1" ht="18" customHeight="1" x14ac:dyDescent="0.3">
      <c r="A400" s="1528">
        <v>487</v>
      </c>
      <c r="B400" s="1613"/>
      <c r="C400" s="1614"/>
      <c r="D400" s="1578" t="s">
        <v>702</v>
      </c>
      <c r="E400" s="1615"/>
      <c r="F400" s="1615"/>
      <c r="G400" s="1616"/>
      <c r="H400" s="1617"/>
      <c r="I400" s="1593">
        <f>SUM(J400:N400)</f>
        <v>180</v>
      </c>
      <c r="J400" s="1595"/>
      <c r="K400" s="1595"/>
      <c r="L400" s="1595">
        <v>180</v>
      </c>
      <c r="M400" s="1575"/>
      <c r="N400" s="1592"/>
    </row>
    <row r="401" spans="1:16" s="1618" customFormat="1" ht="18" customHeight="1" x14ac:dyDescent="0.3">
      <c r="A401" s="1528">
        <v>488</v>
      </c>
      <c r="B401" s="1613"/>
      <c r="C401" s="1614"/>
      <c r="D401" s="1584" t="s">
        <v>745</v>
      </c>
      <c r="E401" s="1615"/>
      <c r="F401" s="1615"/>
      <c r="G401" s="1616"/>
      <c r="H401" s="1617"/>
      <c r="I401" s="1585">
        <f>SUM(J401:Q401)</f>
        <v>90</v>
      </c>
      <c r="J401" s="1597"/>
      <c r="K401" s="1597"/>
      <c r="L401" s="1597">
        <v>90</v>
      </c>
      <c r="M401" s="1597"/>
      <c r="N401" s="1598"/>
    </row>
    <row r="402" spans="1:16" s="1566" customFormat="1" ht="22.5" customHeight="1" x14ac:dyDescent="0.3">
      <c r="A402" s="1528">
        <v>490</v>
      </c>
      <c r="B402" s="1588"/>
      <c r="C402" s="1589">
        <v>71</v>
      </c>
      <c r="D402" s="1590" t="s">
        <v>69</v>
      </c>
      <c r="E402" s="1570">
        <v>71148</v>
      </c>
      <c r="F402" s="1570">
        <v>90000</v>
      </c>
      <c r="G402" s="1571">
        <v>63271</v>
      </c>
      <c r="H402" s="1572" t="s">
        <v>23</v>
      </c>
      <c r="I402" s="1573"/>
      <c r="J402" s="1574"/>
      <c r="K402" s="1574"/>
      <c r="L402" s="1574"/>
      <c r="M402" s="1574"/>
      <c r="N402" s="1576"/>
      <c r="P402" s="1577"/>
    </row>
    <row r="403" spans="1:16" s="1618" customFormat="1" ht="18" customHeight="1" x14ac:dyDescent="0.3">
      <c r="A403" s="1528">
        <v>491</v>
      </c>
      <c r="B403" s="1668"/>
      <c r="C403" s="1614"/>
      <c r="D403" s="1569" t="s">
        <v>239</v>
      </c>
      <c r="E403" s="1669"/>
      <c r="F403" s="1669"/>
      <c r="G403" s="1670"/>
      <c r="H403" s="1665"/>
      <c r="I403" s="1573">
        <f>SUM(J403:N403)</f>
        <v>84627</v>
      </c>
      <c r="J403" s="1671"/>
      <c r="K403" s="1671"/>
      <c r="L403" s="1671">
        <f>4393+100+1134</f>
        <v>5627</v>
      </c>
      <c r="M403" s="1671"/>
      <c r="N403" s="1650">
        <v>79000</v>
      </c>
    </row>
    <row r="404" spans="1:16" s="1618" customFormat="1" ht="18" customHeight="1" x14ac:dyDescent="0.3">
      <c r="A404" s="1528">
        <v>492</v>
      </c>
      <c r="B404" s="1668"/>
      <c r="C404" s="1614"/>
      <c r="D404" s="1578" t="s">
        <v>702</v>
      </c>
      <c r="E404" s="1669"/>
      <c r="F404" s="1669"/>
      <c r="G404" s="1670"/>
      <c r="H404" s="1665"/>
      <c r="I404" s="1593">
        <f>SUM(J404:N404)</f>
        <v>109628</v>
      </c>
      <c r="J404" s="1581"/>
      <c r="K404" s="1581"/>
      <c r="L404" s="1581">
        <v>12627</v>
      </c>
      <c r="M404" s="1581"/>
      <c r="N404" s="1651">
        <v>97001</v>
      </c>
    </row>
    <row r="405" spans="1:16" s="1618" customFormat="1" ht="18" customHeight="1" x14ac:dyDescent="0.3">
      <c r="A405" s="1528">
        <v>493</v>
      </c>
      <c r="B405" s="1668"/>
      <c r="C405" s="1614"/>
      <c r="D405" s="1584" t="s">
        <v>745</v>
      </c>
      <c r="E405" s="1669"/>
      <c r="F405" s="1669"/>
      <c r="G405" s="1670"/>
      <c r="H405" s="1665"/>
      <c r="I405" s="1585">
        <f>SUM(J405:Q405)</f>
        <v>75391</v>
      </c>
      <c r="J405" s="1586"/>
      <c r="K405" s="1586"/>
      <c r="L405" s="1586">
        <v>0</v>
      </c>
      <c r="M405" s="1586"/>
      <c r="N405" s="1652">
        <v>75391</v>
      </c>
    </row>
    <row r="406" spans="1:16" s="1566" customFormat="1" ht="22.5" customHeight="1" x14ac:dyDescent="0.3">
      <c r="A406" s="1528">
        <v>495</v>
      </c>
      <c r="B406" s="1588"/>
      <c r="C406" s="1589">
        <v>72</v>
      </c>
      <c r="D406" s="1590" t="s">
        <v>70</v>
      </c>
      <c r="E406" s="1570">
        <v>330427</v>
      </c>
      <c r="F406" s="1570">
        <v>241986</v>
      </c>
      <c r="G406" s="1571">
        <v>258141</v>
      </c>
      <c r="H406" s="1572" t="s">
        <v>23</v>
      </c>
      <c r="I406" s="1573"/>
      <c r="J406" s="1574"/>
      <c r="K406" s="1574"/>
      <c r="L406" s="1574"/>
      <c r="M406" s="1574"/>
      <c r="N406" s="1576"/>
      <c r="P406" s="1577"/>
    </row>
    <row r="407" spans="1:16" s="1618" customFormat="1" ht="18" customHeight="1" x14ac:dyDescent="0.3">
      <c r="A407" s="1528">
        <v>496</v>
      </c>
      <c r="B407" s="1613"/>
      <c r="C407" s="1614"/>
      <c r="D407" s="1569" t="s">
        <v>239</v>
      </c>
      <c r="E407" s="1615"/>
      <c r="F407" s="1615"/>
      <c r="G407" s="1616"/>
      <c r="H407" s="1617"/>
      <c r="I407" s="1573">
        <f>SUM(J407:N407)</f>
        <v>699997</v>
      </c>
      <c r="J407" s="1575"/>
      <c r="K407" s="1575"/>
      <c r="L407" s="1575">
        <f>216152+483845</f>
        <v>699997</v>
      </c>
      <c r="M407" s="1575"/>
      <c r="N407" s="1592"/>
    </row>
    <row r="408" spans="1:16" s="1618" customFormat="1" ht="18" customHeight="1" x14ac:dyDescent="0.3">
      <c r="A408" s="1528">
        <v>497</v>
      </c>
      <c r="B408" s="1613"/>
      <c r="C408" s="1614"/>
      <c r="D408" s="1578" t="s">
        <v>702</v>
      </c>
      <c r="E408" s="1615"/>
      <c r="F408" s="1615"/>
      <c r="G408" s="1616"/>
      <c r="H408" s="1617"/>
      <c r="I408" s="1593">
        <f>SUM(J408:N408)</f>
        <v>699997</v>
      </c>
      <c r="J408" s="1595"/>
      <c r="K408" s="1595"/>
      <c r="L408" s="1595">
        <v>699997</v>
      </c>
      <c r="M408" s="1575"/>
      <c r="N408" s="1592"/>
    </row>
    <row r="409" spans="1:16" s="1618" customFormat="1" ht="18" customHeight="1" x14ac:dyDescent="0.3">
      <c r="A409" s="1528">
        <v>498</v>
      </c>
      <c r="B409" s="1613"/>
      <c r="C409" s="1614"/>
      <c r="D409" s="1584" t="s">
        <v>745</v>
      </c>
      <c r="E409" s="1615"/>
      <c r="F409" s="1615"/>
      <c r="G409" s="1616"/>
      <c r="H409" s="1617"/>
      <c r="I409" s="1585">
        <f>SUM(J409:Q409)</f>
        <v>135996</v>
      </c>
      <c r="J409" s="1597"/>
      <c r="K409" s="1597"/>
      <c r="L409" s="1597">
        <v>135996</v>
      </c>
      <c r="M409" s="1597"/>
      <c r="N409" s="1598"/>
    </row>
    <row r="410" spans="1:16" s="1566" customFormat="1" ht="22.5" customHeight="1" x14ac:dyDescent="0.3">
      <c r="A410" s="1528">
        <v>500</v>
      </c>
      <c r="B410" s="1588"/>
      <c r="C410" s="1589">
        <v>73</v>
      </c>
      <c r="D410" s="1590" t="s">
        <v>71</v>
      </c>
      <c r="E410" s="1570">
        <v>191921</v>
      </c>
      <c r="F410" s="1570">
        <v>131877</v>
      </c>
      <c r="G410" s="1571">
        <v>110274</v>
      </c>
      <c r="H410" s="1572" t="s">
        <v>24</v>
      </c>
      <c r="I410" s="1573"/>
      <c r="J410" s="1574"/>
      <c r="K410" s="1574"/>
      <c r="L410" s="1574"/>
      <c r="M410" s="1574"/>
      <c r="N410" s="1576"/>
      <c r="P410" s="1577"/>
    </row>
    <row r="411" spans="1:16" s="1618" customFormat="1" ht="18" customHeight="1" x14ac:dyDescent="0.3">
      <c r="A411" s="1528">
        <v>501</v>
      </c>
      <c r="B411" s="1613"/>
      <c r="C411" s="1614"/>
      <c r="D411" s="1569" t="s">
        <v>239</v>
      </c>
      <c r="E411" s="1615"/>
      <c r="F411" s="1615"/>
      <c r="G411" s="1616"/>
      <c r="H411" s="1617"/>
      <c r="I411" s="1573">
        <f>SUM(J411:N411)</f>
        <v>73932</v>
      </c>
      <c r="J411" s="1575"/>
      <c r="K411" s="1575"/>
      <c r="L411" s="1575">
        <v>73932</v>
      </c>
      <c r="M411" s="1575"/>
      <c r="N411" s="1592"/>
    </row>
    <row r="412" spans="1:16" s="1618" customFormat="1" ht="18" customHeight="1" x14ac:dyDescent="0.3">
      <c r="A412" s="1528">
        <v>502</v>
      </c>
      <c r="B412" s="1613"/>
      <c r="C412" s="1614"/>
      <c r="D412" s="1578" t="s">
        <v>702</v>
      </c>
      <c r="E412" s="1615"/>
      <c r="F412" s="1615"/>
      <c r="G412" s="1616"/>
      <c r="H412" s="1617"/>
      <c r="I412" s="1593">
        <f>SUM(J412:N412)</f>
        <v>73932</v>
      </c>
      <c r="J412" s="1595"/>
      <c r="K412" s="1595"/>
      <c r="L412" s="1595">
        <v>73932</v>
      </c>
      <c r="M412" s="1575"/>
      <c r="N412" s="1592"/>
    </row>
    <row r="413" spans="1:16" s="1618" customFormat="1" ht="18" customHeight="1" x14ac:dyDescent="0.3">
      <c r="A413" s="1528">
        <v>503</v>
      </c>
      <c r="B413" s="1613"/>
      <c r="C413" s="1614"/>
      <c r="D413" s="1584" t="s">
        <v>745</v>
      </c>
      <c r="E413" s="1615"/>
      <c r="F413" s="1615"/>
      <c r="G413" s="1616"/>
      <c r="H413" s="1617"/>
      <c r="I413" s="1585">
        <f>SUM(J413:Q413)</f>
        <v>38516</v>
      </c>
      <c r="J413" s="1597"/>
      <c r="K413" s="1597"/>
      <c r="L413" s="1597">
        <v>38516</v>
      </c>
      <c r="M413" s="1597"/>
      <c r="N413" s="1598"/>
    </row>
    <row r="414" spans="1:16" s="1577" customFormat="1" ht="22.5" customHeight="1" x14ac:dyDescent="0.3">
      <c r="A414" s="1528">
        <v>505</v>
      </c>
      <c r="B414" s="1567"/>
      <c r="C414" s="1589">
        <v>74</v>
      </c>
      <c r="D414" s="1559" t="s">
        <v>265</v>
      </c>
      <c r="E414" s="1570">
        <v>2665054</v>
      </c>
      <c r="F414" s="1570">
        <v>3487933</v>
      </c>
      <c r="G414" s="1571">
        <v>3487933</v>
      </c>
      <c r="H414" s="1572" t="s">
        <v>23</v>
      </c>
      <c r="I414" s="1573"/>
      <c r="J414" s="1574"/>
      <c r="K414" s="1574"/>
      <c r="L414" s="1574"/>
      <c r="M414" s="1574"/>
      <c r="N414" s="1576"/>
    </row>
    <row r="415" spans="1:16" s="1618" customFormat="1" ht="18" customHeight="1" x14ac:dyDescent="0.3">
      <c r="A415" s="1528">
        <v>506</v>
      </c>
      <c r="B415" s="1613"/>
      <c r="C415" s="1614"/>
      <c r="D415" s="1569" t="s">
        <v>239</v>
      </c>
      <c r="E415" s="1615"/>
      <c r="F415" s="1615"/>
      <c r="G415" s="1616"/>
      <c r="H415" s="1617"/>
      <c r="I415" s="1573">
        <f>SUM(J415:N415)</f>
        <v>3756010</v>
      </c>
      <c r="J415" s="1575"/>
      <c r="K415" s="1575"/>
      <c r="L415" s="1575"/>
      <c r="M415" s="1575"/>
      <c r="N415" s="1592">
        <v>3756010</v>
      </c>
    </row>
    <row r="416" spans="1:16" s="1618" customFormat="1" ht="18" customHeight="1" x14ac:dyDescent="0.3">
      <c r="A416" s="1528">
        <v>507</v>
      </c>
      <c r="B416" s="1613"/>
      <c r="C416" s="1614"/>
      <c r="D416" s="1578" t="s">
        <v>702</v>
      </c>
      <c r="E416" s="1570"/>
      <c r="F416" s="1570"/>
      <c r="G416" s="1672"/>
      <c r="H416" s="1673"/>
      <c r="I416" s="1593">
        <f>SUM(J416:N416)</f>
        <v>3756010</v>
      </c>
      <c r="J416" s="1595"/>
      <c r="K416" s="1595"/>
      <c r="L416" s="1595"/>
      <c r="M416" s="1595"/>
      <c r="N416" s="1596">
        <v>3756010</v>
      </c>
    </row>
    <row r="417" spans="1:16" s="1618" customFormat="1" ht="18" customHeight="1" x14ac:dyDescent="0.3">
      <c r="A417" s="1528">
        <v>508</v>
      </c>
      <c r="B417" s="1613"/>
      <c r="C417" s="1614"/>
      <c r="D417" s="1584" t="s">
        <v>745</v>
      </c>
      <c r="E417" s="1615"/>
      <c r="F417" s="1615"/>
      <c r="G417" s="1616"/>
      <c r="H417" s="1617"/>
      <c r="I417" s="1585">
        <f>SUM(J417:Q417)</f>
        <v>1953124</v>
      </c>
      <c r="J417" s="1597"/>
      <c r="K417" s="1597"/>
      <c r="L417" s="1597"/>
      <c r="M417" s="1597"/>
      <c r="N417" s="1598">
        <v>1953124</v>
      </c>
    </row>
    <row r="418" spans="1:16" s="1566" customFormat="1" ht="22.5" customHeight="1" x14ac:dyDescent="0.3">
      <c r="A418" s="1528">
        <v>510</v>
      </c>
      <c r="B418" s="1588"/>
      <c r="C418" s="1589">
        <v>75</v>
      </c>
      <c r="D418" s="1590" t="s">
        <v>72</v>
      </c>
      <c r="E418" s="1570">
        <v>2276</v>
      </c>
      <c r="F418" s="1570">
        <v>20000</v>
      </c>
      <c r="G418" s="1571">
        <v>18000</v>
      </c>
      <c r="H418" s="1572" t="s">
        <v>24</v>
      </c>
      <c r="I418" s="1573"/>
      <c r="J418" s="1574"/>
      <c r="K418" s="1574"/>
      <c r="L418" s="1574"/>
      <c r="M418" s="1574"/>
      <c r="N418" s="1576"/>
      <c r="P418" s="1577"/>
    </row>
    <row r="419" spans="1:16" s="1618" customFormat="1" ht="18" customHeight="1" x14ac:dyDescent="0.3">
      <c r="A419" s="1528">
        <v>511</v>
      </c>
      <c r="B419" s="1613"/>
      <c r="C419" s="1614"/>
      <c r="D419" s="1569" t="s">
        <v>239</v>
      </c>
      <c r="E419" s="1615"/>
      <c r="F419" s="1615"/>
      <c r="G419" s="1616"/>
      <c r="H419" s="1617"/>
      <c r="I419" s="1573">
        <f>SUM(J419:N419)</f>
        <v>6000</v>
      </c>
      <c r="J419" s="1575"/>
      <c r="K419" s="1575"/>
      <c r="L419" s="1575"/>
      <c r="M419" s="1575"/>
      <c r="N419" s="1592">
        <v>6000</v>
      </c>
    </row>
    <row r="420" spans="1:16" s="1618" customFormat="1" ht="18" customHeight="1" x14ac:dyDescent="0.3">
      <c r="A420" s="1528">
        <v>512</v>
      </c>
      <c r="B420" s="1613"/>
      <c r="C420" s="1614"/>
      <c r="D420" s="1578" t="s">
        <v>702</v>
      </c>
      <c r="E420" s="1615"/>
      <c r="F420" s="1615"/>
      <c r="G420" s="1616"/>
      <c r="H420" s="1617"/>
      <c r="I420" s="1593">
        <f>SUM(J420:N420)</f>
        <v>5000</v>
      </c>
      <c r="J420" s="1595"/>
      <c r="K420" s="1595"/>
      <c r="L420" s="1595"/>
      <c r="M420" s="1595"/>
      <c r="N420" s="1596">
        <v>5000</v>
      </c>
    </row>
    <row r="421" spans="1:16" s="1618" customFormat="1" ht="18" customHeight="1" x14ac:dyDescent="0.3">
      <c r="A421" s="1528">
        <v>513</v>
      </c>
      <c r="B421" s="1613"/>
      <c r="C421" s="1614"/>
      <c r="D421" s="1584" t="s">
        <v>745</v>
      </c>
      <c r="E421" s="1615"/>
      <c r="F421" s="1615"/>
      <c r="G421" s="1616"/>
      <c r="H421" s="1617"/>
      <c r="I421" s="1585">
        <f>SUM(J421:Q421)</f>
        <v>0</v>
      </c>
      <c r="J421" s="1597"/>
      <c r="K421" s="1597"/>
      <c r="L421" s="1597"/>
      <c r="M421" s="1597"/>
      <c r="N421" s="1598">
        <v>0</v>
      </c>
    </row>
    <row r="422" spans="1:16" s="1566" customFormat="1" ht="22.5" customHeight="1" x14ac:dyDescent="0.3">
      <c r="A422" s="1528">
        <v>515</v>
      </c>
      <c r="B422" s="1588"/>
      <c r="C422" s="1589">
        <v>76</v>
      </c>
      <c r="D422" s="1590" t="s">
        <v>75</v>
      </c>
      <c r="E422" s="1570">
        <v>30000</v>
      </c>
      <c r="F422" s="1570">
        <v>75000</v>
      </c>
      <c r="G422" s="1571">
        <v>75000</v>
      </c>
      <c r="H422" s="1572" t="s">
        <v>24</v>
      </c>
      <c r="I422" s="1573"/>
      <c r="J422" s="1574"/>
      <c r="K422" s="1574"/>
      <c r="L422" s="1574"/>
      <c r="M422" s="1574"/>
      <c r="N422" s="1576"/>
      <c r="P422" s="1577"/>
    </row>
    <row r="423" spans="1:16" s="1618" customFormat="1" ht="18" customHeight="1" x14ac:dyDescent="0.3">
      <c r="A423" s="1528">
        <v>516</v>
      </c>
      <c r="B423" s="1613"/>
      <c r="C423" s="1614"/>
      <c r="D423" s="1569" t="s">
        <v>239</v>
      </c>
      <c r="E423" s="1615"/>
      <c r="F423" s="1615"/>
      <c r="G423" s="1616"/>
      <c r="H423" s="1617"/>
      <c r="I423" s="1573">
        <f>SUM(J423:N423)</f>
        <v>65000</v>
      </c>
      <c r="J423" s="1575"/>
      <c r="K423" s="1575"/>
      <c r="L423" s="1575"/>
      <c r="M423" s="1575"/>
      <c r="N423" s="1592">
        <v>65000</v>
      </c>
    </row>
    <row r="424" spans="1:16" s="1618" customFormat="1" ht="18" customHeight="1" x14ac:dyDescent="0.3">
      <c r="A424" s="1528">
        <v>517</v>
      </c>
      <c r="B424" s="1613"/>
      <c r="C424" s="1614"/>
      <c r="D424" s="1578" t="s">
        <v>702</v>
      </c>
      <c r="E424" s="1615"/>
      <c r="F424" s="1615"/>
      <c r="G424" s="1616"/>
      <c r="H424" s="1617"/>
      <c r="I424" s="1593">
        <f>SUM(J424:N424)</f>
        <v>65000</v>
      </c>
      <c r="J424" s="1595"/>
      <c r="K424" s="1595"/>
      <c r="L424" s="1595"/>
      <c r="M424" s="1595"/>
      <c r="N424" s="1596">
        <v>65000</v>
      </c>
    </row>
    <row r="425" spans="1:16" s="1618" customFormat="1" ht="18" customHeight="1" x14ac:dyDescent="0.3">
      <c r="A425" s="1528">
        <v>518</v>
      </c>
      <c r="B425" s="1613"/>
      <c r="C425" s="1614"/>
      <c r="D425" s="1584" t="s">
        <v>745</v>
      </c>
      <c r="E425" s="1615"/>
      <c r="F425" s="1615"/>
      <c r="G425" s="1616"/>
      <c r="H425" s="1617"/>
      <c r="I425" s="1585">
        <f>SUM(J425:Q425)</f>
        <v>45000</v>
      </c>
      <c r="J425" s="1645"/>
      <c r="K425" s="1645"/>
      <c r="L425" s="1645"/>
      <c r="M425" s="1645"/>
      <c r="N425" s="1641">
        <v>45000</v>
      </c>
    </row>
    <row r="426" spans="1:16" s="1566" customFormat="1" ht="22.5" customHeight="1" x14ac:dyDescent="0.3">
      <c r="A426" s="1528">
        <v>520</v>
      </c>
      <c r="B426" s="1588"/>
      <c r="C426" s="1589">
        <v>77</v>
      </c>
      <c r="D426" s="1590" t="s">
        <v>499</v>
      </c>
      <c r="E426" s="1570">
        <v>110364</v>
      </c>
      <c r="F426" s="1570">
        <v>135364</v>
      </c>
      <c r="G426" s="1571">
        <v>218364</v>
      </c>
      <c r="H426" s="1572" t="s">
        <v>24</v>
      </c>
      <c r="I426" s="1573"/>
      <c r="J426" s="1574"/>
      <c r="K426" s="1574"/>
      <c r="L426" s="1574"/>
      <c r="M426" s="1574"/>
      <c r="N426" s="1576"/>
      <c r="P426" s="1577"/>
    </row>
    <row r="427" spans="1:16" s="1566" customFormat="1" ht="20.100000000000001" customHeight="1" x14ac:dyDescent="0.3">
      <c r="A427" s="1528">
        <v>521</v>
      </c>
      <c r="B427" s="1588"/>
      <c r="C427" s="1589"/>
      <c r="D427" s="1569" t="s">
        <v>239</v>
      </c>
      <c r="E427" s="1570"/>
      <c r="F427" s="1570"/>
      <c r="G427" s="1571"/>
      <c r="H427" s="1572"/>
      <c r="I427" s="1573">
        <f>SUM(J427:N427)</f>
        <v>140364</v>
      </c>
      <c r="J427" s="1574"/>
      <c r="K427" s="1574"/>
      <c r="L427" s="1574"/>
      <c r="M427" s="1574"/>
      <c r="N427" s="1592">
        <v>140364</v>
      </c>
      <c r="P427" s="1577"/>
    </row>
    <row r="428" spans="1:16" s="1566" customFormat="1" ht="18" customHeight="1" x14ac:dyDescent="0.3">
      <c r="A428" s="1528">
        <v>522</v>
      </c>
      <c r="B428" s="1588"/>
      <c r="C428" s="1589"/>
      <c r="D428" s="1578" t="s">
        <v>702</v>
      </c>
      <c r="E428" s="1570"/>
      <c r="F428" s="1570"/>
      <c r="G428" s="1571"/>
      <c r="H428" s="1572"/>
      <c r="I428" s="1593">
        <f>SUM(J428:N428)</f>
        <v>200728</v>
      </c>
      <c r="J428" s="1594"/>
      <c r="K428" s="1594"/>
      <c r="L428" s="1594"/>
      <c r="M428" s="1594"/>
      <c r="N428" s="1596">
        <v>200728</v>
      </c>
      <c r="P428" s="1577"/>
    </row>
    <row r="429" spans="1:16" s="1566" customFormat="1" ht="20.100000000000001" customHeight="1" x14ac:dyDescent="0.3">
      <c r="A429" s="1528">
        <v>523</v>
      </c>
      <c r="B429" s="1588"/>
      <c r="C429" s="1589"/>
      <c r="D429" s="1584" t="s">
        <v>745</v>
      </c>
      <c r="E429" s="1570"/>
      <c r="F429" s="1570"/>
      <c r="G429" s="1571"/>
      <c r="H429" s="1572"/>
      <c r="I429" s="1585">
        <f>SUM(J429:Q429)</f>
        <v>170546</v>
      </c>
      <c r="J429" s="1597"/>
      <c r="K429" s="1597"/>
      <c r="L429" s="1597"/>
      <c r="M429" s="1597"/>
      <c r="N429" s="1598">
        <v>170546</v>
      </c>
      <c r="P429" s="1577"/>
    </row>
    <row r="430" spans="1:16" s="1566" customFormat="1" ht="22.5" customHeight="1" x14ac:dyDescent="0.3">
      <c r="A430" s="1528">
        <v>525</v>
      </c>
      <c r="B430" s="1588"/>
      <c r="C430" s="1589">
        <v>78</v>
      </c>
      <c r="D430" s="1590" t="s">
        <v>553</v>
      </c>
      <c r="E430" s="1570">
        <v>15576</v>
      </c>
      <c r="F430" s="1570">
        <v>336000</v>
      </c>
      <c r="G430" s="1571">
        <v>57673</v>
      </c>
      <c r="H430" s="1572" t="s">
        <v>24</v>
      </c>
      <c r="I430" s="1573"/>
      <c r="J430" s="1574"/>
      <c r="K430" s="1574"/>
      <c r="L430" s="1574"/>
      <c r="M430" s="1574"/>
      <c r="N430" s="1576"/>
      <c r="P430" s="1577"/>
    </row>
    <row r="431" spans="1:16" s="1566" customFormat="1" ht="18" customHeight="1" x14ac:dyDescent="0.3">
      <c r="A431" s="1528">
        <v>526</v>
      </c>
      <c r="B431" s="1588"/>
      <c r="C431" s="1589"/>
      <c r="D431" s="1578" t="s">
        <v>702</v>
      </c>
      <c r="E431" s="1570"/>
      <c r="F431" s="1570"/>
      <c r="G431" s="1571"/>
      <c r="H431" s="1572"/>
      <c r="I431" s="1674">
        <f>SUM(J431:Q431)</f>
        <v>10000</v>
      </c>
      <c r="J431" s="1574"/>
      <c r="K431" s="1574"/>
      <c r="L431" s="1595">
        <v>10000</v>
      </c>
      <c r="M431" s="1574"/>
      <c r="N431" s="1576"/>
      <c r="P431" s="1577"/>
    </row>
    <row r="432" spans="1:16" s="1566" customFormat="1" ht="20.100000000000001" customHeight="1" x14ac:dyDescent="0.3">
      <c r="A432" s="1528">
        <v>527</v>
      </c>
      <c r="B432" s="1588"/>
      <c r="C432" s="1589"/>
      <c r="D432" s="1584" t="s">
        <v>745</v>
      </c>
      <c r="E432" s="1570"/>
      <c r="F432" s="1570"/>
      <c r="G432" s="1571"/>
      <c r="H432" s="1572"/>
      <c r="I432" s="1585">
        <f>SUM(J432:Q432)</f>
        <v>0</v>
      </c>
      <c r="J432" s="1574"/>
      <c r="K432" s="1574"/>
      <c r="L432" s="1597">
        <v>0</v>
      </c>
      <c r="M432" s="1574"/>
      <c r="N432" s="1576"/>
      <c r="P432" s="1577"/>
    </row>
    <row r="433" spans="1:16" s="1566" customFormat="1" ht="22.5" customHeight="1" x14ac:dyDescent="0.3">
      <c r="A433" s="1528">
        <v>529</v>
      </c>
      <c r="B433" s="1588"/>
      <c r="C433" s="1589">
        <v>79</v>
      </c>
      <c r="D433" s="1590" t="s">
        <v>76</v>
      </c>
      <c r="E433" s="1570">
        <v>22000</v>
      </c>
      <c r="F433" s="1570">
        <v>38913</v>
      </c>
      <c r="G433" s="1571">
        <v>35398</v>
      </c>
      <c r="H433" s="1572" t="s">
        <v>23</v>
      </c>
      <c r="I433" s="1573"/>
      <c r="J433" s="1574"/>
      <c r="K433" s="1574"/>
      <c r="L433" s="1574"/>
      <c r="M433" s="1574"/>
      <c r="N433" s="1576"/>
      <c r="P433" s="1577"/>
    </row>
    <row r="434" spans="1:16" s="1618" customFormat="1" ht="18" customHeight="1" x14ac:dyDescent="0.3">
      <c r="A434" s="1528">
        <v>530</v>
      </c>
      <c r="B434" s="1613"/>
      <c r="C434" s="1614"/>
      <c r="D434" s="1569" t="s">
        <v>239</v>
      </c>
      <c r="E434" s="1615"/>
      <c r="F434" s="1615"/>
      <c r="G434" s="1616"/>
      <c r="H434" s="1617"/>
      <c r="I434" s="1573">
        <f>SUM(J434:N434)</f>
        <v>47406</v>
      </c>
      <c r="J434" s="1575"/>
      <c r="K434" s="1575"/>
      <c r="L434" s="1575">
        <f>43891+3515</f>
        <v>47406</v>
      </c>
      <c r="M434" s="1575"/>
      <c r="N434" s="1592"/>
    </row>
    <row r="435" spans="1:16" s="1618" customFormat="1" ht="18" customHeight="1" x14ac:dyDescent="0.3">
      <c r="A435" s="1528">
        <v>531</v>
      </c>
      <c r="B435" s="1613"/>
      <c r="C435" s="1614"/>
      <c r="D435" s="1578" t="s">
        <v>702</v>
      </c>
      <c r="E435" s="1615"/>
      <c r="F435" s="1615"/>
      <c r="G435" s="1616"/>
      <c r="H435" s="1617"/>
      <c r="I435" s="1593">
        <f>SUM(J435:N435)</f>
        <v>47406</v>
      </c>
      <c r="J435" s="1595"/>
      <c r="K435" s="1595"/>
      <c r="L435" s="1595">
        <v>47406</v>
      </c>
      <c r="M435" s="1575"/>
      <c r="N435" s="1592"/>
    </row>
    <row r="436" spans="1:16" s="1618" customFormat="1" ht="18" customHeight="1" x14ac:dyDescent="0.3">
      <c r="A436" s="1528">
        <v>532</v>
      </c>
      <c r="B436" s="1613"/>
      <c r="C436" s="1614"/>
      <c r="D436" s="1584" t="s">
        <v>745</v>
      </c>
      <c r="E436" s="1615"/>
      <c r="F436" s="1615"/>
      <c r="G436" s="1616"/>
      <c r="H436" s="1617"/>
      <c r="I436" s="1664">
        <f>SUM(J436:Q436)</f>
        <v>21469</v>
      </c>
      <c r="J436" s="1597"/>
      <c r="K436" s="1597"/>
      <c r="L436" s="1597">
        <v>21469</v>
      </c>
      <c r="M436" s="1597"/>
      <c r="N436" s="1598"/>
    </row>
    <row r="437" spans="1:16" s="1566" customFormat="1" ht="22.5" customHeight="1" x14ac:dyDescent="0.3">
      <c r="A437" s="1528">
        <v>534</v>
      </c>
      <c r="B437" s="1588"/>
      <c r="C437" s="1589">
        <v>81</v>
      </c>
      <c r="D437" s="1590" t="s">
        <v>77</v>
      </c>
      <c r="E437" s="1570"/>
      <c r="F437" s="1570">
        <v>102870</v>
      </c>
      <c r="G437" s="1571">
        <v>21631</v>
      </c>
      <c r="H437" s="1572" t="s">
        <v>24</v>
      </c>
      <c r="I437" s="1573"/>
      <c r="J437" s="1574"/>
      <c r="K437" s="1574"/>
      <c r="L437" s="1574"/>
      <c r="M437" s="1574"/>
      <c r="N437" s="1576"/>
      <c r="P437" s="1577"/>
    </row>
    <row r="438" spans="1:16" s="1566" customFormat="1" ht="18" customHeight="1" x14ac:dyDescent="0.3">
      <c r="A438" s="1528">
        <v>535</v>
      </c>
      <c r="B438" s="1588"/>
      <c r="C438" s="1589"/>
      <c r="D438" s="1569" t="s">
        <v>239</v>
      </c>
      <c r="E438" s="1570"/>
      <c r="F438" s="1570"/>
      <c r="G438" s="1571"/>
      <c r="H438" s="1572"/>
      <c r="I438" s="1573">
        <f>SUM(J438:N438)</f>
        <v>118173</v>
      </c>
      <c r="J438" s="1574"/>
      <c r="K438" s="1574"/>
      <c r="L438" s="1575">
        <f>114173+4000</f>
        <v>118173</v>
      </c>
      <c r="M438" s="1574"/>
      <c r="N438" s="1576"/>
      <c r="P438" s="1577"/>
    </row>
    <row r="439" spans="1:16" s="1566" customFormat="1" ht="18" customHeight="1" x14ac:dyDescent="0.3">
      <c r="A439" s="1528">
        <v>536</v>
      </c>
      <c r="B439" s="1588"/>
      <c r="C439" s="1589"/>
      <c r="D439" s="1578" t="s">
        <v>702</v>
      </c>
      <c r="E439" s="1570"/>
      <c r="F439" s="1570"/>
      <c r="G439" s="1571"/>
      <c r="H439" s="1572"/>
      <c r="I439" s="1593">
        <f>SUM(J439:N439)</f>
        <v>118173</v>
      </c>
      <c r="J439" s="1594"/>
      <c r="K439" s="1594"/>
      <c r="L439" s="1595">
        <v>118173</v>
      </c>
      <c r="M439" s="1574"/>
      <c r="N439" s="1576"/>
      <c r="P439" s="1577"/>
    </row>
    <row r="440" spans="1:16" s="1566" customFormat="1" ht="18" customHeight="1" x14ac:dyDescent="0.3">
      <c r="A440" s="1528">
        <v>537</v>
      </c>
      <c r="B440" s="1588"/>
      <c r="C440" s="1589"/>
      <c r="D440" s="1584" t="s">
        <v>745</v>
      </c>
      <c r="E440" s="1570"/>
      <c r="F440" s="1570"/>
      <c r="G440" s="1571"/>
      <c r="H440" s="1572"/>
      <c r="I440" s="1585">
        <f>SUM(J440:Q440)</f>
        <v>73000</v>
      </c>
      <c r="J440" s="1597"/>
      <c r="K440" s="1597"/>
      <c r="L440" s="1597">
        <v>73000</v>
      </c>
      <c r="M440" s="1597"/>
      <c r="N440" s="1598"/>
      <c r="P440" s="1577"/>
    </row>
    <row r="441" spans="1:16" s="1566" customFormat="1" ht="22.5" customHeight="1" x14ac:dyDescent="0.3">
      <c r="A441" s="1528">
        <v>539</v>
      </c>
      <c r="B441" s="1588"/>
      <c r="C441" s="1589">
        <v>82</v>
      </c>
      <c r="D441" s="1590" t="s">
        <v>356</v>
      </c>
      <c r="E441" s="1570">
        <v>95000</v>
      </c>
      <c r="F441" s="1570">
        <v>140200</v>
      </c>
      <c r="G441" s="1571">
        <v>140200</v>
      </c>
      <c r="H441" s="1572" t="s">
        <v>24</v>
      </c>
      <c r="I441" s="1573"/>
      <c r="J441" s="1574"/>
      <c r="K441" s="1574"/>
      <c r="L441" s="1574"/>
      <c r="M441" s="1574"/>
      <c r="N441" s="1576"/>
      <c r="P441" s="1577"/>
    </row>
    <row r="442" spans="1:16" s="1618" customFormat="1" ht="18" customHeight="1" x14ac:dyDescent="0.3">
      <c r="A442" s="1528">
        <v>540</v>
      </c>
      <c r="B442" s="1613"/>
      <c r="C442" s="1614"/>
      <c r="D442" s="1569" t="s">
        <v>239</v>
      </c>
      <c r="E442" s="1615"/>
      <c r="F442" s="1615"/>
      <c r="G442" s="1616"/>
      <c r="H442" s="1617"/>
      <c r="I442" s="1573">
        <f>SUM(J442:N442)</f>
        <v>98000</v>
      </c>
      <c r="J442" s="1575"/>
      <c r="K442" s="1575"/>
      <c r="L442" s="1575"/>
      <c r="M442" s="1575"/>
      <c r="N442" s="1592">
        <v>98000</v>
      </c>
    </row>
    <row r="443" spans="1:16" s="1618" customFormat="1" ht="18" customHeight="1" x14ac:dyDescent="0.3">
      <c r="A443" s="1528">
        <v>541</v>
      </c>
      <c r="B443" s="1613"/>
      <c r="C443" s="1614"/>
      <c r="D443" s="1578" t="s">
        <v>702</v>
      </c>
      <c r="E443" s="1615"/>
      <c r="F443" s="1615"/>
      <c r="G443" s="1616"/>
      <c r="H443" s="1617"/>
      <c r="I443" s="1593">
        <f>SUM(J443:N443)</f>
        <v>98000</v>
      </c>
      <c r="J443" s="1595"/>
      <c r="K443" s="1595"/>
      <c r="L443" s="1595"/>
      <c r="M443" s="1595"/>
      <c r="N443" s="1596">
        <v>98000</v>
      </c>
    </row>
    <row r="444" spans="1:16" s="1618" customFormat="1" ht="18" customHeight="1" x14ac:dyDescent="0.3">
      <c r="A444" s="1528">
        <v>542</v>
      </c>
      <c r="B444" s="1613"/>
      <c r="C444" s="1614"/>
      <c r="D444" s="1584" t="s">
        <v>745</v>
      </c>
      <c r="E444" s="1615"/>
      <c r="F444" s="1615"/>
      <c r="G444" s="1616"/>
      <c r="H444" s="1617"/>
      <c r="I444" s="1585">
        <f>SUM(J444:Q444)</f>
        <v>49000</v>
      </c>
      <c r="J444" s="1597"/>
      <c r="K444" s="1597"/>
      <c r="L444" s="1597"/>
      <c r="M444" s="1597"/>
      <c r="N444" s="1598">
        <v>49000</v>
      </c>
    </row>
    <row r="445" spans="1:16" s="1566" customFormat="1" ht="32.25" customHeight="1" x14ac:dyDescent="0.3">
      <c r="A445" s="1528">
        <v>544</v>
      </c>
      <c r="B445" s="1588"/>
      <c r="C445" s="1620">
        <v>83</v>
      </c>
      <c r="D445" s="1559" t="s">
        <v>500</v>
      </c>
      <c r="E445" s="1570">
        <v>17785</v>
      </c>
      <c r="F445" s="1570">
        <v>61213</v>
      </c>
      <c r="G445" s="1571">
        <v>17294</v>
      </c>
      <c r="H445" s="1572" t="s">
        <v>24</v>
      </c>
      <c r="I445" s="1573"/>
      <c r="J445" s="1574"/>
      <c r="K445" s="1574"/>
      <c r="L445" s="1574"/>
      <c r="M445" s="1574"/>
      <c r="N445" s="1592"/>
      <c r="P445" s="1577"/>
    </row>
    <row r="446" spans="1:16" s="1618" customFormat="1" ht="18" customHeight="1" x14ac:dyDescent="0.3">
      <c r="A446" s="1528">
        <v>545</v>
      </c>
      <c r="B446" s="1613"/>
      <c r="C446" s="1614"/>
      <c r="D446" s="1569" t="s">
        <v>239</v>
      </c>
      <c r="E446" s="1615"/>
      <c r="F446" s="1615"/>
      <c r="G446" s="1616"/>
      <c r="H446" s="1617"/>
      <c r="I446" s="1573">
        <f>SUM(J446:N446)</f>
        <v>23719</v>
      </c>
      <c r="J446" s="1575"/>
      <c r="K446" s="1575"/>
      <c r="L446" s="1575">
        <f>15000+8719</f>
        <v>23719</v>
      </c>
      <c r="M446" s="1575"/>
      <c r="N446" s="1592"/>
    </row>
    <row r="447" spans="1:16" s="1618" customFormat="1" ht="18" customHeight="1" x14ac:dyDescent="0.3">
      <c r="A447" s="1528">
        <v>546</v>
      </c>
      <c r="B447" s="1613"/>
      <c r="C447" s="1614"/>
      <c r="D447" s="1578" t="s">
        <v>702</v>
      </c>
      <c r="E447" s="1615"/>
      <c r="F447" s="1615"/>
      <c r="G447" s="1616"/>
      <c r="H447" s="1617"/>
      <c r="I447" s="1593">
        <f>SUM(J447:N447)</f>
        <v>19219</v>
      </c>
      <c r="J447" s="1595"/>
      <c r="K447" s="1595"/>
      <c r="L447" s="1595">
        <v>19219</v>
      </c>
      <c r="M447" s="1575"/>
      <c r="N447" s="1592"/>
    </row>
    <row r="448" spans="1:16" s="1618" customFormat="1" ht="18" customHeight="1" x14ac:dyDescent="0.3">
      <c r="A448" s="1528">
        <v>547</v>
      </c>
      <c r="B448" s="1613"/>
      <c r="C448" s="1614"/>
      <c r="D448" s="1584" t="s">
        <v>745</v>
      </c>
      <c r="E448" s="1615"/>
      <c r="F448" s="1615"/>
      <c r="G448" s="1616"/>
      <c r="H448" s="1617"/>
      <c r="I448" s="1585">
        <f>SUM(J448:Q448)</f>
        <v>4330</v>
      </c>
      <c r="J448" s="1597"/>
      <c r="K448" s="1597"/>
      <c r="L448" s="1597">
        <v>4330</v>
      </c>
      <c r="M448" s="1597"/>
      <c r="N448" s="1598"/>
    </row>
    <row r="449" spans="1:16" s="1577" customFormat="1" ht="22.5" customHeight="1" x14ac:dyDescent="0.3">
      <c r="A449" s="1528">
        <v>549</v>
      </c>
      <c r="B449" s="1567"/>
      <c r="C449" s="1589">
        <v>84</v>
      </c>
      <c r="D449" s="1559" t="s">
        <v>611</v>
      </c>
      <c r="E449" s="1570"/>
      <c r="F449" s="1570">
        <v>7500</v>
      </c>
      <c r="G449" s="1571">
        <v>6186</v>
      </c>
      <c r="H449" s="1572" t="s">
        <v>24</v>
      </c>
      <c r="I449" s="1573"/>
      <c r="J449" s="1574"/>
      <c r="K449" s="1574"/>
      <c r="L449" s="1574"/>
      <c r="M449" s="1574"/>
      <c r="N449" s="1576"/>
    </row>
    <row r="450" spans="1:16" s="1577" customFormat="1" ht="22.5" customHeight="1" x14ac:dyDescent="0.3">
      <c r="A450" s="1528">
        <v>550</v>
      </c>
      <c r="B450" s="1567"/>
      <c r="C450" s="1589">
        <v>85</v>
      </c>
      <c r="D450" s="1590" t="s">
        <v>54</v>
      </c>
      <c r="E450" s="1570"/>
      <c r="F450" s="1570">
        <v>11000</v>
      </c>
      <c r="G450" s="1571">
        <v>11000</v>
      </c>
      <c r="H450" s="1562" t="s">
        <v>24</v>
      </c>
      <c r="I450" s="1599"/>
      <c r="J450" s="1600"/>
      <c r="K450" s="1600"/>
      <c r="L450" s="1600"/>
      <c r="M450" s="1600"/>
      <c r="N450" s="1601"/>
    </row>
    <row r="451" spans="1:16" s="1577" customFormat="1" ht="18" customHeight="1" x14ac:dyDescent="0.3">
      <c r="A451" s="1528">
        <v>551</v>
      </c>
      <c r="B451" s="1567"/>
      <c r="C451" s="1589"/>
      <c r="D451" s="1569" t="s">
        <v>239</v>
      </c>
      <c r="E451" s="1570"/>
      <c r="F451" s="1570"/>
      <c r="G451" s="1571"/>
      <c r="H451" s="1562"/>
      <c r="I451" s="1573">
        <f>SUM(J451:N451)</f>
        <v>5000</v>
      </c>
      <c r="J451" s="1600"/>
      <c r="K451" s="1600"/>
      <c r="L451" s="1600"/>
      <c r="M451" s="1600"/>
      <c r="N451" s="1603">
        <v>5000</v>
      </c>
    </row>
    <row r="452" spans="1:16" s="1577" customFormat="1" ht="18" customHeight="1" x14ac:dyDescent="0.3">
      <c r="A452" s="1528">
        <v>552</v>
      </c>
      <c r="B452" s="1567"/>
      <c r="C452" s="1589"/>
      <c r="D452" s="1578" t="s">
        <v>702</v>
      </c>
      <c r="E452" s="1570"/>
      <c r="F452" s="1570"/>
      <c r="G452" s="1571"/>
      <c r="H452" s="1562"/>
      <c r="I452" s="1593">
        <f>SUM(J452:N452)</f>
        <v>5000</v>
      </c>
      <c r="J452" s="1605"/>
      <c r="K452" s="1605"/>
      <c r="L452" s="1605"/>
      <c r="M452" s="1605"/>
      <c r="N452" s="1606">
        <v>5000</v>
      </c>
    </row>
    <row r="453" spans="1:16" s="1577" customFormat="1" ht="18" customHeight="1" x14ac:dyDescent="0.3">
      <c r="A453" s="1528">
        <v>553</v>
      </c>
      <c r="B453" s="1567"/>
      <c r="C453" s="1589"/>
      <c r="D453" s="1584" t="s">
        <v>745</v>
      </c>
      <c r="E453" s="1570"/>
      <c r="F453" s="1570"/>
      <c r="G453" s="1571"/>
      <c r="H453" s="1562"/>
      <c r="I453" s="1585">
        <f>SUM(J453:Q453)</f>
        <v>5000</v>
      </c>
      <c r="J453" s="1607"/>
      <c r="K453" s="1607"/>
      <c r="L453" s="1607"/>
      <c r="M453" s="1607"/>
      <c r="N453" s="1608">
        <v>5000</v>
      </c>
    </row>
    <row r="454" spans="1:16" s="1566" customFormat="1" ht="22.5" customHeight="1" x14ac:dyDescent="0.3">
      <c r="A454" s="1528">
        <v>555</v>
      </c>
      <c r="B454" s="1588"/>
      <c r="C454" s="1589">
        <v>86</v>
      </c>
      <c r="D454" s="1590" t="s">
        <v>78</v>
      </c>
      <c r="E454" s="1570">
        <v>767</v>
      </c>
      <c r="F454" s="1570">
        <v>2100</v>
      </c>
      <c r="G454" s="1571">
        <v>1541</v>
      </c>
      <c r="H454" s="1572" t="s">
        <v>23</v>
      </c>
      <c r="I454" s="1573"/>
      <c r="J454" s="1574"/>
      <c r="K454" s="1574"/>
      <c r="L454" s="1574"/>
      <c r="M454" s="1574"/>
      <c r="N454" s="1576"/>
      <c r="P454" s="1577"/>
    </row>
    <row r="455" spans="1:16" s="1618" customFormat="1" ht="18" customHeight="1" x14ac:dyDescent="0.3">
      <c r="A455" s="1528">
        <v>556</v>
      </c>
      <c r="B455" s="1613"/>
      <c r="C455" s="1614"/>
      <c r="D455" s="1569" t="s">
        <v>239</v>
      </c>
      <c r="E455" s="1615"/>
      <c r="F455" s="1615"/>
      <c r="G455" s="1616"/>
      <c r="H455" s="1617"/>
      <c r="I455" s="1573">
        <f>SUM(J455:N455)</f>
        <v>6237</v>
      </c>
      <c r="J455" s="1575">
        <f>500+676</f>
        <v>1176</v>
      </c>
      <c r="K455" s="1575">
        <f>300+500</f>
        <v>800</v>
      </c>
      <c r="L455" s="1575">
        <f>1500+2761</f>
        <v>4261</v>
      </c>
      <c r="M455" s="1575"/>
      <c r="N455" s="1592"/>
    </row>
    <row r="456" spans="1:16" s="1618" customFormat="1" ht="18" customHeight="1" x14ac:dyDescent="0.3">
      <c r="A456" s="1528">
        <v>557</v>
      </c>
      <c r="B456" s="1613"/>
      <c r="C456" s="1614"/>
      <c r="D456" s="1578" t="s">
        <v>702</v>
      </c>
      <c r="E456" s="1615"/>
      <c r="F456" s="1615"/>
      <c r="G456" s="1616"/>
      <c r="H456" s="1617"/>
      <c r="I456" s="1593">
        <f>SUM(J456:N456)</f>
        <v>6237</v>
      </c>
      <c r="J456" s="1595">
        <v>1176</v>
      </c>
      <c r="K456" s="1595">
        <v>800</v>
      </c>
      <c r="L456" s="1595">
        <v>4261</v>
      </c>
      <c r="M456" s="1575"/>
      <c r="N456" s="1592"/>
    </row>
    <row r="457" spans="1:16" s="1618" customFormat="1" ht="18" customHeight="1" x14ac:dyDescent="0.3">
      <c r="A457" s="1528">
        <v>558</v>
      </c>
      <c r="B457" s="1613"/>
      <c r="C457" s="1614"/>
      <c r="D457" s="1584" t="s">
        <v>745</v>
      </c>
      <c r="E457" s="1615"/>
      <c r="F457" s="1615"/>
      <c r="G457" s="1616"/>
      <c r="H457" s="1617"/>
      <c r="I457" s="1585">
        <f>SUM(J457:Q457)</f>
        <v>325</v>
      </c>
      <c r="J457" s="1597">
        <v>80</v>
      </c>
      <c r="K457" s="1597">
        <v>0</v>
      </c>
      <c r="L457" s="1597">
        <v>245</v>
      </c>
      <c r="M457" s="1575"/>
      <c r="N457" s="1592"/>
    </row>
    <row r="458" spans="1:16" s="1577" customFormat="1" ht="22.5" customHeight="1" x14ac:dyDescent="0.3">
      <c r="A458" s="1528">
        <v>560</v>
      </c>
      <c r="B458" s="1567"/>
      <c r="C458" s="1589">
        <v>87</v>
      </c>
      <c r="D458" s="1559" t="s">
        <v>660</v>
      </c>
      <c r="E458" s="1570">
        <v>1288</v>
      </c>
      <c r="F458" s="1570">
        <v>2319</v>
      </c>
      <c r="G458" s="1571">
        <v>2514</v>
      </c>
      <c r="H458" s="1572" t="s">
        <v>24</v>
      </c>
      <c r="I458" s="1573"/>
      <c r="J458" s="1574"/>
      <c r="K458" s="1574"/>
      <c r="L458" s="1574"/>
      <c r="M458" s="1574"/>
      <c r="N458" s="1576"/>
    </row>
    <row r="459" spans="1:16" s="1618" customFormat="1" ht="18" customHeight="1" x14ac:dyDescent="0.3">
      <c r="A459" s="1528">
        <v>561</v>
      </c>
      <c r="B459" s="1613"/>
      <c r="C459" s="1614"/>
      <c r="D459" s="1569" t="s">
        <v>239</v>
      </c>
      <c r="E459" s="1615"/>
      <c r="F459" s="1615"/>
      <c r="G459" s="1616"/>
      <c r="H459" s="1617"/>
      <c r="I459" s="1573">
        <f>SUM(J459:N459)</f>
        <v>3594</v>
      </c>
      <c r="J459" s="1575"/>
      <c r="K459" s="1575"/>
      <c r="L459" s="1575">
        <v>3594</v>
      </c>
      <c r="M459" s="1575"/>
      <c r="N459" s="1592"/>
    </row>
    <row r="460" spans="1:16" s="1618" customFormat="1" ht="18" customHeight="1" x14ac:dyDescent="0.3">
      <c r="A460" s="1528">
        <v>562</v>
      </c>
      <c r="B460" s="1613"/>
      <c r="C460" s="1614"/>
      <c r="D460" s="1578" t="s">
        <v>702</v>
      </c>
      <c r="E460" s="1615"/>
      <c r="F460" s="1615"/>
      <c r="G460" s="1616"/>
      <c r="H460" s="1617"/>
      <c r="I460" s="1593">
        <f>SUM(J460:N460)</f>
        <v>5952</v>
      </c>
      <c r="J460" s="1595"/>
      <c r="K460" s="1595"/>
      <c r="L460" s="1595">
        <v>5952</v>
      </c>
      <c r="M460" s="1575"/>
      <c r="N460" s="1592"/>
    </row>
    <row r="461" spans="1:16" s="1618" customFormat="1" ht="18" customHeight="1" x14ac:dyDescent="0.3">
      <c r="A461" s="1528">
        <v>563</v>
      </c>
      <c r="B461" s="1613"/>
      <c r="C461" s="1614"/>
      <c r="D461" s="1584" t="s">
        <v>745</v>
      </c>
      <c r="E461" s="1615"/>
      <c r="F461" s="1615"/>
      <c r="G461" s="1616"/>
      <c r="H461" s="1617"/>
      <c r="I461" s="1585">
        <f>SUM(J461:Q461)</f>
        <v>1916</v>
      </c>
      <c r="J461" s="1597"/>
      <c r="K461" s="1597"/>
      <c r="L461" s="1597">
        <v>1916</v>
      </c>
      <c r="M461" s="1575"/>
      <c r="N461" s="1592"/>
    </row>
    <row r="462" spans="1:16" s="1566" customFormat="1" ht="22.5" customHeight="1" x14ac:dyDescent="0.3">
      <c r="A462" s="1528">
        <v>565</v>
      </c>
      <c r="B462" s="1588"/>
      <c r="C462" s="1589">
        <v>88</v>
      </c>
      <c r="D462" s="1590" t="s">
        <v>281</v>
      </c>
      <c r="E462" s="1570">
        <v>167016</v>
      </c>
      <c r="F462" s="1570">
        <v>191158</v>
      </c>
      <c r="G462" s="1571">
        <v>160827</v>
      </c>
      <c r="H462" s="1572" t="s">
        <v>23</v>
      </c>
      <c r="I462" s="1573"/>
      <c r="J462" s="1574"/>
      <c r="K462" s="1574"/>
      <c r="L462" s="1574"/>
      <c r="M462" s="1574"/>
      <c r="N462" s="1576"/>
      <c r="P462" s="1577"/>
    </row>
    <row r="463" spans="1:16" s="1618" customFormat="1" ht="18" customHeight="1" x14ac:dyDescent="0.3">
      <c r="A463" s="1528">
        <v>566</v>
      </c>
      <c r="B463" s="1613"/>
      <c r="C463" s="1614"/>
      <c r="D463" s="1569" t="s">
        <v>239</v>
      </c>
      <c r="E463" s="1615"/>
      <c r="F463" s="1615"/>
      <c r="G463" s="1616"/>
      <c r="H463" s="1617"/>
      <c r="I463" s="1573">
        <f>SUM(J463:N463)</f>
        <v>270071</v>
      </c>
      <c r="J463" s="1575"/>
      <c r="K463" s="1575"/>
      <c r="L463" s="1575">
        <f>240000+30071</f>
        <v>270071</v>
      </c>
      <c r="M463" s="1575"/>
      <c r="N463" s="1592"/>
    </row>
    <row r="464" spans="1:16" s="1618" customFormat="1" ht="18" customHeight="1" x14ac:dyDescent="0.3">
      <c r="A464" s="1528">
        <v>567</v>
      </c>
      <c r="B464" s="1613"/>
      <c r="C464" s="1614"/>
      <c r="D464" s="1578" t="s">
        <v>702</v>
      </c>
      <c r="E464" s="1615"/>
      <c r="F464" s="1615"/>
      <c r="G464" s="1616"/>
      <c r="H464" s="1617"/>
      <c r="I464" s="1593">
        <f>SUM(J464:N464)</f>
        <v>270071</v>
      </c>
      <c r="J464" s="1595"/>
      <c r="K464" s="1595"/>
      <c r="L464" s="1595">
        <v>270071</v>
      </c>
      <c r="M464" s="1575"/>
      <c r="N464" s="1592"/>
    </row>
    <row r="465" spans="1:16" s="1618" customFormat="1" ht="18" customHeight="1" x14ac:dyDescent="0.3">
      <c r="A465" s="1528">
        <v>568</v>
      </c>
      <c r="B465" s="1613"/>
      <c r="C465" s="1614"/>
      <c r="D465" s="1584" t="s">
        <v>745</v>
      </c>
      <c r="E465" s="1615"/>
      <c r="F465" s="1615"/>
      <c r="G465" s="1616"/>
      <c r="H465" s="1617"/>
      <c r="I465" s="1585">
        <f>SUM(J465:Q465)</f>
        <v>72838</v>
      </c>
      <c r="J465" s="1597"/>
      <c r="K465" s="1597"/>
      <c r="L465" s="1597">
        <v>72838</v>
      </c>
      <c r="M465" s="1597"/>
      <c r="N465" s="1598"/>
    </row>
    <row r="466" spans="1:16" s="1566" customFormat="1" ht="22.5" customHeight="1" x14ac:dyDescent="0.3">
      <c r="A466" s="1528">
        <v>570</v>
      </c>
      <c r="B466" s="1588"/>
      <c r="C466" s="1589">
        <v>89</v>
      </c>
      <c r="D466" s="1590" t="s">
        <v>73</v>
      </c>
      <c r="E466" s="1675">
        <v>162972</v>
      </c>
      <c r="F466" s="1675">
        <v>241302</v>
      </c>
      <c r="G466" s="1676">
        <v>149685</v>
      </c>
      <c r="H466" s="1572" t="s">
        <v>23</v>
      </c>
      <c r="I466" s="1573"/>
      <c r="J466" s="1574"/>
      <c r="K466" s="1574"/>
      <c r="L466" s="1574"/>
      <c r="M466" s="1574"/>
      <c r="N466" s="1576"/>
      <c r="P466" s="1577"/>
    </row>
    <row r="467" spans="1:16" s="1618" customFormat="1" ht="18" customHeight="1" x14ac:dyDescent="0.3">
      <c r="A467" s="1528">
        <v>571</v>
      </c>
      <c r="B467" s="1613"/>
      <c r="C467" s="1614"/>
      <c r="D467" s="1569" t="s">
        <v>239</v>
      </c>
      <c r="E467" s="1615"/>
      <c r="F467" s="1615"/>
      <c r="G467" s="1616"/>
      <c r="H467" s="1617"/>
      <c r="I467" s="1573">
        <f>SUM(J467:N467)</f>
        <v>256536</v>
      </c>
      <c r="J467" s="1575"/>
      <c r="K467" s="1575"/>
      <c r="L467" s="1575">
        <f>78359+119200+58977</f>
        <v>256536</v>
      </c>
      <c r="M467" s="1575"/>
      <c r="N467" s="1592"/>
    </row>
    <row r="468" spans="1:16" s="1618" customFormat="1" ht="18" customHeight="1" x14ac:dyDescent="0.3">
      <c r="A468" s="1528">
        <v>572</v>
      </c>
      <c r="B468" s="1613"/>
      <c r="C468" s="1614"/>
      <c r="D468" s="1578" t="s">
        <v>702</v>
      </c>
      <c r="E468" s="1615"/>
      <c r="F468" s="1615"/>
      <c r="G468" s="1616"/>
      <c r="H468" s="1617"/>
      <c r="I468" s="1593">
        <f>SUM(J468:N468)</f>
        <v>256536</v>
      </c>
      <c r="J468" s="1595"/>
      <c r="K468" s="1595"/>
      <c r="L468" s="1595">
        <v>256536</v>
      </c>
      <c r="M468" s="1575"/>
      <c r="N468" s="1592"/>
    </row>
    <row r="469" spans="1:16" s="1618" customFormat="1" ht="18" customHeight="1" x14ac:dyDescent="0.3">
      <c r="A469" s="1528">
        <v>573</v>
      </c>
      <c r="B469" s="1613"/>
      <c r="C469" s="1614"/>
      <c r="D469" s="1584" t="s">
        <v>745</v>
      </c>
      <c r="E469" s="1615"/>
      <c r="F469" s="1615"/>
      <c r="G469" s="1616"/>
      <c r="H469" s="1617"/>
      <c r="I469" s="1585">
        <f>SUM(J469:Q469)</f>
        <v>117854</v>
      </c>
      <c r="J469" s="1597"/>
      <c r="K469" s="1597"/>
      <c r="L469" s="1597">
        <v>117854</v>
      </c>
      <c r="M469" s="1597"/>
      <c r="N469" s="1598"/>
    </row>
    <row r="470" spans="1:16" s="1566" customFormat="1" ht="23.45" customHeight="1" x14ac:dyDescent="0.3">
      <c r="A470" s="1528">
        <v>575</v>
      </c>
      <c r="B470" s="1588"/>
      <c r="C470" s="1589">
        <v>90</v>
      </c>
      <c r="D470" s="1590" t="s">
        <v>74</v>
      </c>
      <c r="E470" s="1570">
        <v>20030</v>
      </c>
      <c r="F470" s="1570">
        <v>13970</v>
      </c>
      <c r="G470" s="1571">
        <v>10593</v>
      </c>
      <c r="H470" s="1572" t="s">
        <v>23</v>
      </c>
      <c r="I470" s="1573"/>
      <c r="J470" s="1574"/>
      <c r="K470" s="1574"/>
      <c r="L470" s="1574"/>
      <c r="M470" s="1574"/>
      <c r="N470" s="1576"/>
      <c r="P470" s="1577"/>
    </row>
    <row r="471" spans="1:16" s="1618" customFormat="1" ht="18" customHeight="1" x14ac:dyDescent="0.3">
      <c r="A471" s="1528">
        <v>576</v>
      </c>
      <c r="B471" s="1613"/>
      <c r="C471" s="1614"/>
      <c r="D471" s="1569" t="s">
        <v>239</v>
      </c>
      <c r="E471" s="1615"/>
      <c r="F471" s="1615"/>
      <c r="G471" s="1616"/>
      <c r="H471" s="1617"/>
      <c r="I471" s="1573">
        <f>SUM(J471:N471)</f>
        <v>15000</v>
      </c>
      <c r="J471" s="1575"/>
      <c r="K471" s="1575"/>
      <c r="L471" s="1575">
        <v>15000</v>
      </c>
      <c r="M471" s="1575"/>
      <c r="N471" s="1592"/>
    </row>
    <row r="472" spans="1:16" s="1618" customFormat="1" ht="18" customHeight="1" x14ac:dyDescent="0.3">
      <c r="A472" s="1528">
        <v>577</v>
      </c>
      <c r="B472" s="1613"/>
      <c r="C472" s="1614"/>
      <c r="D472" s="1578" t="s">
        <v>702</v>
      </c>
      <c r="E472" s="1615"/>
      <c r="F472" s="1615"/>
      <c r="G472" s="1616"/>
      <c r="H472" s="1617"/>
      <c r="I472" s="1593">
        <f>SUM(J472:N472)</f>
        <v>15000</v>
      </c>
      <c r="J472" s="1595"/>
      <c r="K472" s="1595"/>
      <c r="L472" s="1595">
        <v>15000</v>
      </c>
      <c r="M472" s="1575"/>
      <c r="N472" s="1592"/>
    </row>
    <row r="473" spans="1:16" s="1618" customFormat="1" ht="18" customHeight="1" x14ac:dyDescent="0.3">
      <c r="A473" s="1528">
        <v>578</v>
      </c>
      <c r="B473" s="1613"/>
      <c r="C473" s="1614"/>
      <c r="D473" s="1584" t="s">
        <v>745</v>
      </c>
      <c r="E473" s="1615"/>
      <c r="F473" s="1615"/>
      <c r="G473" s="1616"/>
      <c r="H473" s="1617"/>
      <c r="I473" s="1585">
        <f>SUM(J473:Q473)</f>
        <v>114</v>
      </c>
      <c r="J473" s="1597"/>
      <c r="K473" s="1597"/>
      <c r="L473" s="1597">
        <v>114</v>
      </c>
      <c r="M473" s="1597"/>
      <c r="N473" s="1598"/>
    </row>
    <row r="474" spans="1:16" s="1566" customFormat="1" ht="22.5" customHeight="1" x14ac:dyDescent="0.3">
      <c r="A474" s="1528">
        <v>580</v>
      </c>
      <c r="B474" s="1588"/>
      <c r="C474" s="1589">
        <v>91</v>
      </c>
      <c r="D474" s="1590" t="s">
        <v>624</v>
      </c>
      <c r="E474" s="1570">
        <v>1545456</v>
      </c>
      <c r="F474" s="1570">
        <v>1776573</v>
      </c>
      <c r="G474" s="1571">
        <v>1776573</v>
      </c>
      <c r="H474" s="1572" t="s">
        <v>23</v>
      </c>
      <c r="I474" s="1573"/>
      <c r="J474" s="1574"/>
      <c r="K474" s="1574"/>
      <c r="L474" s="1574"/>
      <c r="M474" s="1574"/>
      <c r="N474" s="1576"/>
    </row>
    <row r="475" spans="1:16" s="1566" customFormat="1" ht="20.100000000000001" customHeight="1" x14ac:dyDescent="0.3">
      <c r="A475" s="1528">
        <v>581</v>
      </c>
      <c r="B475" s="1588"/>
      <c r="C475" s="1589"/>
      <c r="D475" s="1677" t="s">
        <v>482</v>
      </c>
      <c r="E475" s="1570"/>
      <c r="F475" s="1570"/>
      <c r="G475" s="1571"/>
      <c r="H475" s="1572"/>
      <c r="I475" s="1573"/>
      <c r="J475" s="1574"/>
      <c r="K475" s="1574"/>
      <c r="L475" s="1574"/>
      <c r="M475" s="1574"/>
      <c r="N475" s="1576"/>
    </row>
    <row r="476" spans="1:16" s="1618" customFormat="1" ht="18" customHeight="1" x14ac:dyDescent="0.3">
      <c r="A476" s="1528">
        <v>582</v>
      </c>
      <c r="B476" s="1613"/>
      <c r="C476" s="1614"/>
      <c r="D476" s="1678" t="s">
        <v>239</v>
      </c>
      <c r="E476" s="1615"/>
      <c r="F476" s="1615"/>
      <c r="G476" s="1616"/>
      <c r="H476" s="1617"/>
      <c r="I476" s="1573">
        <f>SUM(J476:N476)</f>
        <v>1775824</v>
      </c>
      <c r="J476" s="1575"/>
      <c r="K476" s="1575"/>
      <c r="L476" s="1575"/>
      <c r="M476" s="1575"/>
      <c r="N476" s="1592">
        <f>1751063+24761</f>
        <v>1775824</v>
      </c>
    </row>
    <row r="477" spans="1:16" s="1618" customFormat="1" ht="18" customHeight="1" x14ac:dyDescent="0.3">
      <c r="A477" s="1528">
        <v>583</v>
      </c>
      <c r="B477" s="1613"/>
      <c r="C477" s="1614"/>
      <c r="D477" s="1578" t="s">
        <v>703</v>
      </c>
      <c r="E477" s="1615"/>
      <c r="F477" s="1615"/>
      <c r="G477" s="1616"/>
      <c r="H477" s="1617"/>
      <c r="I477" s="1593">
        <f>SUM(J477:N477)</f>
        <v>1775824</v>
      </c>
      <c r="J477" s="1595"/>
      <c r="K477" s="1595"/>
      <c r="L477" s="1595"/>
      <c r="M477" s="1595"/>
      <c r="N477" s="1596">
        <v>1775824</v>
      </c>
    </row>
    <row r="478" spans="1:16" s="1618" customFormat="1" ht="18" customHeight="1" x14ac:dyDescent="0.3">
      <c r="A478" s="1528">
        <v>584</v>
      </c>
      <c r="B478" s="1613"/>
      <c r="C478" s="1614"/>
      <c r="D478" s="1584" t="s">
        <v>747</v>
      </c>
      <c r="E478" s="1615"/>
      <c r="F478" s="1615"/>
      <c r="G478" s="1616"/>
      <c r="H478" s="1617"/>
      <c r="I478" s="1585">
        <f>SUM(J478:Q478)</f>
        <v>887987</v>
      </c>
      <c r="J478" s="1597"/>
      <c r="K478" s="1597"/>
      <c r="L478" s="1597"/>
      <c r="M478" s="1597"/>
      <c r="N478" s="1598">
        <v>887987</v>
      </c>
    </row>
    <row r="479" spans="1:16" s="1618" customFormat="1" ht="20.100000000000001" customHeight="1" x14ac:dyDescent="0.3">
      <c r="A479" s="1528">
        <v>586</v>
      </c>
      <c r="B479" s="1613"/>
      <c r="C479" s="1614"/>
      <c r="D479" s="1677" t="s">
        <v>481</v>
      </c>
      <c r="E479" s="1570">
        <v>12000</v>
      </c>
      <c r="F479" s="1570">
        <v>22980</v>
      </c>
      <c r="G479" s="1571">
        <v>22980</v>
      </c>
      <c r="H479" s="1617"/>
      <c r="I479" s="1573"/>
      <c r="J479" s="1575"/>
      <c r="K479" s="1575"/>
      <c r="L479" s="1575"/>
      <c r="M479" s="1575"/>
      <c r="N479" s="1592"/>
    </row>
    <row r="480" spans="1:16" s="1618" customFormat="1" ht="18" customHeight="1" x14ac:dyDescent="0.3">
      <c r="A480" s="1528">
        <v>587</v>
      </c>
      <c r="B480" s="1613"/>
      <c r="C480" s="1614"/>
      <c r="D480" s="1678" t="s">
        <v>239</v>
      </c>
      <c r="E480" s="1615"/>
      <c r="F480" s="1615"/>
      <c r="G480" s="1616"/>
      <c r="H480" s="1617"/>
      <c r="I480" s="1573">
        <f>SUM(J480:N480)</f>
        <v>24544</v>
      </c>
      <c r="J480" s="1575"/>
      <c r="K480" s="1575"/>
      <c r="L480" s="1575"/>
      <c r="M480" s="1575"/>
      <c r="N480" s="1592">
        <v>24544</v>
      </c>
    </row>
    <row r="481" spans="1:16" s="1618" customFormat="1" ht="18" customHeight="1" x14ac:dyDescent="0.3">
      <c r="A481" s="1528">
        <v>588</v>
      </c>
      <c r="B481" s="1613"/>
      <c r="C481" s="1614"/>
      <c r="D481" s="1578" t="s">
        <v>703</v>
      </c>
      <c r="E481" s="1615"/>
      <c r="F481" s="1615"/>
      <c r="G481" s="1616"/>
      <c r="H481" s="1617"/>
      <c r="I481" s="1593">
        <f>SUM(J481:N481)</f>
        <v>24544</v>
      </c>
      <c r="J481" s="1595"/>
      <c r="K481" s="1595"/>
      <c r="L481" s="1595"/>
      <c r="M481" s="1595"/>
      <c r="N481" s="1596">
        <v>24544</v>
      </c>
    </row>
    <row r="482" spans="1:16" s="1618" customFormat="1" ht="18" customHeight="1" x14ac:dyDescent="0.3">
      <c r="A482" s="1528">
        <v>589</v>
      </c>
      <c r="B482" s="1613"/>
      <c r="C482" s="1614"/>
      <c r="D482" s="1584" t="s">
        <v>747</v>
      </c>
      <c r="E482" s="1615"/>
      <c r="F482" s="1615"/>
      <c r="G482" s="1616"/>
      <c r="H482" s="1617"/>
      <c r="I482" s="1585">
        <f>SUM(J482:Q482)</f>
        <v>12116</v>
      </c>
      <c r="J482" s="1597"/>
      <c r="K482" s="1597"/>
      <c r="L482" s="1597"/>
      <c r="M482" s="1597"/>
      <c r="N482" s="1598">
        <v>12116</v>
      </c>
    </row>
    <row r="483" spans="1:16" s="1618" customFormat="1" ht="32.25" customHeight="1" x14ac:dyDescent="0.3">
      <c r="A483" s="1528">
        <v>591</v>
      </c>
      <c r="B483" s="1613"/>
      <c r="C483" s="1620">
        <v>92</v>
      </c>
      <c r="D483" s="1590" t="s">
        <v>501</v>
      </c>
      <c r="E483" s="1570">
        <v>22857</v>
      </c>
      <c r="F483" s="1570">
        <v>26000</v>
      </c>
      <c r="G483" s="1571">
        <v>25967</v>
      </c>
      <c r="H483" s="1572" t="s">
        <v>23</v>
      </c>
      <c r="I483" s="1573"/>
      <c r="J483" s="1575"/>
      <c r="K483" s="1575"/>
      <c r="L483" s="1575"/>
      <c r="M483" s="1575"/>
      <c r="N483" s="1592"/>
    </row>
    <row r="484" spans="1:16" s="1618" customFormat="1" ht="18" customHeight="1" x14ac:dyDescent="0.3">
      <c r="A484" s="1528">
        <v>592</v>
      </c>
      <c r="B484" s="1613"/>
      <c r="C484" s="1614"/>
      <c r="D484" s="1569" t="s">
        <v>239</v>
      </c>
      <c r="E484" s="1615"/>
      <c r="F484" s="1615"/>
      <c r="G484" s="1616"/>
      <c r="H484" s="1572"/>
      <c r="I484" s="1573">
        <f>SUM(J484:N484)</f>
        <v>30000</v>
      </c>
      <c r="J484" s="1575"/>
      <c r="K484" s="1575"/>
      <c r="L484" s="1575"/>
      <c r="M484" s="1575"/>
      <c r="N484" s="1592">
        <v>30000</v>
      </c>
    </row>
    <row r="485" spans="1:16" s="1618" customFormat="1" ht="18" customHeight="1" x14ac:dyDescent="0.3">
      <c r="A485" s="1528">
        <v>593</v>
      </c>
      <c r="B485" s="1613"/>
      <c r="C485" s="1614"/>
      <c r="D485" s="1578" t="s">
        <v>702</v>
      </c>
      <c r="E485" s="1615"/>
      <c r="F485" s="1615"/>
      <c r="G485" s="1616"/>
      <c r="H485" s="1572"/>
      <c r="I485" s="1593">
        <f>SUM(J485:N485)</f>
        <v>30000</v>
      </c>
      <c r="J485" s="1595"/>
      <c r="K485" s="1595"/>
      <c r="L485" s="1595"/>
      <c r="M485" s="1595"/>
      <c r="N485" s="1596">
        <v>30000</v>
      </c>
    </row>
    <row r="486" spans="1:16" s="1618" customFormat="1" ht="18" customHeight="1" x14ac:dyDescent="0.3">
      <c r="A486" s="1528">
        <v>594</v>
      </c>
      <c r="B486" s="1613"/>
      <c r="C486" s="1614"/>
      <c r="D486" s="1584" t="s">
        <v>745</v>
      </c>
      <c r="E486" s="1615"/>
      <c r="F486" s="1615"/>
      <c r="G486" s="1616"/>
      <c r="H486" s="1572"/>
      <c r="I486" s="1585">
        <f>SUM(J486:Q486)</f>
        <v>0</v>
      </c>
      <c r="J486" s="1597"/>
      <c r="K486" s="1597"/>
      <c r="L486" s="1597"/>
      <c r="M486" s="1597"/>
      <c r="N486" s="1598">
        <v>0</v>
      </c>
    </row>
    <row r="487" spans="1:16" s="1566" customFormat="1" ht="22.5" customHeight="1" x14ac:dyDescent="0.3">
      <c r="A487" s="1528">
        <v>596</v>
      </c>
      <c r="B487" s="1588"/>
      <c r="C487" s="1589">
        <v>93</v>
      </c>
      <c r="D487" s="1590" t="s">
        <v>605</v>
      </c>
      <c r="E487" s="1570">
        <v>60202</v>
      </c>
      <c r="F487" s="1570">
        <v>86894</v>
      </c>
      <c r="G487" s="1571">
        <v>50465</v>
      </c>
      <c r="H487" s="1572" t="s">
        <v>24</v>
      </c>
      <c r="I487" s="1573"/>
      <c r="J487" s="1574"/>
      <c r="K487" s="1574"/>
      <c r="L487" s="1574"/>
      <c r="M487" s="1574"/>
      <c r="N487" s="1576"/>
    </row>
    <row r="488" spans="1:16" s="1618" customFormat="1" ht="18" customHeight="1" x14ac:dyDescent="0.3">
      <c r="A488" s="1528">
        <v>597</v>
      </c>
      <c r="B488" s="1613"/>
      <c r="C488" s="1614"/>
      <c r="D488" s="1569" t="s">
        <v>239</v>
      </c>
      <c r="E488" s="1615"/>
      <c r="F488" s="1615"/>
      <c r="G488" s="1616"/>
      <c r="H488" s="1617"/>
      <c r="I488" s="1573">
        <f>SUM(J488:N488)</f>
        <v>69260</v>
      </c>
      <c r="J488" s="1575"/>
      <c r="K488" s="1575"/>
      <c r="L488" s="1575">
        <v>69260</v>
      </c>
      <c r="M488" s="1575"/>
      <c r="N488" s="1592"/>
    </row>
    <row r="489" spans="1:16" s="1618" customFormat="1" ht="18" customHeight="1" x14ac:dyDescent="0.3">
      <c r="A489" s="1528">
        <v>598</v>
      </c>
      <c r="B489" s="1613"/>
      <c r="C489" s="1614"/>
      <c r="D489" s="1578" t="s">
        <v>702</v>
      </c>
      <c r="E489" s="1615"/>
      <c r="F489" s="1615"/>
      <c r="G489" s="1616"/>
      <c r="H489" s="1617"/>
      <c r="I489" s="1593">
        <f>SUM(J489:N489)</f>
        <v>69260</v>
      </c>
      <c r="J489" s="1595"/>
      <c r="K489" s="1595"/>
      <c r="L489" s="1595">
        <v>69260</v>
      </c>
      <c r="M489" s="1575"/>
      <c r="N489" s="1592"/>
    </row>
    <row r="490" spans="1:16" s="1618" customFormat="1" ht="18" customHeight="1" x14ac:dyDescent="0.3">
      <c r="A490" s="1528">
        <v>599</v>
      </c>
      <c r="B490" s="1613"/>
      <c r="C490" s="1614"/>
      <c r="D490" s="1584" t="s">
        <v>745</v>
      </c>
      <c r="E490" s="1615"/>
      <c r="F490" s="1615"/>
      <c r="G490" s="1616"/>
      <c r="H490" s="1617"/>
      <c r="I490" s="1585">
        <f>SUM(J490:Q490)</f>
        <v>29232</v>
      </c>
      <c r="J490" s="1597"/>
      <c r="K490" s="1597"/>
      <c r="L490" s="1597">
        <v>29232</v>
      </c>
      <c r="M490" s="1597"/>
      <c r="N490" s="1598"/>
    </row>
    <row r="491" spans="1:16" s="1566" customFormat="1" ht="22.5" customHeight="1" x14ac:dyDescent="0.3">
      <c r="A491" s="1528">
        <v>601</v>
      </c>
      <c r="B491" s="1588"/>
      <c r="C491" s="1589"/>
      <c r="D491" s="1679" t="s">
        <v>234</v>
      </c>
      <c r="E491" s="1570"/>
      <c r="F491" s="1570"/>
      <c r="G491" s="1571"/>
      <c r="H491" s="1572"/>
      <c r="I491" s="1599"/>
      <c r="J491" s="1600"/>
      <c r="K491" s="1600"/>
      <c r="L491" s="1600"/>
      <c r="M491" s="1600"/>
      <c r="N491" s="1601"/>
      <c r="O491" s="1577"/>
      <c r="P491" s="1577"/>
    </row>
    <row r="492" spans="1:16" s="1566" customFormat="1" ht="22.5" customHeight="1" x14ac:dyDescent="0.3">
      <c r="A492" s="1528">
        <v>602</v>
      </c>
      <c r="B492" s="1588"/>
      <c r="C492" s="1589">
        <v>94</v>
      </c>
      <c r="D492" s="1677" t="s">
        <v>8</v>
      </c>
      <c r="E492" s="1570">
        <v>448683</v>
      </c>
      <c r="F492" s="1570">
        <v>471000</v>
      </c>
      <c r="G492" s="1571">
        <v>465000</v>
      </c>
      <c r="H492" s="1572" t="s">
        <v>23</v>
      </c>
      <c r="I492" s="1573"/>
      <c r="J492" s="1574"/>
      <c r="K492" s="1574"/>
      <c r="L492" s="1574"/>
      <c r="M492" s="1574"/>
      <c r="N492" s="1576"/>
      <c r="P492" s="1577"/>
    </row>
    <row r="493" spans="1:16" s="1618" customFormat="1" ht="18" customHeight="1" x14ac:dyDescent="0.3">
      <c r="A493" s="1528">
        <v>603</v>
      </c>
      <c r="B493" s="1613"/>
      <c r="C493" s="1614"/>
      <c r="D493" s="1678" t="s">
        <v>239</v>
      </c>
      <c r="E493" s="1615"/>
      <c r="F493" s="1615"/>
      <c r="G493" s="1616"/>
      <c r="H493" s="1617"/>
      <c r="I493" s="1573">
        <f>SUM(J493:N493)</f>
        <v>494000</v>
      </c>
      <c r="J493" s="1575"/>
      <c r="K493" s="1575"/>
      <c r="L493" s="1575"/>
      <c r="M493" s="1575"/>
      <c r="N493" s="1592">
        <v>494000</v>
      </c>
    </row>
    <row r="494" spans="1:16" s="1618" customFormat="1" ht="18" customHeight="1" x14ac:dyDescent="0.3">
      <c r="A494" s="1528">
        <v>604</v>
      </c>
      <c r="B494" s="1613"/>
      <c r="C494" s="1614"/>
      <c r="D494" s="1578" t="s">
        <v>703</v>
      </c>
      <c r="E494" s="1615"/>
      <c r="F494" s="1615"/>
      <c r="G494" s="1616"/>
      <c r="H494" s="1617"/>
      <c r="I494" s="1593">
        <f>SUM(J494:N494)</f>
        <v>494000</v>
      </c>
      <c r="J494" s="1595"/>
      <c r="K494" s="1595"/>
      <c r="L494" s="1595"/>
      <c r="M494" s="1595"/>
      <c r="N494" s="1596">
        <v>494000</v>
      </c>
    </row>
    <row r="495" spans="1:16" s="1618" customFormat="1" ht="18" customHeight="1" x14ac:dyDescent="0.3">
      <c r="A495" s="1528">
        <v>605</v>
      </c>
      <c r="B495" s="1613"/>
      <c r="C495" s="1614"/>
      <c r="D495" s="1584" t="s">
        <v>747</v>
      </c>
      <c r="E495" s="1615"/>
      <c r="F495" s="1615"/>
      <c r="G495" s="1616"/>
      <c r="H495" s="1617"/>
      <c r="I495" s="1585">
        <f>SUM(J495:Q495)</f>
        <v>284000</v>
      </c>
      <c r="J495" s="1575"/>
      <c r="K495" s="1575"/>
      <c r="L495" s="1575"/>
      <c r="M495" s="1575"/>
      <c r="N495" s="1641">
        <v>284000</v>
      </c>
    </row>
    <row r="496" spans="1:16" s="1566" customFormat="1" ht="22.5" customHeight="1" x14ac:dyDescent="0.3">
      <c r="A496" s="1528">
        <v>607</v>
      </c>
      <c r="B496" s="1588"/>
      <c r="C496" s="1589">
        <v>95</v>
      </c>
      <c r="D496" s="1677" t="s">
        <v>233</v>
      </c>
      <c r="E496" s="1570">
        <v>88700</v>
      </c>
      <c r="F496" s="1570">
        <v>89000</v>
      </c>
      <c r="G496" s="1571">
        <v>89000</v>
      </c>
      <c r="H496" s="1572" t="s">
        <v>23</v>
      </c>
      <c r="I496" s="1573"/>
      <c r="J496" s="1574"/>
      <c r="K496" s="1574"/>
      <c r="L496" s="1574"/>
      <c r="M496" s="1574"/>
      <c r="N496" s="1576"/>
      <c r="P496" s="1577"/>
    </row>
    <row r="497" spans="1:16" s="1618" customFormat="1" ht="18" customHeight="1" x14ac:dyDescent="0.3">
      <c r="A497" s="1528">
        <v>608</v>
      </c>
      <c r="B497" s="1613"/>
      <c r="C497" s="1614"/>
      <c r="D497" s="1678" t="s">
        <v>239</v>
      </c>
      <c r="E497" s="1615"/>
      <c r="F497" s="1615"/>
      <c r="G497" s="1616"/>
      <c r="H497" s="1617"/>
      <c r="I497" s="1573">
        <f>SUM(J497:N497)</f>
        <v>90000</v>
      </c>
      <c r="J497" s="1575"/>
      <c r="K497" s="1575"/>
      <c r="L497" s="1575"/>
      <c r="M497" s="1575"/>
      <c r="N497" s="1592">
        <v>90000</v>
      </c>
    </row>
    <row r="498" spans="1:16" s="1618" customFormat="1" ht="18" customHeight="1" x14ac:dyDescent="0.3">
      <c r="A498" s="1528">
        <v>609</v>
      </c>
      <c r="B498" s="1613"/>
      <c r="C498" s="1614"/>
      <c r="D498" s="1578" t="s">
        <v>704</v>
      </c>
      <c r="E498" s="1615"/>
      <c r="F498" s="1615"/>
      <c r="G498" s="1616"/>
      <c r="H498" s="1617"/>
      <c r="I498" s="1593">
        <f>SUM(J498:N498)</f>
        <v>90000</v>
      </c>
      <c r="J498" s="1595"/>
      <c r="K498" s="1595"/>
      <c r="L498" s="1595"/>
      <c r="M498" s="1595"/>
      <c r="N498" s="1596">
        <v>90000</v>
      </c>
    </row>
    <row r="499" spans="1:16" s="1618" customFormat="1" ht="18" customHeight="1" x14ac:dyDescent="0.3">
      <c r="A499" s="1528">
        <v>610</v>
      </c>
      <c r="B499" s="1613"/>
      <c r="C499" s="1614"/>
      <c r="D499" s="1584" t="s">
        <v>748</v>
      </c>
      <c r="E499" s="1615"/>
      <c r="F499" s="1615"/>
      <c r="G499" s="1616"/>
      <c r="H499" s="1617"/>
      <c r="I499" s="1585">
        <f>SUM(J499:Q499)</f>
        <v>52360</v>
      </c>
      <c r="J499" s="1575"/>
      <c r="K499" s="1575"/>
      <c r="L499" s="1575"/>
      <c r="M499" s="1575"/>
      <c r="N499" s="1641">
        <v>52360</v>
      </c>
    </row>
    <row r="500" spans="1:16" s="1566" customFormat="1" ht="22.5" customHeight="1" x14ac:dyDescent="0.3">
      <c r="A500" s="1528">
        <v>612</v>
      </c>
      <c r="B500" s="1588"/>
      <c r="C500" s="1589">
        <v>96</v>
      </c>
      <c r="D500" s="1677" t="s">
        <v>9</v>
      </c>
      <c r="E500" s="1570">
        <v>383700</v>
      </c>
      <c r="F500" s="1570">
        <v>399000</v>
      </c>
      <c r="G500" s="1571">
        <v>399000</v>
      </c>
      <c r="H500" s="1572" t="s">
        <v>23</v>
      </c>
      <c r="I500" s="1573"/>
      <c r="J500" s="1574"/>
      <c r="K500" s="1574"/>
      <c r="L500" s="1574"/>
      <c r="M500" s="1574"/>
      <c r="N500" s="1576"/>
      <c r="P500" s="1577"/>
    </row>
    <row r="501" spans="1:16" s="1618" customFormat="1" ht="18" customHeight="1" x14ac:dyDescent="0.3">
      <c r="A501" s="1528">
        <v>613</v>
      </c>
      <c r="B501" s="1613"/>
      <c r="C501" s="1614"/>
      <c r="D501" s="1678" t="s">
        <v>239</v>
      </c>
      <c r="E501" s="1615"/>
      <c r="F501" s="1615"/>
      <c r="G501" s="1616"/>
      <c r="H501" s="1617"/>
      <c r="I501" s="1573">
        <f>SUM(J501:N501)</f>
        <v>440000</v>
      </c>
      <c r="J501" s="1575"/>
      <c r="K501" s="1575"/>
      <c r="L501" s="1575"/>
      <c r="M501" s="1575"/>
      <c r="N501" s="1592">
        <v>440000</v>
      </c>
    </row>
    <row r="502" spans="1:16" s="1618" customFormat="1" ht="18" customHeight="1" x14ac:dyDescent="0.3">
      <c r="A502" s="1528">
        <v>614</v>
      </c>
      <c r="B502" s="1613"/>
      <c r="C502" s="1614"/>
      <c r="D502" s="1578" t="s">
        <v>704</v>
      </c>
      <c r="E502" s="1615"/>
      <c r="F502" s="1615"/>
      <c r="G502" s="1616"/>
      <c r="H502" s="1617"/>
      <c r="I502" s="1593">
        <f>SUM(J502:N502)</f>
        <v>440000</v>
      </c>
      <c r="J502" s="1595"/>
      <c r="K502" s="1595"/>
      <c r="L502" s="1595"/>
      <c r="M502" s="1595"/>
      <c r="N502" s="1596">
        <v>440000</v>
      </c>
    </row>
    <row r="503" spans="1:16" s="1618" customFormat="1" ht="18" customHeight="1" x14ac:dyDescent="0.3">
      <c r="A503" s="1528">
        <v>615</v>
      </c>
      <c r="B503" s="1613"/>
      <c r="C503" s="1614"/>
      <c r="D503" s="1584" t="s">
        <v>748</v>
      </c>
      <c r="E503" s="1615"/>
      <c r="F503" s="1615"/>
      <c r="G503" s="1616"/>
      <c r="H503" s="1617"/>
      <c r="I503" s="1585">
        <f>SUM(J503:Q503)</f>
        <v>251000</v>
      </c>
      <c r="J503" s="1575"/>
      <c r="K503" s="1575"/>
      <c r="L503" s="1575"/>
      <c r="M503" s="1575"/>
      <c r="N503" s="1641">
        <v>251000</v>
      </c>
    </row>
    <row r="504" spans="1:16" s="1566" customFormat="1" ht="22.5" customHeight="1" x14ac:dyDescent="0.3">
      <c r="A504" s="1528">
        <v>617</v>
      </c>
      <c r="B504" s="1588"/>
      <c r="C504" s="1589">
        <v>97</v>
      </c>
      <c r="D504" s="1677" t="s">
        <v>7</v>
      </c>
      <c r="E504" s="1570">
        <v>71700</v>
      </c>
      <c r="F504" s="1570">
        <v>72000</v>
      </c>
      <c r="G504" s="1571">
        <v>72000</v>
      </c>
      <c r="H504" s="1572" t="s">
        <v>23</v>
      </c>
      <c r="I504" s="1573"/>
      <c r="J504" s="1574"/>
      <c r="K504" s="1574"/>
      <c r="L504" s="1574"/>
      <c r="M504" s="1574"/>
      <c r="N504" s="1576"/>
      <c r="P504" s="1577"/>
    </row>
    <row r="505" spans="1:16" s="1618" customFormat="1" ht="18" customHeight="1" x14ac:dyDescent="0.3">
      <c r="A505" s="1528">
        <v>618</v>
      </c>
      <c r="B505" s="1613"/>
      <c r="C505" s="1614"/>
      <c r="D505" s="1678" t="s">
        <v>239</v>
      </c>
      <c r="E505" s="1615"/>
      <c r="F505" s="1615"/>
      <c r="G505" s="1616"/>
      <c r="H505" s="1617"/>
      <c r="I505" s="1573">
        <f>SUM(J505:N505)</f>
        <v>80000</v>
      </c>
      <c r="J505" s="1575"/>
      <c r="K505" s="1575"/>
      <c r="L505" s="1575"/>
      <c r="M505" s="1575"/>
      <c r="N505" s="1592">
        <v>80000</v>
      </c>
    </row>
    <row r="506" spans="1:16" s="1618" customFormat="1" ht="18" customHeight="1" x14ac:dyDescent="0.3">
      <c r="A506" s="1528">
        <v>619</v>
      </c>
      <c r="B506" s="1613"/>
      <c r="C506" s="1614"/>
      <c r="D506" s="1578" t="s">
        <v>704</v>
      </c>
      <c r="E506" s="1615"/>
      <c r="F506" s="1615"/>
      <c r="G506" s="1616"/>
      <c r="H506" s="1617"/>
      <c r="I506" s="1593">
        <f>SUM(J506:N506)</f>
        <v>80000</v>
      </c>
      <c r="J506" s="1595"/>
      <c r="K506" s="1595"/>
      <c r="L506" s="1595"/>
      <c r="M506" s="1595"/>
      <c r="N506" s="1596">
        <v>80000</v>
      </c>
    </row>
    <row r="507" spans="1:16" s="1618" customFormat="1" ht="18" customHeight="1" x14ac:dyDescent="0.3">
      <c r="A507" s="1528">
        <v>620</v>
      </c>
      <c r="B507" s="1613"/>
      <c r="C507" s="1614"/>
      <c r="D507" s="1584" t="s">
        <v>748</v>
      </c>
      <c r="E507" s="1615"/>
      <c r="F507" s="1615"/>
      <c r="G507" s="1616"/>
      <c r="H507" s="1617"/>
      <c r="I507" s="1585">
        <f>SUM(J507:Q507)</f>
        <v>45000</v>
      </c>
      <c r="J507" s="1575"/>
      <c r="K507" s="1575"/>
      <c r="L507" s="1575"/>
      <c r="M507" s="1575"/>
      <c r="N507" s="1641">
        <v>45000</v>
      </c>
    </row>
    <row r="508" spans="1:16" s="1566" customFormat="1" ht="22.5" customHeight="1" x14ac:dyDescent="0.3">
      <c r="A508" s="1528">
        <v>622</v>
      </c>
      <c r="B508" s="1588"/>
      <c r="C508" s="1589">
        <v>162</v>
      </c>
      <c r="D508" s="1677" t="s">
        <v>483</v>
      </c>
      <c r="E508" s="1570"/>
      <c r="F508" s="1570">
        <v>20000</v>
      </c>
      <c r="G508" s="1571">
        <v>20000</v>
      </c>
      <c r="H508" s="1572" t="s">
        <v>23</v>
      </c>
      <c r="I508" s="1573"/>
      <c r="J508" s="1574"/>
      <c r="K508" s="1574"/>
      <c r="L508" s="1574"/>
      <c r="M508" s="1574"/>
      <c r="N508" s="1592"/>
      <c r="P508" s="1577"/>
    </row>
    <row r="509" spans="1:16" s="1566" customFormat="1" ht="18" customHeight="1" x14ac:dyDescent="0.3">
      <c r="A509" s="1528">
        <v>623</v>
      </c>
      <c r="B509" s="1588"/>
      <c r="C509" s="1589"/>
      <c r="D509" s="1678" t="s">
        <v>239</v>
      </c>
      <c r="E509" s="1570"/>
      <c r="F509" s="1570"/>
      <c r="G509" s="1571"/>
      <c r="H509" s="1572"/>
      <c r="I509" s="1573">
        <f>SUM(J509:N509)</f>
        <v>25000</v>
      </c>
      <c r="J509" s="1574"/>
      <c r="K509" s="1574"/>
      <c r="L509" s="1574"/>
      <c r="M509" s="1574"/>
      <c r="N509" s="1592">
        <v>25000</v>
      </c>
      <c r="P509" s="1577"/>
    </row>
    <row r="510" spans="1:16" s="1566" customFormat="1" ht="18" customHeight="1" x14ac:dyDescent="0.3">
      <c r="A510" s="1528">
        <v>624</v>
      </c>
      <c r="B510" s="1588"/>
      <c r="C510" s="1589"/>
      <c r="D510" s="1578" t="s">
        <v>704</v>
      </c>
      <c r="E510" s="1570"/>
      <c r="F510" s="1570"/>
      <c r="G510" s="1571"/>
      <c r="H510" s="1572"/>
      <c r="I510" s="1593">
        <f>SUM(J510:N510)</f>
        <v>25000</v>
      </c>
      <c r="J510" s="1594"/>
      <c r="K510" s="1594"/>
      <c r="L510" s="1594"/>
      <c r="M510" s="1594"/>
      <c r="N510" s="1596">
        <v>25000</v>
      </c>
      <c r="P510" s="1577"/>
    </row>
    <row r="511" spans="1:16" s="1566" customFormat="1" ht="18" customHeight="1" x14ac:dyDescent="0.3">
      <c r="A511" s="1528">
        <v>625</v>
      </c>
      <c r="B511" s="1588"/>
      <c r="C511" s="1589"/>
      <c r="D511" s="1584" t="s">
        <v>748</v>
      </c>
      <c r="E511" s="1570"/>
      <c r="F511" s="1570"/>
      <c r="G511" s="1571"/>
      <c r="H511" s="1572"/>
      <c r="I511" s="1585">
        <f>SUM(J511:Q511)</f>
        <v>13889</v>
      </c>
      <c r="J511" s="1574"/>
      <c r="K511" s="1574"/>
      <c r="L511" s="1574"/>
      <c r="M511" s="1574"/>
      <c r="N511" s="1641">
        <v>13889</v>
      </c>
      <c r="P511" s="1577"/>
    </row>
    <row r="512" spans="1:16" s="1566" customFormat="1" ht="22.5" customHeight="1" x14ac:dyDescent="0.3">
      <c r="A512" s="1528">
        <v>627</v>
      </c>
      <c r="B512" s="1588"/>
      <c r="C512" s="1589"/>
      <c r="D512" s="1679" t="s">
        <v>235</v>
      </c>
      <c r="E512" s="1570"/>
      <c r="F512" s="1570"/>
      <c r="G512" s="1571"/>
      <c r="H512" s="1572"/>
      <c r="I512" s="1599"/>
      <c r="J512" s="1600"/>
      <c r="K512" s="1600"/>
      <c r="L512" s="1600"/>
      <c r="M512" s="1600"/>
      <c r="N512" s="1601"/>
      <c r="O512" s="1577"/>
      <c r="P512" s="1577"/>
    </row>
    <row r="513" spans="1:16" s="1566" customFormat="1" ht="22.5" customHeight="1" x14ac:dyDescent="0.3">
      <c r="A513" s="1528">
        <v>628</v>
      </c>
      <c r="B513" s="1588"/>
      <c r="C513" s="1589">
        <v>98</v>
      </c>
      <c r="D513" s="1677" t="s">
        <v>326</v>
      </c>
      <c r="E513" s="1570">
        <v>77429</v>
      </c>
      <c r="F513" s="1570">
        <v>75000</v>
      </c>
      <c r="G513" s="1571">
        <v>75000</v>
      </c>
      <c r="H513" s="1572" t="s">
        <v>23</v>
      </c>
      <c r="I513" s="1573"/>
      <c r="J513" s="1574"/>
      <c r="K513" s="1574"/>
      <c r="L513" s="1574"/>
      <c r="M513" s="1574"/>
      <c r="N513" s="1576"/>
      <c r="P513" s="1577"/>
    </row>
    <row r="514" spans="1:16" s="1566" customFormat="1" ht="18" customHeight="1" x14ac:dyDescent="0.3">
      <c r="A514" s="1528">
        <v>629</v>
      </c>
      <c r="B514" s="1588"/>
      <c r="C514" s="1589"/>
      <c r="D514" s="1678" t="s">
        <v>239</v>
      </c>
      <c r="E514" s="1570"/>
      <c r="F514" s="1570"/>
      <c r="G514" s="1571"/>
      <c r="H514" s="1572"/>
      <c r="I514" s="1573">
        <f>SUM(J514:N514)</f>
        <v>82500</v>
      </c>
      <c r="J514" s="1574"/>
      <c r="K514" s="1574"/>
      <c r="L514" s="1574"/>
      <c r="M514" s="1574"/>
      <c r="N514" s="1592">
        <v>82500</v>
      </c>
      <c r="P514" s="1577"/>
    </row>
    <row r="515" spans="1:16" s="1566" customFormat="1" ht="18" customHeight="1" x14ac:dyDescent="0.3">
      <c r="A515" s="1528">
        <v>630</v>
      </c>
      <c r="B515" s="1588"/>
      <c r="C515" s="1589"/>
      <c r="D515" s="1578" t="s">
        <v>704</v>
      </c>
      <c r="E515" s="1570"/>
      <c r="F515" s="1570"/>
      <c r="G515" s="1571"/>
      <c r="H515" s="1572"/>
      <c r="I515" s="1593">
        <f>SUM(J515:N515)</f>
        <v>82500</v>
      </c>
      <c r="J515" s="1594"/>
      <c r="K515" s="1594"/>
      <c r="L515" s="1594"/>
      <c r="M515" s="1594"/>
      <c r="N515" s="1596">
        <v>82500</v>
      </c>
      <c r="P515" s="1577"/>
    </row>
    <row r="516" spans="1:16" s="1566" customFormat="1" ht="18" customHeight="1" x14ac:dyDescent="0.3">
      <c r="A516" s="1528">
        <v>631</v>
      </c>
      <c r="B516" s="1588"/>
      <c r="C516" s="1589"/>
      <c r="D516" s="1584" t="s">
        <v>748</v>
      </c>
      <c r="E516" s="1570"/>
      <c r="F516" s="1570"/>
      <c r="G516" s="1571"/>
      <c r="H516" s="1572"/>
      <c r="I516" s="1585">
        <f>SUM(J516:Q516)</f>
        <v>47085</v>
      </c>
      <c r="J516" s="1574"/>
      <c r="K516" s="1574"/>
      <c r="L516" s="1574"/>
      <c r="M516" s="1574"/>
      <c r="N516" s="1641">
        <v>47085</v>
      </c>
      <c r="P516" s="1577"/>
    </row>
    <row r="517" spans="1:16" s="1566" customFormat="1" ht="22.5" customHeight="1" x14ac:dyDescent="0.3">
      <c r="A517" s="1528">
        <v>633</v>
      </c>
      <c r="B517" s="1588"/>
      <c r="C517" s="1589">
        <v>99</v>
      </c>
      <c r="D517" s="1677" t="s">
        <v>236</v>
      </c>
      <c r="E517" s="1570">
        <v>238819</v>
      </c>
      <c r="F517" s="1570">
        <v>197941</v>
      </c>
      <c r="G517" s="1571">
        <v>197941</v>
      </c>
      <c r="H517" s="1572" t="s">
        <v>23</v>
      </c>
      <c r="I517" s="1573"/>
      <c r="J517" s="1574"/>
      <c r="K517" s="1574"/>
      <c r="L517" s="1574"/>
      <c r="M517" s="1574"/>
      <c r="N517" s="1592"/>
      <c r="P517" s="1577"/>
    </row>
    <row r="518" spans="1:16" s="1566" customFormat="1" ht="18" customHeight="1" x14ac:dyDescent="0.3">
      <c r="A518" s="1528">
        <v>634</v>
      </c>
      <c r="B518" s="1588"/>
      <c r="C518" s="1589"/>
      <c r="D518" s="1678" t="s">
        <v>239</v>
      </c>
      <c r="E518" s="1570"/>
      <c r="F518" s="1570"/>
      <c r="G518" s="1571"/>
      <c r="H518" s="1572"/>
      <c r="I518" s="1573">
        <f>SUM(J518:N518)</f>
        <v>228274</v>
      </c>
      <c r="J518" s="1574"/>
      <c r="K518" s="1574"/>
      <c r="L518" s="1574"/>
      <c r="M518" s="1574"/>
      <c r="N518" s="1592">
        <v>228274</v>
      </c>
      <c r="P518" s="1577"/>
    </row>
    <row r="519" spans="1:16" s="1566" customFormat="1" ht="18" customHeight="1" x14ac:dyDescent="0.3">
      <c r="A519" s="1528">
        <v>635</v>
      </c>
      <c r="B519" s="1588"/>
      <c r="C519" s="1589"/>
      <c r="D519" s="1578" t="s">
        <v>704</v>
      </c>
      <c r="E519" s="1570"/>
      <c r="F519" s="1570"/>
      <c r="G519" s="1571"/>
      <c r="H519" s="1572"/>
      <c r="I519" s="1593">
        <f>SUM(J519:N519)</f>
        <v>228274</v>
      </c>
      <c r="J519" s="1594"/>
      <c r="K519" s="1594"/>
      <c r="L519" s="1594"/>
      <c r="M519" s="1594"/>
      <c r="N519" s="1596">
        <v>228274</v>
      </c>
      <c r="P519" s="1577"/>
    </row>
    <row r="520" spans="1:16" s="1566" customFormat="1" ht="18" customHeight="1" x14ac:dyDescent="0.3">
      <c r="A520" s="1528">
        <v>636</v>
      </c>
      <c r="B520" s="1588"/>
      <c r="C520" s="1589"/>
      <c r="D520" s="1584" t="s">
        <v>748</v>
      </c>
      <c r="E520" s="1570"/>
      <c r="F520" s="1570"/>
      <c r="G520" s="1571"/>
      <c r="H520" s="1572"/>
      <c r="I520" s="1585">
        <f>SUM(J520:Q520)</f>
        <v>128949</v>
      </c>
      <c r="J520" s="1574"/>
      <c r="K520" s="1574"/>
      <c r="L520" s="1574"/>
      <c r="M520" s="1574"/>
      <c r="N520" s="1641">
        <v>128949</v>
      </c>
      <c r="P520" s="1577"/>
    </row>
    <row r="521" spans="1:16" s="1577" customFormat="1" ht="22.5" customHeight="1" x14ac:dyDescent="0.3">
      <c r="A521" s="1528">
        <v>638</v>
      </c>
      <c r="B521" s="1567"/>
      <c r="C521" s="1589">
        <v>100</v>
      </c>
      <c r="D521" s="1590" t="s">
        <v>327</v>
      </c>
      <c r="E521" s="1570">
        <v>73566</v>
      </c>
      <c r="F521" s="1570">
        <v>62035</v>
      </c>
      <c r="G521" s="1571">
        <v>44357</v>
      </c>
      <c r="H521" s="1572" t="s">
        <v>23</v>
      </c>
      <c r="I521" s="1573"/>
      <c r="J521" s="1574"/>
      <c r="K521" s="1574"/>
      <c r="L521" s="1574"/>
      <c r="M521" s="1574"/>
      <c r="N521" s="1576"/>
    </row>
    <row r="522" spans="1:16" s="1618" customFormat="1" ht="18" customHeight="1" x14ac:dyDescent="0.3">
      <c r="A522" s="1528">
        <v>639</v>
      </c>
      <c r="B522" s="1613"/>
      <c r="C522" s="1614"/>
      <c r="D522" s="1569" t="s">
        <v>239</v>
      </c>
      <c r="E522" s="1615"/>
      <c r="F522" s="1615"/>
      <c r="G522" s="1616"/>
      <c r="H522" s="1617"/>
      <c r="I522" s="1573">
        <f>SUM(J522:N522)</f>
        <v>46630</v>
      </c>
      <c r="J522" s="1575"/>
      <c r="K522" s="1575"/>
      <c r="L522" s="1575">
        <f>46630</f>
        <v>46630</v>
      </c>
      <c r="M522" s="1575"/>
      <c r="N522" s="1592"/>
    </row>
    <row r="523" spans="1:16" s="1618" customFormat="1" ht="18" customHeight="1" x14ac:dyDescent="0.3">
      <c r="A523" s="1528">
        <v>640</v>
      </c>
      <c r="B523" s="1613"/>
      <c r="C523" s="1614"/>
      <c r="D523" s="1578" t="s">
        <v>702</v>
      </c>
      <c r="E523" s="1615"/>
      <c r="F523" s="1615"/>
      <c r="G523" s="1616"/>
      <c r="H523" s="1617"/>
      <c r="I523" s="1593">
        <f>SUM(J523:N523)</f>
        <v>46954</v>
      </c>
      <c r="J523" s="1595"/>
      <c r="K523" s="1595"/>
      <c r="L523" s="1595">
        <v>46954</v>
      </c>
      <c r="M523" s="1575"/>
      <c r="N523" s="1592"/>
    </row>
    <row r="524" spans="1:16" s="1618" customFormat="1" ht="18" customHeight="1" x14ac:dyDescent="0.3">
      <c r="A524" s="1528">
        <v>641</v>
      </c>
      <c r="B524" s="1613"/>
      <c r="C524" s="1614"/>
      <c r="D524" s="1584" t="s">
        <v>749</v>
      </c>
      <c r="E524" s="1615"/>
      <c r="F524" s="1615"/>
      <c r="G524" s="1616"/>
      <c r="H524" s="1617"/>
      <c r="I524" s="1585">
        <f>SUM(J524:Q524)</f>
        <v>24494</v>
      </c>
      <c r="J524" s="1597"/>
      <c r="K524" s="1597"/>
      <c r="L524" s="1597">
        <v>24494</v>
      </c>
      <c r="M524" s="1597"/>
      <c r="N524" s="1598"/>
    </row>
    <row r="525" spans="1:16" s="1566" customFormat="1" ht="22.5" customHeight="1" x14ac:dyDescent="0.3">
      <c r="A525" s="1528">
        <v>643</v>
      </c>
      <c r="B525" s="1588"/>
      <c r="C525" s="1589">
        <v>101</v>
      </c>
      <c r="D525" s="1590" t="s">
        <v>79</v>
      </c>
      <c r="E525" s="1570">
        <v>10000</v>
      </c>
      <c r="F525" s="1570">
        <v>2500</v>
      </c>
      <c r="G525" s="1571">
        <v>2500</v>
      </c>
      <c r="H525" s="1572" t="s">
        <v>23</v>
      </c>
      <c r="I525" s="1573"/>
      <c r="J525" s="1574"/>
      <c r="K525" s="1574"/>
      <c r="L525" s="1574"/>
      <c r="M525" s="1574"/>
      <c r="N525" s="1576"/>
      <c r="P525" s="1577"/>
    </row>
    <row r="526" spans="1:16" s="1566" customFormat="1" ht="22.5" customHeight="1" x14ac:dyDescent="0.3">
      <c r="A526" s="1528">
        <v>644</v>
      </c>
      <c r="B526" s="1588"/>
      <c r="C526" s="1589">
        <v>102</v>
      </c>
      <c r="D526" s="1590" t="s">
        <v>80</v>
      </c>
      <c r="E526" s="1570">
        <v>1200</v>
      </c>
      <c r="F526" s="1570">
        <v>1200</v>
      </c>
      <c r="G526" s="1571">
        <v>1200</v>
      </c>
      <c r="H526" s="1572" t="s">
        <v>23</v>
      </c>
      <c r="I526" s="1573"/>
      <c r="J526" s="1574"/>
      <c r="K526" s="1574"/>
      <c r="L526" s="1574"/>
      <c r="M526" s="1574"/>
      <c r="N526" s="1576"/>
      <c r="P526" s="1577"/>
    </row>
    <row r="527" spans="1:16" s="1618" customFormat="1" ht="18" customHeight="1" x14ac:dyDescent="0.3">
      <c r="A527" s="1528">
        <v>645</v>
      </c>
      <c r="B527" s="1613"/>
      <c r="C527" s="1614"/>
      <c r="D527" s="1569" t="s">
        <v>239</v>
      </c>
      <c r="E527" s="1615"/>
      <c r="F527" s="1615"/>
      <c r="G527" s="1616"/>
      <c r="H527" s="1617"/>
      <c r="I527" s="1573">
        <f>SUM(J527:N527)</f>
        <v>1500</v>
      </c>
      <c r="J527" s="1575"/>
      <c r="K527" s="1575"/>
      <c r="L527" s="1575">
        <v>1500</v>
      </c>
      <c r="M527" s="1575"/>
      <c r="N527" s="1592"/>
    </row>
    <row r="528" spans="1:16" s="1618" customFormat="1" ht="18" customHeight="1" x14ac:dyDescent="0.3">
      <c r="A528" s="1528">
        <v>646</v>
      </c>
      <c r="B528" s="1613"/>
      <c r="C528" s="1614"/>
      <c r="D528" s="1578" t="s">
        <v>702</v>
      </c>
      <c r="E528" s="1615"/>
      <c r="F528" s="1615"/>
      <c r="G528" s="1616"/>
      <c r="H528" s="1617"/>
      <c r="I528" s="1593">
        <f>SUM(J528:N528)</f>
        <v>1500</v>
      </c>
      <c r="J528" s="1595"/>
      <c r="K528" s="1595"/>
      <c r="L528" s="1595">
        <v>1500</v>
      </c>
      <c r="M528" s="1575"/>
      <c r="N528" s="1592"/>
    </row>
    <row r="529" spans="1:16" s="1618" customFormat="1" ht="18" customHeight="1" x14ac:dyDescent="0.3">
      <c r="A529" s="1528">
        <v>647</v>
      </c>
      <c r="B529" s="1613"/>
      <c r="C529" s="1614"/>
      <c r="D529" s="1584" t="s">
        <v>745</v>
      </c>
      <c r="E529" s="1615"/>
      <c r="F529" s="1615"/>
      <c r="G529" s="1616"/>
      <c r="H529" s="1617"/>
      <c r="I529" s="1585">
        <f>SUM(J529:Q529)</f>
        <v>0</v>
      </c>
      <c r="J529" s="1597"/>
      <c r="K529" s="1597"/>
      <c r="L529" s="1597">
        <v>0</v>
      </c>
      <c r="M529" s="1597"/>
      <c r="N529" s="1598"/>
    </row>
    <row r="530" spans="1:16" s="1566" customFormat="1" ht="22.5" customHeight="1" x14ac:dyDescent="0.3">
      <c r="A530" s="1528">
        <v>649</v>
      </c>
      <c r="B530" s="1588"/>
      <c r="C530" s="1589">
        <v>103</v>
      </c>
      <c r="D530" s="1590" t="s">
        <v>81</v>
      </c>
      <c r="E530" s="1570">
        <v>1392</v>
      </c>
      <c r="F530" s="1570">
        <v>4608</v>
      </c>
      <c r="G530" s="1571">
        <v>4279</v>
      </c>
      <c r="H530" s="1572" t="s">
        <v>23</v>
      </c>
      <c r="I530" s="1573"/>
      <c r="J530" s="1574"/>
      <c r="K530" s="1574"/>
      <c r="L530" s="1574"/>
      <c r="M530" s="1574"/>
      <c r="N530" s="1576"/>
      <c r="P530" s="1577"/>
    </row>
    <row r="531" spans="1:16" s="1618" customFormat="1" ht="18" customHeight="1" x14ac:dyDescent="0.3">
      <c r="A531" s="1528">
        <v>650</v>
      </c>
      <c r="B531" s="1613"/>
      <c r="C531" s="1614"/>
      <c r="D531" s="1569" t="s">
        <v>239</v>
      </c>
      <c r="E531" s="1615"/>
      <c r="F531" s="1615"/>
      <c r="G531" s="1616"/>
      <c r="H531" s="1617"/>
      <c r="I531" s="1573">
        <f>SUM(J531:N531)</f>
        <v>6329</v>
      </c>
      <c r="J531" s="1575"/>
      <c r="K531" s="1575"/>
      <c r="L531" s="1575">
        <f>6000+329</f>
        <v>6329</v>
      </c>
      <c r="M531" s="1575"/>
      <c r="N531" s="1592"/>
    </row>
    <row r="532" spans="1:16" s="1618" customFormat="1" ht="18" customHeight="1" x14ac:dyDescent="0.3">
      <c r="A532" s="1528">
        <v>651</v>
      </c>
      <c r="B532" s="1613"/>
      <c r="C532" s="1614"/>
      <c r="D532" s="1578" t="s">
        <v>702</v>
      </c>
      <c r="E532" s="1615"/>
      <c r="F532" s="1615"/>
      <c r="G532" s="1616"/>
      <c r="H532" s="1617"/>
      <c r="I532" s="1593">
        <f>SUM(J532:N532)</f>
        <v>6329</v>
      </c>
      <c r="J532" s="1595"/>
      <c r="K532" s="1595"/>
      <c r="L532" s="1595">
        <v>6329</v>
      </c>
      <c r="M532" s="1575"/>
      <c r="N532" s="1592"/>
    </row>
    <row r="533" spans="1:16" s="1618" customFormat="1" ht="18" customHeight="1" x14ac:dyDescent="0.3">
      <c r="A533" s="1528">
        <v>652</v>
      </c>
      <c r="B533" s="1613"/>
      <c r="C533" s="1614"/>
      <c r="D533" s="1584" t="s">
        <v>745</v>
      </c>
      <c r="E533" s="1615"/>
      <c r="F533" s="1615"/>
      <c r="G533" s="1616"/>
      <c r="H533" s="1617"/>
      <c r="I533" s="1585">
        <f>SUM(J533:Q533)</f>
        <v>1198</v>
      </c>
      <c r="J533" s="1597"/>
      <c r="K533" s="1597"/>
      <c r="L533" s="1597">
        <v>1198</v>
      </c>
      <c r="M533" s="1597"/>
      <c r="N533" s="1598"/>
    </row>
    <row r="534" spans="1:16" s="1566" customFormat="1" ht="22.5" customHeight="1" x14ac:dyDescent="0.3">
      <c r="A534" s="1528">
        <v>654</v>
      </c>
      <c r="B534" s="1588"/>
      <c r="C534" s="1589">
        <v>104</v>
      </c>
      <c r="D534" s="1590" t="s">
        <v>348</v>
      </c>
      <c r="E534" s="1570">
        <v>24989</v>
      </c>
      <c r="F534" s="1570">
        <v>53144</v>
      </c>
      <c r="G534" s="1571">
        <v>37643</v>
      </c>
      <c r="H534" s="1572" t="s">
        <v>23</v>
      </c>
      <c r="I534" s="1573"/>
      <c r="J534" s="1574"/>
      <c r="K534" s="1574"/>
      <c r="L534" s="1574"/>
      <c r="M534" s="1574"/>
      <c r="N534" s="1576"/>
      <c r="P534" s="1577"/>
    </row>
    <row r="535" spans="1:16" s="1618" customFormat="1" ht="18" customHeight="1" x14ac:dyDescent="0.3">
      <c r="A535" s="1528">
        <v>655</v>
      </c>
      <c r="B535" s="1613"/>
      <c r="C535" s="1614"/>
      <c r="D535" s="1569" t="s">
        <v>239</v>
      </c>
      <c r="E535" s="1615"/>
      <c r="F535" s="1615"/>
      <c r="G535" s="1616"/>
      <c r="H535" s="1617"/>
      <c r="I535" s="1573">
        <f>SUM(J535:N535)</f>
        <v>83533</v>
      </c>
      <c r="J535" s="1575"/>
      <c r="K535" s="1575"/>
      <c r="L535" s="1575">
        <f>47245+36288</f>
        <v>83533</v>
      </c>
      <c r="M535" s="1575"/>
      <c r="N535" s="1592"/>
    </row>
    <row r="536" spans="1:16" s="1618" customFormat="1" ht="18" customHeight="1" x14ac:dyDescent="0.3">
      <c r="A536" s="1528">
        <v>656</v>
      </c>
      <c r="B536" s="1613"/>
      <c r="C536" s="1614"/>
      <c r="D536" s="1578" t="s">
        <v>702</v>
      </c>
      <c r="E536" s="1615"/>
      <c r="F536" s="1615"/>
      <c r="G536" s="1616"/>
      <c r="H536" s="1617"/>
      <c r="I536" s="1593">
        <f>SUM(J536:N536)</f>
        <v>83896</v>
      </c>
      <c r="J536" s="1595"/>
      <c r="K536" s="1595"/>
      <c r="L536" s="1595">
        <v>83896</v>
      </c>
      <c r="M536" s="1575"/>
      <c r="N536" s="1592"/>
    </row>
    <row r="537" spans="1:16" s="1618" customFormat="1" ht="18" customHeight="1" x14ac:dyDescent="0.3">
      <c r="A537" s="1528">
        <v>657</v>
      </c>
      <c r="B537" s="1613"/>
      <c r="C537" s="1614"/>
      <c r="D537" s="1584" t="s">
        <v>745</v>
      </c>
      <c r="E537" s="1615"/>
      <c r="F537" s="1615"/>
      <c r="G537" s="1616"/>
      <c r="H537" s="1617"/>
      <c r="I537" s="1585">
        <f>SUM(J537:Q537)</f>
        <v>25727</v>
      </c>
      <c r="J537" s="1597"/>
      <c r="K537" s="1597"/>
      <c r="L537" s="1597">
        <v>25727</v>
      </c>
      <c r="M537" s="1597"/>
      <c r="N537" s="1598"/>
    </row>
    <row r="538" spans="1:16" s="1566" customFormat="1" ht="22.5" customHeight="1" x14ac:dyDescent="0.3">
      <c r="A538" s="1528">
        <v>659</v>
      </c>
      <c r="B538" s="1588"/>
      <c r="C538" s="1589">
        <v>105</v>
      </c>
      <c r="D538" s="1590" t="s">
        <v>82</v>
      </c>
      <c r="E538" s="1570">
        <v>682755</v>
      </c>
      <c r="F538" s="1570">
        <v>897958</v>
      </c>
      <c r="G538" s="1571">
        <v>685105</v>
      </c>
      <c r="H538" s="1572" t="s">
        <v>23</v>
      </c>
      <c r="I538" s="1573"/>
      <c r="J538" s="1574"/>
      <c r="K538" s="1574"/>
      <c r="L538" s="1574"/>
      <c r="M538" s="1574"/>
      <c r="N538" s="1576"/>
      <c r="P538" s="1577"/>
    </row>
    <row r="539" spans="1:16" s="1618" customFormat="1" ht="18" customHeight="1" x14ac:dyDescent="0.3">
      <c r="A539" s="1528">
        <v>660</v>
      </c>
      <c r="B539" s="1613"/>
      <c r="C539" s="1614"/>
      <c r="D539" s="1569" t="s">
        <v>239</v>
      </c>
      <c r="E539" s="1615"/>
      <c r="F539" s="1615"/>
      <c r="G539" s="1616"/>
      <c r="H539" s="1617"/>
      <c r="I539" s="1573">
        <f>SUM(J539:N539)</f>
        <v>879184</v>
      </c>
      <c r="J539" s="1575"/>
      <c r="K539" s="1575"/>
      <c r="L539" s="1575">
        <f>646000+233184</f>
        <v>879184</v>
      </c>
      <c r="M539" s="1575"/>
      <c r="N539" s="1592"/>
    </row>
    <row r="540" spans="1:16" s="1618" customFormat="1" ht="18" customHeight="1" x14ac:dyDescent="0.3">
      <c r="A540" s="1528">
        <v>661</v>
      </c>
      <c r="B540" s="1613"/>
      <c r="C540" s="1614"/>
      <c r="D540" s="1578" t="s">
        <v>702</v>
      </c>
      <c r="E540" s="1615"/>
      <c r="F540" s="1615"/>
      <c r="G540" s="1616"/>
      <c r="H540" s="1617"/>
      <c r="I540" s="1593">
        <f>SUM(J540:N540)</f>
        <v>879184</v>
      </c>
      <c r="J540" s="1595"/>
      <c r="K540" s="1595"/>
      <c r="L540" s="1595">
        <v>879184</v>
      </c>
      <c r="M540" s="1575"/>
      <c r="N540" s="1592"/>
    </row>
    <row r="541" spans="1:16" s="1618" customFormat="1" ht="18" customHeight="1" x14ac:dyDescent="0.3">
      <c r="A541" s="1528">
        <v>662</v>
      </c>
      <c r="B541" s="1613"/>
      <c r="C541" s="1614"/>
      <c r="D541" s="1584" t="s">
        <v>745</v>
      </c>
      <c r="E541" s="1615"/>
      <c r="F541" s="1615"/>
      <c r="G541" s="1616"/>
      <c r="H541" s="1617"/>
      <c r="I541" s="1585">
        <f>SUM(J541:Q541)</f>
        <v>367368</v>
      </c>
      <c r="J541" s="1597"/>
      <c r="K541" s="1597"/>
      <c r="L541" s="1597">
        <v>367368</v>
      </c>
      <c r="M541" s="1597"/>
      <c r="N541" s="1598"/>
    </row>
    <row r="542" spans="1:16" s="1566" customFormat="1" ht="22.5" customHeight="1" x14ac:dyDescent="0.3">
      <c r="A542" s="1528">
        <v>664</v>
      </c>
      <c r="B542" s="1588"/>
      <c r="C542" s="1589">
        <v>106</v>
      </c>
      <c r="D542" s="1590" t="s">
        <v>83</v>
      </c>
      <c r="E542" s="1570">
        <v>4285</v>
      </c>
      <c r="F542" s="1570">
        <v>8959</v>
      </c>
      <c r="G542" s="1571">
        <v>5244</v>
      </c>
      <c r="H542" s="1572" t="s">
        <v>23</v>
      </c>
      <c r="I542" s="1573"/>
      <c r="J542" s="1574"/>
      <c r="K542" s="1574"/>
      <c r="L542" s="1574"/>
      <c r="M542" s="1574"/>
      <c r="N542" s="1576"/>
      <c r="P542" s="1577"/>
    </row>
    <row r="543" spans="1:16" s="1618" customFormat="1" ht="18" customHeight="1" x14ac:dyDescent="0.3">
      <c r="A543" s="1528">
        <v>665</v>
      </c>
      <c r="B543" s="1613"/>
      <c r="C543" s="1614"/>
      <c r="D543" s="1569" t="s">
        <v>239</v>
      </c>
      <c r="E543" s="1615"/>
      <c r="F543" s="1615"/>
      <c r="G543" s="1616"/>
      <c r="H543" s="1617"/>
      <c r="I543" s="1573">
        <f>SUM(J543:N543)</f>
        <v>10715</v>
      </c>
      <c r="J543" s="1575"/>
      <c r="K543" s="1575"/>
      <c r="L543" s="1575">
        <f>7000+3715</f>
        <v>10715</v>
      </c>
      <c r="M543" s="1575"/>
      <c r="N543" s="1592"/>
    </row>
    <row r="544" spans="1:16" s="1618" customFormat="1" ht="18" customHeight="1" x14ac:dyDescent="0.3">
      <c r="A544" s="1528">
        <v>666</v>
      </c>
      <c r="B544" s="1613"/>
      <c r="C544" s="1614"/>
      <c r="D544" s="1578" t="s">
        <v>702</v>
      </c>
      <c r="E544" s="1615"/>
      <c r="F544" s="1615"/>
      <c r="G544" s="1616"/>
      <c r="H544" s="1617"/>
      <c r="I544" s="1593">
        <f>SUM(J544:N544)</f>
        <v>10715</v>
      </c>
      <c r="J544" s="1595"/>
      <c r="K544" s="1595"/>
      <c r="L544" s="1595">
        <v>10715</v>
      </c>
      <c r="M544" s="1575"/>
      <c r="N544" s="1592"/>
    </row>
    <row r="545" spans="1:16" s="1618" customFormat="1" ht="18" customHeight="1" x14ac:dyDescent="0.3">
      <c r="A545" s="1528">
        <v>667</v>
      </c>
      <c r="B545" s="1613"/>
      <c r="C545" s="1614"/>
      <c r="D545" s="1584" t="s">
        <v>745</v>
      </c>
      <c r="E545" s="1615"/>
      <c r="F545" s="1615"/>
      <c r="G545" s="1616"/>
      <c r="H545" s="1617"/>
      <c r="I545" s="1585">
        <f>SUM(J545:Q545)</f>
        <v>3314</v>
      </c>
      <c r="J545" s="1597"/>
      <c r="K545" s="1597"/>
      <c r="L545" s="1597">
        <v>3314</v>
      </c>
      <c r="M545" s="1597"/>
      <c r="N545" s="1598"/>
    </row>
    <row r="546" spans="1:16" s="1566" customFormat="1" ht="22.5" customHeight="1" x14ac:dyDescent="0.3">
      <c r="A546" s="1528">
        <v>669</v>
      </c>
      <c r="B546" s="1588"/>
      <c r="C546" s="1589">
        <v>107</v>
      </c>
      <c r="D546" s="1590" t="s">
        <v>84</v>
      </c>
      <c r="E546" s="1570">
        <v>3251</v>
      </c>
      <c r="F546" s="1570">
        <v>9653</v>
      </c>
      <c r="G546" s="1571">
        <v>2081</v>
      </c>
      <c r="H546" s="1572" t="s">
        <v>23</v>
      </c>
      <c r="I546" s="1573"/>
      <c r="J546" s="1574"/>
      <c r="K546" s="1574"/>
      <c r="L546" s="1574"/>
      <c r="M546" s="1574"/>
      <c r="N546" s="1576"/>
      <c r="P546" s="1577"/>
    </row>
    <row r="547" spans="1:16" s="1618" customFormat="1" ht="18" customHeight="1" x14ac:dyDescent="0.3">
      <c r="A547" s="1528">
        <v>670</v>
      </c>
      <c r="B547" s="1613"/>
      <c r="C547" s="1614"/>
      <c r="D547" s="1569" t="s">
        <v>239</v>
      </c>
      <c r="E547" s="1615"/>
      <c r="F547" s="1615"/>
      <c r="G547" s="1616"/>
      <c r="H547" s="1617"/>
      <c r="I547" s="1573">
        <f>SUM(J547:N547)</f>
        <v>6554</v>
      </c>
      <c r="J547" s="1575"/>
      <c r="K547" s="1575"/>
      <c r="L547" s="1575">
        <f>2000+4554</f>
        <v>6554</v>
      </c>
      <c r="M547" s="1575"/>
      <c r="N547" s="1592"/>
    </row>
    <row r="548" spans="1:16" s="1618" customFormat="1" ht="18" customHeight="1" x14ac:dyDescent="0.3">
      <c r="A548" s="1528">
        <v>671</v>
      </c>
      <c r="B548" s="1613"/>
      <c r="C548" s="1614"/>
      <c r="D548" s="1578" t="s">
        <v>702</v>
      </c>
      <c r="E548" s="1615"/>
      <c r="F548" s="1615"/>
      <c r="G548" s="1616"/>
      <c r="H548" s="1617"/>
      <c r="I548" s="1593">
        <f>SUM(J548:N548)</f>
        <v>6554</v>
      </c>
      <c r="J548" s="1595"/>
      <c r="K548" s="1595"/>
      <c r="L548" s="1595">
        <v>6554</v>
      </c>
      <c r="M548" s="1575"/>
      <c r="N548" s="1592"/>
    </row>
    <row r="549" spans="1:16" s="1618" customFormat="1" ht="18" customHeight="1" x14ac:dyDescent="0.3">
      <c r="A549" s="1528">
        <v>672</v>
      </c>
      <c r="B549" s="1613"/>
      <c r="C549" s="1614"/>
      <c r="D549" s="1584" t="s">
        <v>745</v>
      </c>
      <c r="E549" s="1615"/>
      <c r="F549" s="1615"/>
      <c r="G549" s="1616"/>
      <c r="H549" s="1617"/>
      <c r="I549" s="1585">
        <f>SUM(J549:Q549)</f>
        <v>0</v>
      </c>
      <c r="J549" s="1595"/>
      <c r="K549" s="1595"/>
      <c r="L549" s="1585">
        <v>0</v>
      </c>
      <c r="M549" s="1595"/>
      <c r="N549" s="1596"/>
    </row>
    <row r="550" spans="1:16" s="1566" customFormat="1" ht="22.5" customHeight="1" x14ac:dyDescent="0.3">
      <c r="A550" s="1528">
        <v>674</v>
      </c>
      <c r="B550" s="1588"/>
      <c r="C550" s="1589">
        <v>108</v>
      </c>
      <c r="D550" s="1590" t="s">
        <v>85</v>
      </c>
      <c r="E550" s="1570">
        <v>436</v>
      </c>
      <c r="F550" s="1570">
        <v>2700</v>
      </c>
      <c r="G550" s="1571">
        <v>4886</v>
      </c>
      <c r="H550" s="1572" t="s">
        <v>23</v>
      </c>
      <c r="I550" s="1573"/>
      <c r="J550" s="1574"/>
      <c r="K550" s="1574"/>
      <c r="L550" s="1574"/>
      <c r="M550" s="1574"/>
      <c r="N550" s="1576"/>
      <c r="P550" s="1577"/>
    </row>
    <row r="551" spans="1:16" s="1618" customFormat="1" ht="18" customHeight="1" x14ac:dyDescent="0.3">
      <c r="A551" s="1528">
        <v>675</v>
      </c>
      <c r="B551" s="1613"/>
      <c r="C551" s="1614"/>
      <c r="D551" s="1569" t="s">
        <v>239</v>
      </c>
      <c r="E551" s="1615"/>
      <c r="F551" s="1615"/>
      <c r="G551" s="1616"/>
      <c r="H551" s="1617"/>
      <c r="I551" s="1573">
        <f>SUM(J551:N551)</f>
        <v>13098</v>
      </c>
      <c r="J551" s="1575"/>
      <c r="K551" s="1575"/>
      <c r="L551" s="1575">
        <f>10000+3098</f>
        <v>13098</v>
      </c>
      <c r="M551" s="1575"/>
      <c r="N551" s="1592"/>
    </row>
    <row r="552" spans="1:16" s="1618" customFormat="1" ht="18" customHeight="1" x14ac:dyDescent="0.3">
      <c r="A552" s="1528">
        <v>676</v>
      </c>
      <c r="B552" s="1613"/>
      <c r="C552" s="1614"/>
      <c r="D552" s="1578" t="s">
        <v>702</v>
      </c>
      <c r="E552" s="1615"/>
      <c r="F552" s="1615"/>
      <c r="G552" s="1616"/>
      <c r="H552" s="1617"/>
      <c r="I552" s="1593">
        <f>SUM(J552:N552)</f>
        <v>13098</v>
      </c>
      <c r="J552" s="1595"/>
      <c r="K552" s="1595"/>
      <c r="L552" s="1595">
        <v>13098</v>
      </c>
      <c r="M552" s="1575"/>
      <c r="N552" s="1592"/>
    </row>
    <row r="553" spans="1:16" s="1618" customFormat="1" ht="18" customHeight="1" x14ac:dyDescent="0.3">
      <c r="A553" s="1528">
        <v>677</v>
      </c>
      <c r="B553" s="1613"/>
      <c r="C553" s="1614"/>
      <c r="D553" s="1584" t="s">
        <v>745</v>
      </c>
      <c r="E553" s="1615"/>
      <c r="F553" s="1615"/>
      <c r="G553" s="1616"/>
      <c r="H553" s="1617"/>
      <c r="I553" s="1585">
        <f>SUM(J553:Q553)</f>
        <v>639</v>
      </c>
      <c r="J553" s="1597"/>
      <c r="K553" s="1597"/>
      <c r="L553" s="1597">
        <v>639</v>
      </c>
      <c r="M553" s="1597"/>
      <c r="N553" s="1598"/>
    </row>
    <row r="554" spans="1:16" s="1566" customFormat="1" ht="22.5" customHeight="1" x14ac:dyDescent="0.3">
      <c r="A554" s="1528">
        <v>679</v>
      </c>
      <c r="B554" s="1588"/>
      <c r="C554" s="1589">
        <v>109</v>
      </c>
      <c r="D554" s="1680" t="s">
        <v>243</v>
      </c>
      <c r="E554" s="1570">
        <v>101213</v>
      </c>
      <c r="F554" s="1570">
        <v>100864</v>
      </c>
      <c r="G554" s="1571">
        <v>93467</v>
      </c>
      <c r="H554" s="1572" t="s">
        <v>23</v>
      </c>
      <c r="I554" s="1573"/>
      <c r="J554" s="1574"/>
      <c r="K554" s="1574"/>
      <c r="L554" s="1574"/>
      <c r="M554" s="1574"/>
      <c r="N554" s="1576"/>
      <c r="P554" s="1577"/>
    </row>
    <row r="555" spans="1:16" s="1618" customFormat="1" ht="18" customHeight="1" x14ac:dyDescent="0.3">
      <c r="A555" s="1528">
        <v>680</v>
      </c>
      <c r="B555" s="1613"/>
      <c r="C555" s="1614"/>
      <c r="D555" s="1569" t="s">
        <v>239</v>
      </c>
      <c r="E555" s="1615"/>
      <c r="F555" s="1615"/>
      <c r="G555" s="1616"/>
      <c r="H555" s="1617"/>
      <c r="I555" s="1573">
        <f>SUM(J555:N555)</f>
        <v>105280</v>
      </c>
      <c r="J555" s="1575"/>
      <c r="K555" s="1575"/>
      <c r="L555" s="1575">
        <f>105280</f>
        <v>105280</v>
      </c>
      <c r="M555" s="1575"/>
      <c r="N555" s="1592"/>
    </row>
    <row r="556" spans="1:16" s="1618" customFormat="1" ht="18" customHeight="1" x14ac:dyDescent="0.3">
      <c r="A556" s="1528">
        <v>681</v>
      </c>
      <c r="B556" s="1613"/>
      <c r="C556" s="1614"/>
      <c r="D556" s="1578" t="s">
        <v>702</v>
      </c>
      <c r="E556" s="1615"/>
      <c r="F556" s="1615"/>
      <c r="G556" s="1616"/>
      <c r="H556" s="1617"/>
      <c r="I556" s="1593">
        <f>SUM(J556:N556)</f>
        <v>105280</v>
      </c>
      <c r="J556" s="1595"/>
      <c r="K556" s="1595"/>
      <c r="L556" s="1595">
        <v>105280</v>
      </c>
      <c r="M556" s="1575"/>
      <c r="N556" s="1592"/>
    </row>
    <row r="557" spans="1:16" s="1618" customFormat="1" ht="18" customHeight="1" x14ac:dyDescent="0.3">
      <c r="A557" s="1528">
        <v>682</v>
      </c>
      <c r="B557" s="1613"/>
      <c r="C557" s="1614"/>
      <c r="D557" s="1584" t="s">
        <v>745</v>
      </c>
      <c r="E557" s="1615"/>
      <c r="F557" s="1615"/>
      <c r="G557" s="1616"/>
      <c r="H557" s="1617"/>
      <c r="I557" s="1585">
        <f>SUM(J557:Q557)</f>
        <v>52191</v>
      </c>
      <c r="J557" s="1597"/>
      <c r="K557" s="1597"/>
      <c r="L557" s="1597">
        <v>52191</v>
      </c>
      <c r="M557" s="1597"/>
      <c r="N557" s="1598"/>
    </row>
    <row r="558" spans="1:16" s="1566" customFormat="1" ht="22.5" customHeight="1" x14ac:dyDescent="0.3">
      <c r="A558" s="1528">
        <v>684</v>
      </c>
      <c r="B558" s="1588"/>
      <c r="C558" s="1589">
        <v>110</v>
      </c>
      <c r="D558" s="1680" t="s">
        <v>328</v>
      </c>
      <c r="E558" s="1570">
        <v>67900</v>
      </c>
      <c r="F558" s="1570">
        <v>82100</v>
      </c>
      <c r="G558" s="1571">
        <v>79100</v>
      </c>
      <c r="H558" s="1572" t="s">
        <v>23</v>
      </c>
      <c r="I558" s="1573"/>
      <c r="J558" s="1574"/>
      <c r="K558" s="1574"/>
      <c r="L558" s="1574"/>
      <c r="M558" s="1574"/>
      <c r="N558" s="1576"/>
      <c r="P558" s="1577"/>
    </row>
    <row r="559" spans="1:16" s="1618" customFormat="1" ht="18" customHeight="1" x14ac:dyDescent="0.3">
      <c r="A559" s="1528">
        <v>685</v>
      </c>
      <c r="B559" s="1613"/>
      <c r="C559" s="1614"/>
      <c r="D559" s="1569" t="s">
        <v>239</v>
      </c>
      <c r="E559" s="1615"/>
      <c r="F559" s="1615"/>
      <c r="G559" s="1616"/>
      <c r="H559" s="1617"/>
      <c r="I559" s="1573">
        <f>SUM(J559:N559)</f>
        <v>73000</v>
      </c>
      <c r="J559" s="1575"/>
      <c r="K559" s="1575"/>
      <c r="L559" s="1575">
        <f>70000+3000</f>
        <v>73000</v>
      </c>
      <c r="M559" s="1575"/>
      <c r="N559" s="1592"/>
    </row>
    <row r="560" spans="1:16" s="1618" customFormat="1" ht="18" customHeight="1" x14ac:dyDescent="0.3">
      <c r="A560" s="1528">
        <v>686</v>
      </c>
      <c r="B560" s="1613"/>
      <c r="C560" s="1614"/>
      <c r="D560" s="1578" t="s">
        <v>702</v>
      </c>
      <c r="E560" s="1615"/>
      <c r="F560" s="1615"/>
      <c r="G560" s="1616"/>
      <c r="H560" s="1617"/>
      <c r="I560" s="1593">
        <f>SUM(J560:N560)</f>
        <v>73000</v>
      </c>
      <c r="J560" s="1595"/>
      <c r="K560" s="1595"/>
      <c r="L560" s="1595">
        <v>73000</v>
      </c>
      <c r="M560" s="1575"/>
      <c r="N560" s="1592"/>
    </row>
    <row r="561" spans="1:16" s="1618" customFormat="1" ht="18" customHeight="1" x14ac:dyDescent="0.3">
      <c r="A561" s="1528">
        <v>687</v>
      </c>
      <c r="B561" s="1613"/>
      <c r="C561" s="1614"/>
      <c r="D561" s="1584" t="s">
        <v>745</v>
      </c>
      <c r="E561" s="1615"/>
      <c r="F561" s="1615"/>
      <c r="G561" s="1616"/>
      <c r="H561" s="1617"/>
      <c r="I561" s="1585">
        <f>SUM(J561:Q561)</f>
        <v>32150</v>
      </c>
      <c r="J561" s="1597"/>
      <c r="K561" s="1597"/>
      <c r="L561" s="1597">
        <v>32150</v>
      </c>
      <c r="M561" s="1597"/>
      <c r="N561" s="1598"/>
    </row>
    <row r="562" spans="1:16" s="1566" customFormat="1" ht="22.5" customHeight="1" x14ac:dyDescent="0.3">
      <c r="A562" s="1528">
        <v>689</v>
      </c>
      <c r="B562" s="1588"/>
      <c r="C562" s="1589">
        <v>111</v>
      </c>
      <c r="D562" s="1680" t="s">
        <v>205</v>
      </c>
      <c r="E562" s="1570">
        <v>20000</v>
      </c>
      <c r="F562" s="1570">
        <v>20000</v>
      </c>
      <c r="G562" s="1571">
        <v>19922</v>
      </c>
      <c r="H562" s="1572" t="s">
        <v>23</v>
      </c>
      <c r="I562" s="1573"/>
      <c r="J562" s="1574"/>
      <c r="K562" s="1574"/>
      <c r="L562" s="1574"/>
      <c r="M562" s="1574"/>
      <c r="N562" s="1576"/>
      <c r="P562" s="1577"/>
    </row>
    <row r="563" spans="1:16" s="1618" customFormat="1" ht="18" customHeight="1" x14ac:dyDescent="0.3">
      <c r="A563" s="1528">
        <v>690</v>
      </c>
      <c r="B563" s="1613"/>
      <c r="C563" s="1614"/>
      <c r="D563" s="1569" t="s">
        <v>239</v>
      </c>
      <c r="E563" s="1615"/>
      <c r="F563" s="1615"/>
      <c r="G563" s="1616"/>
      <c r="H563" s="1617"/>
      <c r="I563" s="1573">
        <f>SUM(J563:N563)</f>
        <v>20000</v>
      </c>
      <c r="J563" s="1575"/>
      <c r="K563" s="1575"/>
      <c r="L563" s="1575">
        <v>20000</v>
      </c>
      <c r="M563" s="1575"/>
      <c r="N563" s="1592"/>
    </row>
    <row r="564" spans="1:16" s="1618" customFormat="1" ht="18" customHeight="1" x14ac:dyDescent="0.3">
      <c r="A564" s="1528">
        <v>691</v>
      </c>
      <c r="B564" s="1613"/>
      <c r="C564" s="1614"/>
      <c r="D564" s="1578" t="s">
        <v>702</v>
      </c>
      <c r="E564" s="1615"/>
      <c r="F564" s="1615"/>
      <c r="G564" s="1616"/>
      <c r="H564" s="1665"/>
      <c r="I564" s="1593">
        <f>SUM(J564:N564)</f>
        <v>25000</v>
      </c>
      <c r="J564" s="1595"/>
      <c r="K564" s="1595"/>
      <c r="L564" s="1595">
        <v>25000</v>
      </c>
      <c r="M564" s="1575"/>
      <c r="N564" s="1592"/>
    </row>
    <row r="565" spans="1:16" s="1618" customFormat="1" ht="18" customHeight="1" x14ac:dyDescent="0.3">
      <c r="A565" s="1528">
        <v>692</v>
      </c>
      <c r="B565" s="1613"/>
      <c r="C565" s="1614"/>
      <c r="D565" s="1584" t="s">
        <v>745</v>
      </c>
      <c r="E565" s="1615"/>
      <c r="F565" s="1615"/>
      <c r="G565" s="1616"/>
      <c r="H565" s="1665"/>
      <c r="I565" s="1585">
        <f>SUM(J565:Q565)</f>
        <v>0</v>
      </c>
      <c r="J565" s="1597"/>
      <c r="K565" s="1597"/>
      <c r="L565" s="1597">
        <v>0</v>
      </c>
      <c r="M565" s="1597"/>
      <c r="N565" s="1598"/>
    </row>
    <row r="566" spans="1:16" s="1566" customFormat="1" ht="22.5" customHeight="1" x14ac:dyDescent="0.3">
      <c r="A566" s="1528">
        <v>694</v>
      </c>
      <c r="B566" s="1588"/>
      <c r="C566" s="1589">
        <v>112</v>
      </c>
      <c r="D566" s="1590" t="s">
        <v>204</v>
      </c>
      <c r="E566" s="1570">
        <v>715</v>
      </c>
      <c r="F566" s="1570">
        <v>2785</v>
      </c>
      <c r="G566" s="1571">
        <v>1483</v>
      </c>
      <c r="H566" s="1562" t="s">
        <v>23</v>
      </c>
      <c r="I566" s="1573"/>
      <c r="J566" s="1574"/>
      <c r="K566" s="1574"/>
      <c r="L566" s="1574"/>
      <c r="M566" s="1574"/>
      <c r="N566" s="1576"/>
      <c r="P566" s="1577"/>
    </row>
    <row r="567" spans="1:16" s="1618" customFormat="1" ht="18" customHeight="1" x14ac:dyDescent="0.3">
      <c r="A567" s="1528">
        <v>695</v>
      </c>
      <c r="B567" s="1668"/>
      <c r="C567" s="1614"/>
      <c r="D567" s="1569" t="s">
        <v>239</v>
      </c>
      <c r="E567" s="1669"/>
      <c r="F567" s="1669"/>
      <c r="G567" s="1670"/>
      <c r="H567" s="1665"/>
      <c r="I567" s="1573">
        <f>SUM(J567:N567)</f>
        <v>3302</v>
      </c>
      <c r="J567" s="1671"/>
      <c r="K567" s="1671"/>
      <c r="L567" s="1671">
        <f>2000+1302</f>
        <v>3302</v>
      </c>
      <c r="M567" s="1671"/>
      <c r="N567" s="1650"/>
    </row>
    <row r="568" spans="1:16" s="1618" customFormat="1" ht="18" customHeight="1" x14ac:dyDescent="0.3">
      <c r="A568" s="1528">
        <v>696</v>
      </c>
      <c r="B568" s="1668"/>
      <c r="C568" s="1614"/>
      <c r="D568" s="1578" t="s">
        <v>702</v>
      </c>
      <c r="E568" s="1669"/>
      <c r="F568" s="1669"/>
      <c r="G568" s="1670"/>
      <c r="H568" s="1665"/>
      <c r="I568" s="1593">
        <f>SUM(J568:N568)</f>
        <v>3302</v>
      </c>
      <c r="J568" s="1581"/>
      <c r="K568" s="1581"/>
      <c r="L568" s="1581">
        <v>3302</v>
      </c>
      <c r="M568" s="1671"/>
      <c r="N568" s="1650"/>
    </row>
    <row r="569" spans="1:16" s="1618" customFormat="1" ht="18" customHeight="1" x14ac:dyDescent="0.3">
      <c r="A569" s="1528">
        <v>697</v>
      </c>
      <c r="B569" s="1668"/>
      <c r="C569" s="1614"/>
      <c r="D569" s="1584" t="s">
        <v>745</v>
      </c>
      <c r="E569" s="1669"/>
      <c r="F569" s="1669"/>
      <c r="G569" s="1670"/>
      <c r="H569" s="1665"/>
      <c r="I569" s="1585">
        <f>SUM(J569:Q569)</f>
        <v>216</v>
      </c>
      <c r="J569" s="1586"/>
      <c r="K569" s="1586"/>
      <c r="L569" s="1586">
        <v>216</v>
      </c>
      <c r="M569" s="1586"/>
      <c r="N569" s="1652"/>
    </row>
    <row r="570" spans="1:16" s="1566" customFormat="1" ht="22.5" customHeight="1" x14ac:dyDescent="0.3">
      <c r="A570" s="1528">
        <v>699</v>
      </c>
      <c r="B570" s="1588"/>
      <c r="C570" s="1589">
        <v>113</v>
      </c>
      <c r="D570" s="1590" t="s">
        <v>266</v>
      </c>
      <c r="E570" s="1570">
        <v>13301</v>
      </c>
      <c r="F570" s="1570">
        <v>20866</v>
      </c>
      <c r="G570" s="1571">
        <v>11048</v>
      </c>
      <c r="H570" s="1572" t="s">
        <v>24</v>
      </c>
      <c r="I570" s="1573"/>
      <c r="J570" s="1574"/>
      <c r="K570" s="1574"/>
      <c r="L570" s="1574"/>
      <c r="M570" s="1574"/>
      <c r="N570" s="1576"/>
      <c r="P570" s="1577"/>
    </row>
    <row r="571" spans="1:16" s="1618" customFormat="1" ht="18" customHeight="1" x14ac:dyDescent="0.3">
      <c r="A571" s="1528">
        <v>700</v>
      </c>
      <c r="B571" s="1613"/>
      <c r="C571" s="1614"/>
      <c r="D571" s="1569" t="s">
        <v>239</v>
      </c>
      <c r="E571" s="1615"/>
      <c r="F571" s="1615"/>
      <c r="G571" s="1616"/>
      <c r="H571" s="1617"/>
      <c r="I571" s="1573">
        <f>SUM(J571:N571)</f>
        <v>22221</v>
      </c>
      <c r="J571" s="1575"/>
      <c r="K571" s="1575"/>
      <c r="L571" s="1575">
        <f>13250+8971</f>
        <v>22221</v>
      </c>
      <c r="M571" s="1575"/>
      <c r="N571" s="1592"/>
    </row>
    <row r="572" spans="1:16" s="1618" customFormat="1" ht="18" customHeight="1" x14ac:dyDescent="0.3">
      <c r="A572" s="1528">
        <v>701</v>
      </c>
      <c r="B572" s="1613"/>
      <c r="C572" s="1614"/>
      <c r="D572" s="1578" t="s">
        <v>702</v>
      </c>
      <c r="E572" s="1615"/>
      <c r="F572" s="1615"/>
      <c r="G572" s="1616"/>
      <c r="H572" s="1617"/>
      <c r="I572" s="1593">
        <f>SUM(J572:N572)</f>
        <v>22221</v>
      </c>
      <c r="J572" s="1595"/>
      <c r="K572" s="1595"/>
      <c r="L572" s="1595">
        <v>22221</v>
      </c>
      <c r="M572" s="1575"/>
      <c r="N572" s="1592"/>
    </row>
    <row r="573" spans="1:16" s="1618" customFormat="1" ht="18" customHeight="1" x14ac:dyDescent="0.3">
      <c r="A573" s="1528">
        <v>702</v>
      </c>
      <c r="B573" s="1613"/>
      <c r="C573" s="1614"/>
      <c r="D573" s="1584" t="s">
        <v>745</v>
      </c>
      <c r="E573" s="1615"/>
      <c r="F573" s="1615"/>
      <c r="G573" s="1616"/>
      <c r="H573" s="1617"/>
      <c r="I573" s="1585">
        <f>SUM(J573:Q573)</f>
        <v>4275</v>
      </c>
      <c r="J573" s="1597"/>
      <c r="K573" s="1597"/>
      <c r="L573" s="1597">
        <v>4275</v>
      </c>
      <c r="M573" s="1597"/>
      <c r="N573" s="1598"/>
    </row>
    <row r="574" spans="1:16" s="1566" customFormat="1" ht="22.5" customHeight="1" x14ac:dyDescent="0.3">
      <c r="A574" s="1528">
        <v>704</v>
      </c>
      <c r="B574" s="1588"/>
      <c r="C574" s="1589">
        <v>114</v>
      </c>
      <c r="D574" s="1590" t="s">
        <v>502</v>
      </c>
      <c r="E574" s="1570">
        <v>3646</v>
      </c>
      <c r="F574" s="1570">
        <v>23042</v>
      </c>
      <c r="G574" s="1571">
        <v>3088</v>
      </c>
      <c r="H574" s="1572" t="s">
        <v>23</v>
      </c>
      <c r="I574" s="1573"/>
      <c r="J574" s="1574"/>
      <c r="K574" s="1574"/>
      <c r="L574" s="1574"/>
      <c r="M574" s="1574"/>
      <c r="N574" s="1576"/>
      <c r="P574" s="1577"/>
    </row>
    <row r="575" spans="1:16" s="1618" customFormat="1" ht="18" customHeight="1" x14ac:dyDescent="0.3">
      <c r="A575" s="1528">
        <v>705</v>
      </c>
      <c r="B575" s="1613"/>
      <c r="C575" s="1614"/>
      <c r="D575" s="1569" t="s">
        <v>239</v>
      </c>
      <c r="E575" s="1615"/>
      <c r="F575" s="1615"/>
      <c r="G575" s="1616"/>
      <c r="H575" s="1617"/>
      <c r="I575" s="1573">
        <f>SUM(J575:N575)</f>
        <v>31554</v>
      </c>
      <c r="J575" s="1575"/>
      <c r="K575" s="1575"/>
      <c r="L575" s="1575">
        <f>11600+19954</f>
        <v>31554</v>
      </c>
      <c r="M575" s="1575"/>
      <c r="N575" s="1592"/>
    </row>
    <row r="576" spans="1:16" s="1618" customFormat="1" ht="18" customHeight="1" x14ac:dyDescent="0.3">
      <c r="A576" s="1528">
        <v>706</v>
      </c>
      <c r="B576" s="1613"/>
      <c r="C576" s="1614"/>
      <c r="D576" s="1578" t="s">
        <v>702</v>
      </c>
      <c r="E576" s="1615"/>
      <c r="F576" s="1615"/>
      <c r="G576" s="1616"/>
      <c r="H576" s="1617"/>
      <c r="I576" s="1593">
        <f>SUM(J576:N576)</f>
        <v>31554</v>
      </c>
      <c r="J576" s="1595"/>
      <c r="K576" s="1595"/>
      <c r="L576" s="1595">
        <v>31554</v>
      </c>
      <c r="M576" s="1575"/>
      <c r="N576" s="1592"/>
    </row>
    <row r="577" spans="1:16" s="1618" customFormat="1" ht="18" customHeight="1" x14ac:dyDescent="0.3">
      <c r="A577" s="1528">
        <v>707</v>
      </c>
      <c r="B577" s="1613"/>
      <c r="C577" s="1614"/>
      <c r="D577" s="1584" t="s">
        <v>745</v>
      </c>
      <c r="E577" s="1615"/>
      <c r="F577" s="1615"/>
      <c r="G577" s="1616"/>
      <c r="H577" s="1617"/>
      <c r="I577" s="1585">
        <f>SUM(J577:Q577)</f>
        <v>3439</v>
      </c>
      <c r="J577" s="1597"/>
      <c r="K577" s="1597"/>
      <c r="L577" s="1597">
        <v>3439</v>
      </c>
      <c r="M577" s="1597"/>
      <c r="N577" s="1598"/>
    </row>
    <row r="578" spans="1:16" s="1618" customFormat="1" ht="22.5" customHeight="1" x14ac:dyDescent="0.3">
      <c r="A578" s="1528">
        <v>709</v>
      </c>
      <c r="B578" s="1613"/>
      <c r="C578" s="1589">
        <v>115</v>
      </c>
      <c r="D578" s="1590" t="s">
        <v>334</v>
      </c>
      <c r="E578" s="1570">
        <v>18042</v>
      </c>
      <c r="F578" s="1570">
        <v>20182</v>
      </c>
      <c r="G578" s="1571">
        <v>18007</v>
      </c>
      <c r="H578" s="1572" t="s">
        <v>23</v>
      </c>
      <c r="I578" s="1573"/>
      <c r="J578" s="1575"/>
      <c r="K578" s="1575"/>
      <c r="L578" s="1575"/>
      <c r="M578" s="1575"/>
      <c r="N578" s="1592"/>
    </row>
    <row r="579" spans="1:16" s="1618" customFormat="1" ht="18" customHeight="1" x14ac:dyDescent="0.3">
      <c r="A579" s="1528">
        <v>710</v>
      </c>
      <c r="B579" s="1613"/>
      <c r="C579" s="1614"/>
      <c r="D579" s="1569" t="s">
        <v>239</v>
      </c>
      <c r="E579" s="1615"/>
      <c r="F579" s="1615"/>
      <c r="G579" s="1616"/>
      <c r="H579" s="1617"/>
      <c r="I579" s="1573">
        <f>SUM(J579:N579)</f>
        <v>20175</v>
      </c>
      <c r="J579" s="1575"/>
      <c r="K579" s="1575"/>
      <c r="L579" s="1575">
        <f>18000+2175</f>
        <v>20175</v>
      </c>
      <c r="M579" s="1575"/>
      <c r="N579" s="1592"/>
    </row>
    <row r="580" spans="1:16" s="1618" customFormat="1" ht="18" customHeight="1" x14ac:dyDescent="0.3">
      <c r="A580" s="1528">
        <v>711</v>
      </c>
      <c r="B580" s="1613"/>
      <c r="C580" s="1614"/>
      <c r="D580" s="1578" t="s">
        <v>702</v>
      </c>
      <c r="E580" s="1615"/>
      <c r="F580" s="1615"/>
      <c r="G580" s="1616"/>
      <c r="H580" s="1617"/>
      <c r="I580" s="1593">
        <f>SUM(J580:N580)</f>
        <v>20175</v>
      </c>
      <c r="J580" s="1595"/>
      <c r="K580" s="1595"/>
      <c r="L580" s="1595">
        <v>20175</v>
      </c>
      <c r="M580" s="1575"/>
      <c r="N580" s="1592"/>
    </row>
    <row r="581" spans="1:16" s="1618" customFormat="1" ht="18" customHeight="1" x14ac:dyDescent="0.3">
      <c r="A581" s="1528">
        <v>712</v>
      </c>
      <c r="B581" s="1613"/>
      <c r="C581" s="1614"/>
      <c r="D581" s="1584" t="s">
        <v>745</v>
      </c>
      <c r="E581" s="1615"/>
      <c r="F581" s="1615"/>
      <c r="G581" s="1616"/>
      <c r="H581" s="1617"/>
      <c r="I581" s="1585">
        <f>SUM(J581:Q581)</f>
        <v>7479</v>
      </c>
      <c r="J581" s="1597"/>
      <c r="K581" s="1597"/>
      <c r="L581" s="1597">
        <v>7479</v>
      </c>
      <c r="M581" s="1597"/>
      <c r="N581" s="1598"/>
    </row>
    <row r="582" spans="1:16" s="1577" customFormat="1" ht="22.5" customHeight="1" x14ac:dyDescent="0.3">
      <c r="A582" s="1528">
        <v>714</v>
      </c>
      <c r="B582" s="1681"/>
      <c r="C582" s="1589">
        <v>116</v>
      </c>
      <c r="D582" s="1590" t="s">
        <v>226</v>
      </c>
      <c r="E582" s="1570">
        <v>225831</v>
      </c>
      <c r="F582" s="1570">
        <v>249886</v>
      </c>
      <c r="G582" s="1571">
        <v>254723</v>
      </c>
      <c r="H582" s="1572" t="s">
        <v>23</v>
      </c>
      <c r="I582" s="1599"/>
      <c r="J582" s="1600"/>
      <c r="K582" s="1600"/>
      <c r="L582" s="1600"/>
      <c r="M582" s="1600"/>
      <c r="N582" s="1601"/>
    </row>
    <row r="583" spans="1:16" s="1618" customFormat="1" ht="18" customHeight="1" x14ac:dyDescent="0.3">
      <c r="A583" s="1528">
        <v>715</v>
      </c>
      <c r="B583" s="1613"/>
      <c r="C583" s="1614"/>
      <c r="D583" s="1569" t="s">
        <v>239</v>
      </c>
      <c r="E583" s="1615"/>
      <c r="F583" s="1615"/>
      <c r="G583" s="1616"/>
      <c r="H583" s="1617"/>
      <c r="I583" s="1573">
        <f>SUM(J583:N583)</f>
        <v>279585</v>
      </c>
      <c r="J583" s="1575"/>
      <c r="K583" s="1575"/>
      <c r="L583" s="1575">
        <v>279585</v>
      </c>
      <c r="M583" s="1575"/>
      <c r="N583" s="1592"/>
    </row>
    <row r="584" spans="1:16" s="1618" customFormat="1" ht="18" customHeight="1" x14ac:dyDescent="0.3">
      <c r="A584" s="1528">
        <v>716</v>
      </c>
      <c r="B584" s="1613"/>
      <c r="C584" s="1614"/>
      <c r="D584" s="1578" t="s">
        <v>702</v>
      </c>
      <c r="E584" s="1615"/>
      <c r="F584" s="1615"/>
      <c r="G584" s="1616"/>
      <c r="H584" s="1617"/>
      <c r="I584" s="1593">
        <f>SUM(J584:N584)</f>
        <v>279585</v>
      </c>
      <c r="J584" s="1595"/>
      <c r="K584" s="1595"/>
      <c r="L584" s="1595">
        <v>279585</v>
      </c>
      <c r="M584" s="1575"/>
      <c r="N584" s="1592"/>
    </row>
    <row r="585" spans="1:16" s="1618" customFormat="1" ht="18" customHeight="1" x14ac:dyDescent="0.3">
      <c r="A585" s="1528">
        <v>717</v>
      </c>
      <c r="B585" s="1613"/>
      <c r="C585" s="1614"/>
      <c r="D585" s="1584" t="s">
        <v>745</v>
      </c>
      <c r="E585" s="1615"/>
      <c r="F585" s="1615"/>
      <c r="G585" s="1616"/>
      <c r="H585" s="1617"/>
      <c r="I585" s="1585">
        <f>SUM(J585:Q585)</f>
        <v>134990</v>
      </c>
      <c r="J585" s="1597"/>
      <c r="K585" s="1597"/>
      <c r="L585" s="1597">
        <v>134990</v>
      </c>
      <c r="M585" s="1597"/>
      <c r="N585" s="1598"/>
    </row>
    <row r="586" spans="1:16" s="1566" customFormat="1" ht="22.5" customHeight="1" x14ac:dyDescent="0.3">
      <c r="A586" s="1528">
        <v>719</v>
      </c>
      <c r="B586" s="1588"/>
      <c r="C586" s="1589">
        <v>118</v>
      </c>
      <c r="D586" s="1590" t="s">
        <v>86</v>
      </c>
      <c r="E586" s="1570">
        <f>E590+E594+E598+E602+E606</f>
        <v>2765</v>
      </c>
      <c r="F586" s="1570">
        <f>F590+F594+F598+F602+F606</f>
        <v>2765</v>
      </c>
      <c r="G586" s="1570">
        <f>G590+G594+G598+G602+G606</f>
        <v>2765</v>
      </c>
      <c r="H586" s="1572" t="s">
        <v>23</v>
      </c>
      <c r="I586" s="1599"/>
      <c r="J586" s="1600"/>
      <c r="K586" s="1600"/>
      <c r="L586" s="1600"/>
      <c r="M586" s="1600"/>
      <c r="N586" s="1601"/>
      <c r="O586" s="1577"/>
      <c r="P586" s="1577"/>
    </row>
    <row r="587" spans="1:16" s="1618" customFormat="1" ht="18" customHeight="1" x14ac:dyDescent="0.3">
      <c r="A587" s="1528">
        <v>720</v>
      </c>
      <c r="B587" s="1613"/>
      <c r="C587" s="1614"/>
      <c r="D587" s="1569" t="s">
        <v>239</v>
      </c>
      <c r="E587" s="1615"/>
      <c r="F587" s="1615"/>
      <c r="G587" s="1616"/>
      <c r="H587" s="1617"/>
      <c r="I587" s="1573">
        <f>SUM(J587:N587)</f>
        <v>2765</v>
      </c>
      <c r="J587" s="1643"/>
      <c r="K587" s="1643"/>
      <c r="L587" s="1643"/>
      <c r="M587" s="1643"/>
      <c r="N587" s="1592">
        <f>N591+N595+N599+N603+N607</f>
        <v>2765</v>
      </c>
    </row>
    <row r="588" spans="1:16" s="1618" customFormat="1" ht="18" customHeight="1" x14ac:dyDescent="0.3">
      <c r="A588" s="1528">
        <v>721</v>
      </c>
      <c r="B588" s="1613"/>
      <c r="C588" s="1614"/>
      <c r="D588" s="1578" t="s">
        <v>702</v>
      </c>
      <c r="E588" s="1615"/>
      <c r="F588" s="1615"/>
      <c r="G588" s="1616"/>
      <c r="H588" s="1617"/>
      <c r="I588" s="1593">
        <f>SUM(J588:N588)</f>
        <v>2765</v>
      </c>
      <c r="J588" s="1645"/>
      <c r="K588" s="1645"/>
      <c r="L588" s="1645"/>
      <c r="M588" s="1645"/>
      <c r="N588" s="1596">
        <f>N592+N596+N600+N604+N608</f>
        <v>2765</v>
      </c>
    </row>
    <row r="589" spans="1:16" s="1618" customFormat="1" ht="18" customHeight="1" x14ac:dyDescent="0.3">
      <c r="A589" s="1528">
        <v>722</v>
      </c>
      <c r="B589" s="1613"/>
      <c r="C589" s="1614"/>
      <c r="D589" s="1584" t="s">
        <v>745</v>
      </c>
      <c r="E589" s="1615"/>
      <c r="F589" s="1615"/>
      <c r="G589" s="1616"/>
      <c r="H589" s="1617"/>
      <c r="I589" s="1585">
        <f>SUM(J589:Q589)</f>
        <v>1385</v>
      </c>
      <c r="J589" s="1643"/>
      <c r="K589" s="1643"/>
      <c r="L589" s="1643"/>
      <c r="M589" s="1643"/>
      <c r="N589" s="1598">
        <v>1385</v>
      </c>
    </row>
    <row r="590" spans="1:16" s="1626" customFormat="1" ht="18" customHeight="1" x14ac:dyDescent="0.3">
      <c r="A590" s="1528">
        <v>724</v>
      </c>
      <c r="B590" s="1619"/>
      <c r="C590" s="1568"/>
      <c r="D590" s="1637" t="s">
        <v>87</v>
      </c>
      <c r="E590" s="1570">
        <v>553</v>
      </c>
      <c r="F590" s="1570">
        <v>553</v>
      </c>
      <c r="G590" s="1571">
        <v>553</v>
      </c>
      <c r="H590" s="1622"/>
      <c r="I590" s="1623"/>
      <c r="J590" s="1624"/>
      <c r="K590" s="1624"/>
      <c r="L590" s="1624"/>
      <c r="M590" s="1624"/>
      <c r="N590" s="1625"/>
      <c r="P590" s="1577"/>
    </row>
    <row r="591" spans="1:16" s="1644" customFormat="1" ht="18" customHeight="1" x14ac:dyDescent="0.3">
      <c r="A591" s="1528">
        <v>725</v>
      </c>
      <c r="B591" s="1642"/>
      <c r="C591" s="1614"/>
      <c r="D591" s="1682" t="s">
        <v>239</v>
      </c>
      <c r="E591" s="1615"/>
      <c r="F591" s="1615"/>
      <c r="G591" s="1616"/>
      <c r="H591" s="1646"/>
      <c r="I591" s="1623">
        <f>SUM(J591:N591)</f>
        <v>553</v>
      </c>
      <c r="J591" s="1643"/>
      <c r="K591" s="1643"/>
      <c r="L591" s="1643"/>
      <c r="M591" s="1643"/>
      <c r="N591" s="1667">
        <v>553</v>
      </c>
      <c r="P591" s="1618"/>
    </row>
    <row r="592" spans="1:16" s="1644" customFormat="1" ht="18" customHeight="1" x14ac:dyDescent="0.3">
      <c r="A592" s="1528">
        <v>726</v>
      </c>
      <c r="B592" s="1642"/>
      <c r="C592" s="1614"/>
      <c r="D592" s="1629" t="s">
        <v>702</v>
      </c>
      <c r="E592" s="1615"/>
      <c r="F592" s="1615"/>
      <c r="G592" s="1616"/>
      <c r="H592" s="1646"/>
      <c r="I592" s="1683">
        <f>SUM(J592:N592)</f>
        <v>553</v>
      </c>
      <c r="J592" s="1645"/>
      <c r="K592" s="1645"/>
      <c r="L592" s="1645"/>
      <c r="M592" s="1645"/>
      <c r="N592" s="1636">
        <v>553</v>
      </c>
      <c r="P592" s="1618"/>
    </row>
    <row r="593" spans="1:16" s="1644" customFormat="1" ht="18" customHeight="1" x14ac:dyDescent="0.3">
      <c r="A593" s="1528">
        <v>727</v>
      </c>
      <c r="B593" s="1642"/>
      <c r="C593" s="1614"/>
      <c r="D593" s="1629" t="s">
        <v>745</v>
      </c>
      <c r="E593" s="1615"/>
      <c r="F593" s="1615"/>
      <c r="G593" s="1616"/>
      <c r="H593" s="1646"/>
      <c r="I593" s="1585">
        <f>SUM(J593:Q593)</f>
        <v>277</v>
      </c>
      <c r="J593" s="1643"/>
      <c r="K593" s="1643"/>
      <c r="L593" s="1643"/>
      <c r="M593" s="1643"/>
      <c r="N593" s="1598">
        <v>277</v>
      </c>
      <c r="P593" s="1618"/>
    </row>
    <row r="594" spans="1:16" s="1626" customFormat="1" ht="18" customHeight="1" x14ac:dyDescent="0.3">
      <c r="A594" s="1528">
        <v>729</v>
      </c>
      <c r="B594" s="1619"/>
      <c r="C594" s="1568"/>
      <c r="D594" s="1684" t="s">
        <v>88</v>
      </c>
      <c r="E594" s="1570">
        <v>553</v>
      </c>
      <c r="F594" s="1570">
        <v>553</v>
      </c>
      <c r="G594" s="1571">
        <v>553</v>
      </c>
      <c r="H594" s="1622"/>
      <c r="I594" s="1631"/>
      <c r="J594" s="1632"/>
      <c r="K594" s="1632"/>
      <c r="L594" s="1632"/>
      <c r="M594" s="1632"/>
      <c r="N594" s="1633"/>
      <c r="P594" s="1577"/>
    </row>
    <row r="595" spans="1:16" s="1644" customFormat="1" ht="18" customHeight="1" x14ac:dyDescent="0.3">
      <c r="A595" s="1528">
        <v>730</v>
      </c>
      <c r="B595" s="1642"/>
      <c r="C595" s="1614"/>
      <c r="D595" s="1682" t="s">
        <v>239</v>
      </c>
      <c r="E595" s="1615"/>
      <c r="F595" s="1615"/>
      <c r="G595" s="1616"/>
      <c r="H595" s="1646"/>
      <c r="I595" s="1623">
        <f>SUM(J595:N595)</f>
        <v>553</v>
      </c>
      <c r="J595" s="1643"/>
      <c r="K595" s="1643"/>
      <c r="L595" s="1643"/>
      <c r="M595" s="1643"/>
      <c r="N595" s="1667">
        <v>553</v>
      </c>
      <c r="P595" s="1618"/>
    </row>
    <row r="596" spans="1:16" s="1644" customFormat="1" ht="18" customHeight="1" x14ac:dyDescent="0.3">
      <c r="A596" s="1528">
        <v>731</v>
      </c>
      <c r="B596" s="1642"/>
      <c r="C596" s="1614"/>
      <c r="D596" s="1629" t="s">
        <v>702</v>
      </c>
      <c r="E596" s="1615"/>
      <c r="F596" s="1615"/>
      <c r="G596" s="1616"/>
      <c r="H596" s="1646"/>
      <c r="I596" s="1683">
        <f>SUM(J596:N596)</f>
        <v>553</v>
      </c>
      <c r="J596" s="1645"/>
      <c r="K596" s="1645"/>
      <c r="L596" s="1645"/>
      <c r="M596" s="1645"/>
      <c r="N596" s="1636">
        <v>553</v>
      </c>
      <c r="P596" s="1618"/>
    </row>
    <row r="597" spans="1:16" s="1644" customFormat="1" ht="18" customHeight="1" x14ac:dyDescent="0.3">
      <c r="A597" s="1528">
        <v>732</v>
      </c>
      <c r="B597" s="1642"/>
      <c r="C597" s="1614"/>
      <c r="D597" s="1629" t="s">
        <v>745</v>
      </c>
      <c r="E597" s="1615"/>
      <c r="F597" s="1615"/>
      <c r="G597" s="1616"/>
      <c r="H597" s="1646"/>
      <c r="I597" s="1585">
        <f>SUM(J597:Q597)</f>
        <v>277</v>
      </c>
      <c r="J597" s="1643"/>
      <c r="K597" s="1643"/>
      <c r="L597" s="1643"/>
      <c r="M597" s="1643"/>
      <c r="N597" s="1641">
        <v>277</v>
      </c>
      <c r="P597" s="1618"/>
    </row>
    <row r="598" spans="1:16" s="1626" customFormat="1" ht="18" customHeight="1" x14ac:dyDescent="0.3">
      <c r="A598" s="1528">
        <v>734</v>
      </c>
      <c r="B598" s="1619"/>
      <c r="C598" s="1568"/>
      <c r="D598" s="1684" t="s">
        <v>89</v>
      </c>
      <c r="E598" s="1570">
        <v>553</v>
      </c>
      <c r="F598" s="1570">
        <v>553</v>
      </c>
      <c r="G598" s="1571">
        <v>553</v>
      </c>
      <c r="H598" s="1622"/>
      <c r="I598" s="1631"/>
      <c r="J598" s="1632"/>
      <c r="K598" s="1632"/>
      <c r="L598" s="1632"/>
      <c r="M598" s="1632"/>
      <c r="N598" s="1633"/>
      <c r="P598" s="1577"/>
    </row>
    <row r="599" spans="1:16" s="1644" customFormat="1" ht="18" customHeight="1" x14ac:dyDescent="0.3">
      <c r="A599" s="1528">
        <v>735</v>
      </c>
      <c r="B599" s="1642"/>
      <c r="C599" s="1614"/>
      <c r="D599" s="1682" t="s">
        <v>239</v>
      </c>
      <c r="E599" s="1615"/>
      <c r="F599" s="1615"/>
      <c r="G599" s="1616"/>
      <c r="H599" s="1646"/>
      <c r="I599" s="1623">
        <f>SUM(J599:N599)</f>
        <v>553</v>
      </c>
      <c r="J599" s="1643"/>
      <c r="K599" s="1643"/>
      <c r="L599" s="1643"/>
      <c r="M599" s="1643"/>
      <c r="N599" s="1667">
        <v>553</v>
      </c>
      <c r="P599" s="1618"/>
    </row>
    <row r="600" spans="1:16" s="1644" customFormat="1" ht="18" customHeight="1" x14ac:dyDescent="0.3">
      <c r="A600" s="1528">
        <v>736</v>
      </c>
      <c r="B600" s="1642"/>
      <c r="C600" s="1614"/>
      <c r="D600" s="1629" t="s">
        <v>702</v>
      </c>
      <c r="E600" s="1615"/>
      <c r="F600" s="1615"/>
      <c r="G600" s="1616"/>
      <c r="H600" s="1646"/>
      <c r="I600" s="1683">
        <f>SUM(J600:N600)</f>
        <v>553</v>
      </c>
      <c r="J600" s="1645"/>
      <c r="K600" s="1645"/>
      <c r="L600" s="1645"/>
      <c r="M600" s="1645"/>
      <c r="N600" s="1636">
        <v>553</v>
      </c>
      <c r="P600" s="1618"/>
    </row>
    <row r="601" spans="1:16" s="1644" customFormat="1" ht="18" customHeight="1" x14ac:dyDescent="0.3">
      <c r="A601" s="1528">
        <v>737</v>
      </c>
      <c r="B601" s="1642"/>
      <c r="C601" s="1614"/>
      <c r="D601" s="1629" t="s">
        <v>745</v>
      </c>
      <c r="E601" s="1615"/>
      <c r="F601" s="1615"/>
      <c r="G601" s="1616"/>
      <c r="H601" s="1646"/>
      <c r="I601" s="1585">
        <f>SUM(J601:Q601)</f>
        <v>277</v>
      </c>
      <c r="J601" s="1643"/>
      <c r="K601" s="1643"/>
      <c r="L601" s="1643"/>
      <c r="M601" s="1643"/>
      <c r="N601" s="1636">
        <v>277</v>
      </c>
      <c r="P601" s="1618"/>
    </row>
    <row r="602" spans="1:16" s="1626" customFormat="1" ht="18" customHeight="1" x14ac:dyDescent="0.3">
      <c r="A602" s="1528">
        <v>739</v>
      </c>
      <c r="B602" s="1619"/>
      <c r="C602" s="1568"/>
      <c r="D602" s="1684" t="s">
        <v>90</v>
      </c>
      <c r="E602" s="1570">
        <v>553</v>
      </c>
      <c r="F602" s="1570">
        <v>553</v>
      </c>
      <c r="G602" s="1571">
        <v>553</v>
      </c>
      <c r="H602" s="1622"/>
      <c r="I602" s="1631"/>
      <c r="J602" s="1632"/>
      <c r="K602" s="1632"/>
      <c r="L602" s="1632"/>
      <c r="M602" s="1632"/>
      <c r="N602" s="1633"/>
      <c r="P602" s="1577"/>
    </row>
    <row r="603" spans="1:16" s="1644" customFormat="1" ht="18" customHeight="1" x14ac:dyDescent="0.3">
      <c r="A603" s="1528">
        <v>740</v>
      </c>
      <c r="B603" s="1642"/>
      <c r="C603" s="1614"/>
      <c r="D603" s="1682" t="s">
        <v>239</v>
      </c>
      <c r="E603" s="1615"/>
      <c r="F603" s="1615"/>
      <c r="G603" s="1616"/>
      <c r="H603" s="1646"/>
      <c r="I603" s="1623">
        <f>SUM(J603:N603)</f>
        <v>553</v>
      </c>
      <c r="J603" s="1643"/>
      <c r="K603" s="1643"/>
      <c r="L603" s="1643"/>
      <c r="M603" s="1643"/>
      <c r="N603" s="1667">
        <v>553</v>
      </c>
      <c r="P603" s="1618"/>
    </row>
    <row r="604" spans="1:16" s="1644" customFormat="1" ht="18" customHeight="1" x14ac:dyDescent="0.3">
      <c r="A604" s="1528">
        <v>741</v>
      </c>
      <c r="B604" s="1642"/>
      <c r="C604" s="1614"/>
      <c r="D604" s="1629" t="s">
        <v>702</v>
      </c>
      <c r="E604" s="1615"/>
      <c r="F604" s="1615"/>
      <c r="G604" s="1616"/>
      <c r="H604" s="1646"/>
      <c r="I604" s="1683">
        <f>SUM(J604:N604)</f>
        <v>553</v>
      </c>
      <c r="J604" s="1645"/>
      <c r="K604" s="1645"/>
      <c r="L604" s="1645"/>
      <c r="M604" s="1645"/>
      <c r="N604" s="1636">
        <v>553</v>
      </c>
      <c r="P604" s="1618"/>
    </row>
    <row r="605" spans="1:16" s="1644" customFormat="1" ht="18" customHeight="1" x14ac:dyDescent="0.3">
      <c r="A605" s="1528">
        <v>742</v>
      </c>
      <c r="B605" s="1642"/>
      <c r="C605" s="1614"/>
      <c r="D605" s="1629" t="s">
        <v>745</v>
      </c>
      <c r="E605" s="1615"/>
      <c r="F605" s="1615"/>
      <c r="G605" s="1616"/>
      <c r="H605" s="1646"/>
      <c r="I605" s="1585">
        <f>SUM(J605:Q605)</f>
        <v>277</v>
      </c>
      <c r="J605" s="1643"/>
      <c r="K605" s="1643"/>
      <c r="L605" s="1643"/>
      <c r="M605" s="1643"/>
      <c r="N605" s="1636">
        <v>277</v>
      </c>
      <c r="P605" s="1618"/>
    </row>
    <row r="606" spans="1:16" s="1626" customFormat="1" ht="18" customHeight="1" x14ac:dyDescent="0.3">
      <c r="A606" s="1528">
        <v>744</v>
      </c>
      <c r="B606" s="1619"/>
      <c r="C606" s="1568"/>
      <c r="D606" s="1684" t="s">
        <v>91</v>
      </c>
      <c r="E606" s="1570">
        <v>553</v>
      </c>
      <c r="F606" s="1570">
        <v>553</v>
      </c>
      <c r="G606" s="1571">
        <v>553</v>
      </c>
      <c r="H606" s="1622"/>
      <c r="I606" s="1631"/>
      <c r="J606" s="1632"/>
      <c r="K606" s="1632"/>
      <c r="L606" s="1632"/>
      <c r="M606" s="1632"/>
      <c r="N606" s="1633"/>
      <c r="P606" s="1577"/>
    </row>
    <row r="607" spans="1:16" s="1644" customFormat="1" ht="18" customHeight="1" x14ac:dyDescent="0.3">
      <c r="A607" s="1528">
        <v>745</v>
      </c>
      <c r="B607" s="1642"/>
      <c r="C607" s="1614"/>
      <c r="D607" s="1682" t="s">
        <v>239</v>
      </c>
      <c r="E607" s="1615"/>
      <c r="F607" s="1615"/>
      <c r="G607" s="1616"/>
      <c r="H607" s="1646"/>
      <c r="I607" s="1623">
        <f>SUM(J607:N607)</f>
        <v>553</v>
      </c>
      <c r="J607" s="1643"/>
      <c r="K607" s="1643"/>
      <c r="L607" s="1643"/>
      <c r="M607" s="1643"/>
      <c r="N607" s="1667">
        <v>553</v>
      </c>
      <c r="P607" s="1618"/>
    </row>
    <row r="608" spans="1:16" s="1644" customFormat="1" ht="18" customHeight="1" x14ac:dyDescent="0.3">
      <c r="A608" s="1528">
        <v>746</v>
      </c>
      <c r="B608" s="1642"/>
      <c r="C608" s="1614"/>
      <c r="D608" s="1629" t="s">
        <v>702</v>
      </c>
      <c r="E608" s="1685"/>
      <c r="F608" s="1615"/>
      <c r="G608" s="1686"/>
      <c r="H608" s="1687"/>
      <c r="I608" s="1683">
        <f>SUM(J608:N608)</f>
        <v>553</v>
      </c>
      <c r="J608" s="1645"/>
      <c r="K608" s="1645"/>
      <c r="L608" s="1645"/>
      <c r="M608" s="1645"/>
      <c r="N608" s="1688">
        <v>553</v>
      </c>
      <c r="P608" s="1618"/>
    </row>
    <row r="609" spans="1:16" s="1644" customFormat="1" ht="18" customHeight="1" x14ac:dyDescent="0.3">
      <c r="A609" s="1528">
        <v>747</v>
      </c>
      <c r="B609" s="1642"/>
      <c r="C609" s="1614"/>
      <c r="D609" s="1629" t="s">
        <v>745</v>
      </c>
      <c r="E609" s="1685"/>
      <c r="F609" s="1615"/>
      <c r="G609" s="1686"/>
      <c r="H609" s="1687"/>
      <c r="I609" s="1585">
        <f>SUM(J609:Q609)</f>
        <v>277</v>
      </c>
      <c r="J609" s="1643"/>
      <c r="K609" s="1643"/>
      <c r="L609" s="1643"/>
      <c r="M609" s="1643"/>
      <c r="N609" s="1688">
        <v>277</v>
      </c>
      <c r="P609" s="1618"/>
    </row>
    <row r="610" spans="1:16" s="1626" customFormat="1" ht="23.45" customHeight="1" x14ac:dyDescent="0.3">
      <c r="A610" s="1528">
        <v>749</v>
      </c>
      <c r="B610" s="1619"/>
      <c r="C610" s="1589">
        <v>121</v>
      </c>
      <c r="D610" s="1590" t="s">
        <v>438</v>
      </c>
      <c r="E610" s="1689"/>
      <c r="F610" s="1570">
        <v>3071</v>
      </c>
      <c r="G610" s="1690"/>
      <c r="H610" s="1562" t="s">
        <v>24</v>
      </c>
      <c r="I610" s="1686"/>
      <c r="J610" s="1624"/>
      <c r="K610" s="1624"/>
      <c r="L610" s="1575"/>
      <c r="M610" s="1624"/>
      <c r="N610" s="1691"/>
      <c r="P610" s="1577"/>
    </row>
    <row r="611" spans="1:16" s="1626" customFormat="1" ht="18" customHeight="1" x14ac:dyDescent="0.3">
      <c r="A611" s="1528">
        <v>750</v>
      </c>
      <c r="B611" s="1619"/>
      <c r="C611" s="1589"/>
      <c r="D611" s="1569" t="s">
        <v>239</v>
      </c>
      <c r="E611" s="1689"/>
      <c r="F611" s="1570"/>
      <c r="G611" s="1690"/>
      <c r="H611" s="1572"/>
      <c r="I611" s="1573">
        <f>SUM(J611:N611)</f>
        <v>3071</v>
      </c>
      <c r="J611" s="1624"/>
      <c r="K611" s="1624"/>
      <c r="L611" s="1575">
        <f>400+2671</f>
        <v>3071</v>
      </c>
      <c r="M611" s="1624"/>
      <c r="N611" s="1691"/>
      <c r="P611" s="1577"/>
    </row>
    <row r="612" spans="1:16" s="1626" customFormat="1" ht="18" customHeight="1" x14ac:dyDescent="0.3">
      <c r="A612" s="1528">
        <v>751</v>
      </c>
      <c r="B612" s="1692"/>
      <c r="C612" s="1589"/>
      <c r="D612" s="1578" t="s">
        <v>702</v>
      </c>
      <c r="E612" s="1693"/>
      <c r="F612" s="1560"/>
      <c r="G612" s="1690"/>
      <c r="H612" s="1694"/>
      <c r="I612" s="1580">
        <f>SUM(J612:N612)</f>
        <v>3071</v>
      </c>
      <c r="J612" s="1586"/>
      <c r="K612" s="1586"/>
      <c r="L612" s="1581">
        <v>3071</v>
      </c>
      <c r="M612" s="1695"/>
      <c r="N612" s="1696"/>
      <c r="P612" s="1577"/>
    </row>
    <row r="613" spans="1:16" s="1626" customFormat="1" ht="18" customHeight="1" x14ac:dyDescent="0.3">
      <c r="A613" s="1528">
        <v>752</v>
      </c>
      <c r="B613" s="1692"/>
      <c r="C613" s="1589"/>
      <c r="D613" s="1584" t="s">
        <v>745</v>
      </c>
      <c r="E613" s="1693"/>
      <c r="F613" s="1560"/>
      <c r="G613" s="1697"/>
      <c r="H613" s="1694"/>
      <c r="I613" s="1585">
        <f>SUM(J613:Q613)</f>
        <v>0</v>
      </c>
      <c r="J613" s="1586"/>
      <c r="K613" s="1586"/>
      <c r="L613" s="1586">
        <v>0</v>
      </c>
      <c r="M613" s="1586"/>
      <c r="N613" s="1698"/>
      <c r="P613" s="1577"/>
    </row>
    <row r="614" spans="1:16" s="1566" customFormat="1" ht="23.45" customHeight="1" x14ac:dyDescent="0.3">
      <c r="A614" s="1528">
        <v>754</v>
      </c>
      <c r="B614" s="1649"/>
      <c r="C614" s="1589">
        <v>123</v>
      </c>
      <c r="D614" s="1559" t="s">
        <v>687</v>
      </c>
      <c r="E614" s="1560">
        <v>7950</v>
      </c>
      <c r="F614" s="1560">
        <v>4752</v>
      </c>
      <c r="G614" s="1561">
        <v>146</v>
      </c>
      <c r="H614" s="1562" t="s">
        <v>24</v>
      </c>
      <c r="I614" s="1573"/>
      <c r="J614" s="1582"/>
      <c r="K614" s="1582"/>
      <c r="L614" s="1582"/>
      <c r="M614" s="1582"/>
      <c r="N614" s="1583"/>
      <c r="O614" s="1577"/>
      <c r="P614" s="1577"/>
    </row>
    <row r="615" spans="1:16" s="1700" customFormat="1" ht="18" customHeight="1" x14ac:dyDescent="0.35">
      <c r="A615" s="1528">
        <v>755</v>
      </c>
      <c r="B615" s="1668"/>
      <c r="C615" s="1699"/>
      <c r="D615" s="1569" t="s">
        <v>239</v>
      </c>
      <c r="E615" s="1560"/>
      <c r="F615" s="1560"/>
      <c r="G615" s="1561"/>
      <c r="H615" s="1665"/>
      <c r="I615" s="1573">
        <f>SUM(J615:N615)</f>
        <v>4755</v>
      </c>
      <c r="J615" s="1671"/>
      <c r="K615" s="1671"/>
      <c r="L615" s="1671">
        <v>4755</v>
      </c>
      <c r="M615" s="1671"/>
      <c r="N615" s="1650"/>
      <c r="O615" s="1618"/>
      <c r="P615" s="1618"/>
    </row>
    <row r="616" spans="1:16" s="1700" customFormat="1" ht="18" customHeight="1" x14ac:dyDescent="0.35">
      <c r="A616" s="1528">
        <v>756</v>
      </c>
      <c r="B616" s="1668"/>
      <c r="C616" s="1699"/>
      <c r="D616" s="1578" t="s">
        <v>702</v>
      </c>
      <c r="E616" s="1560"/>
      <c r="F616" s="1560"/>
      <c r="G616" s="1561"/>
      <c r="H616" s="1665"/>
      <c r="I616" s="1593">
        <f>SUM(J616:N616)</f>
        <v>4755</v>
      </c>
      <c r="J616" s="1581"/>
      <c r="K616" s="1581"/>
      <c r="L616" s="1581">
        <v>4755</v>
      </c>
      <c r="M616" s="1671"/>
      <c r="N616" s="1650"/>
      <c r="O616" s="1618"/>
      <c r="P616" s="1618"/>
    </row>
    <row r="617" spans="1:16" s="1700" customFormat="1" ht="18" customHeight="1" x14ac:dyDescent="0.35">
      <c r="A617" s="1528">
        <v>757</v>
      </c>
      <c r="B617" s="1668"/>
      <c r="C617" s="1699"/>
      <c r="D617" s="1584" t="s">
        <v>745</v>
      </c>
      <c r="E617" s="1560"/>
      <c r="F617" s="1560"/>
      <c r="G617" s="1561"/>
      <c r="H617" s="1665"/>
      <c r="I617" s="1585">
        <f>SUM(J617:Q617)</f>
        <v>41</v>
      </c>
      <c r="J617" s="1586"/>
      <c r="K617" s="1586"/>
      <c r="L617" s="1586">
        <v>41</v>
      </c>
      <c r="M617" s="1586"/>
      <c r="N617" s="1652"/>
      <c r="O617" s="1618"/>
      <c r="P617" s="1618"/>
    </row>
    <row r="618" spans="1:16" s="1700" customFormat="1" ht="23.45" customHeight="1" x14ac:dyDescent="0.35">
      <c r="A618" s="1528">
        <v>759</v>
      </c>
      <c r="B618" s="1668"/>
      <c r="C618" s="1589">
        <v>124</v>
      </c>
      <c r="D618" s="1559" t="s">
        <v>488</v>
      </c>
      <c r="E618" s="1560"/>
      <c r="F618" s="1560">
        <v>1700</v>
      </c>
      <c r="G618" s="1561"/>
      <c r="H618" s="1562" t="s">
        <v>24</v>
      </c>
      <c r="I618" s="1573"/>
      <c r="J618" s="1671"/>
      <c r="K618" s="1671"/>
      <c r="L618" s="1671"/>
      <c r="M618" s="1671"/>
      <c r="N618" s="1650"/>
      <c r="O618" s="1618"/>
      <c r="P618" s="1618"/>
    </row>
    <row r="619" spans="1:16" s="1700" customFormat="1" ht="18" customHeight="1" x14ac:dyDescent="0.35">
      <c r="A619" s="1528">
        <v>760</v>
      </c>
      <c r="B619" s="1668"/>
      <c r="C619" s="1699"/>
      <c r="D619" s="1569" t="s">
        <v>239</v>
      </c>
      <c r="E619" s="1669"/>
      <c r="F619" s="1669"/>
      <c r="G619" s="1670"/>
      <c r="H619" s="1665"/>
      <c r="I619" s="1573">
        <f>SUM(J619:N619)</f>
        <v>1700</v>
      </c>
      <c r="J619" s="1671"/>
      <c r="K619" s="1671"/>
      <c r="L619" s="1671">
        <f>500+1200</f>
        <v>1700</v>
      </c>
      <c r="M619" s="1671"/>
      <c r="N619" s="1650"/>
      <c r="O619" s="1618"/>
      <c r="P619" s="1618"/>
    </row>
    <row r="620" spans="1:16" s="1700" customFormat="1" ht="18" customHeight="1" x14ac:dyDescent="0.35">
      <c r="A620" s="1528">
        <v>761</v>
      </c>
      <c r="B620" s="1668"/>
      <c r="C620" s="1699"/>
      <c r="D620" s="1578" t="s">
        <v>702</v>
      </c>
      <c r="E620" s="1669"/>
      <c r="F620" s="1669"/>
      <c r="G620" s="1670"/>
      <c r="H620" s="1665"/>
      <c r="I620" s="1593">
        <f>SUM(J620:N620)</f>
        <v>1700</v>
      </c>
      <c r="J620" s="1581"/>
      <c r="K620" s="1581"/>
      <c r="L620" s="1581">
        <v>1700</v>
      </c>
      <c r="M620" s="1671"/>
      <c r="N620" s="1650"/>
      <c r="O620" s="1618"/>
      <c r="P620" s="1618"/>
    </row>
    <row r="621" spans="1:16" s="1700" customFormat="1" ht="18" customHeight="1" x14ac:dyDescent="0.35">
      <c r="A621" s="1528">
        <v>762</v>
      </c>
      <c r="B621" s="1668"/>
      <c r="C621" s="1699"/>
      <c r="D621" s="1584" t="s">
        <v>745</v>
      </c>
      <c r="E621" s="1669"/>
      <c r="F621" s="1669"/>
      <c r="G621" s="1670"/>
      <c r="H621" s="1665"/>
      <c r="I621" s="1585">
        <f>SUM(J621:Q621)</f>
        <v>0</v>
      </c>
      <c r="J621" s="1586"/>
      <c r="K621" s="1586"/>
      <c r="L621" s="1586">
        <v>0</v>
      </c>
      <c r="M621" s="1586"/>
      <c r="N621" s="1652"/>
      <c r="O621" s="1618"/>
      <c r="P621" s="1618"/>
    </row>
    <row r="622" spans="1:16" s="1700" customFormat="1" ht="23.45" customHeight="1" x14ac:dyDescent="0.35">
      <c r="A622" s="1528">
        <v>764</v>
      </c>
      <c r="B622" s="1668"/>
      <c r="C622" s="1589">
        <v>125</v>
      </c>
      <c r="D622" s="1559" t="s">
        <v>503</v>
      </c>
      <c r="E622" s="1560">
        <v>296210</v>
      </c>
      <c r="F622" s="1560">
        <v>338790</v>
      </c>
      <c r="G622" s="1561">
        <v>338790</v>
      </c>
      <c r="H622" s="1562" t="s">
        <v>24</v>
      </c>
      <c r="I622" s="1573"/>
      <c r="J622" s="1671"/>
      <c r="K622" s="1671"/>
      <c r="L622" s="1671"/>
      <c r="M622" s="1671"/>
      <c r="N622" s="1650"/>
      <c r="O622" s="1618"/>
      <c r="P622" s="1618"/>
    </row>
    <row r="623" spans="1:16" s="1618" customFormat="1" ht="30" x14ac:dyDescent="0.3">
      <c r="A623" s="1528">
        <v>765</v>
      </c>
      <c r="B623" s="1613"/>
      <c r="C623" s="1620">
        <v>127</v>
      </c>
      <c r="D623" s="1559" t="s">
        <v>368</v>
      </c>
      <c r="E623" s="1570">
        <v>997</v>
      </c>
      <c r="F623" s="1570">
        <v>1000</v>
      </c>
      <c r="G623" s="1571">
        <v>985</v>
      </c>
      <c r="H623" s="1572" t="s">
        <v>24</v>
      </c>
      <c r="I623" s="1573"/>
      <c r="J623" s="1575"/>
      <c r="K623" s="1575"/>
      <c r="L623" s="1575"/>
      <c r="M623" s="1575"/>
      <c r="N623" s="1592"/>
    </row>
    <row r="624" spans="1:16" s="1618" customFormat="1" ht="18" customHeight="1" x14ac:dyDescent="0.3">
      <c r="A624" s="1528">
        <v>766</v>
      </c>
      <c r="B624" s="1613"/>
      <c r="C624" s="1614"/>
      <c r="D624" s="1569" t="s">
        <v>239</v>
      </c>
      <c r="E624" s="1570"/>
      <c r="F624" s="1570"/>
      <c r="G624" s="1571"/>
      <c r="H624" s="1572"/>
      <c r="I624" s="1573">
        <f>SUM(J624:N624)</f>
        <v>1000</v>
      </c>
      <c r="J624" s="1575"/>
      <c r="K624" s="1575"/>
      <c r="L624" s="1575">
        <v>1000</v>
      </c>
      <c r="M624" s="1575"/>
      <c r="N624" s="1592"/>
    </row>
    <row r="625" spans="1:16" s="1618" customFormat="1" ht="18" customHeight="1" x14ac:dyDescent="0.3">
      <c r="A625" s="1528">
        <v>767</v>
      </c>
      <c r="B625" s="1613"/>
      <c r="C625" s="1614"/>
      <c r="D625" s="1578" t="s">
        <v>702</v>
      </c>
      <c r="E625" s="1570"/>
      <c r="F625" s="1570"/>
      <c r="G625" s="1571"/>
      <c r="H625" s="1572"/>
      <c r="I625" s="1593">
        <f>SUM(J625:N625)</f>
        <v>1000</v>
      </c>
      <c r="J625" s="1595"/>
      <c r="K625" s="1595"/>
      <c r="L625" s="1595">
        <v>1000</v>
      </c>
      <c r="M625" s="1575"/>
      <c r="N625" s="1592"/>
    </row>
    <row r="626" spans="1:16" s="1618" customFormat="1" ht="18" customHeight="1" x14ac:dyDescent="0.3">
      <c r="A626" s="1528">
        <v>768</v>
      </c>
      <c r="B626" s="1613"/>
      <c r="C626" s="1614"/>
      <c r="D626" s="1584" t="s">
        <v>745</v>
      </c>
      <c r="E626" s="1570"/>
      <c r="F626" s="1570"/>
      <c r="G626" s="1571"/>
      <c r="H626" s="1572"/>
      <c r="I626" s="1585">
        <f>SUM(J626:Q626)</f>
        <v>678</v>
      </c>
      <c r="J626" s="1597"/>
      <c r="K626" s="1597"/>
      <c r="L626" s="1597">
        <v>678</v>
      </c>
      <c r="M626" s="1597"/>
      <c r="N626" s="1598"/>
    </row>
    <row r="627" spans="1:16" s="1566" customFormat="1" ht="22.5" customHeight="1" x14ac:dyDescent="0.3">
      <c r="A627" s="1528">
        <v>770</v>
      </c>
      <c r="B627" s="1567"/>
      <c r="C627" s="1589">
        <v>128</v>
      </c>
      <c r="D627" s="1590" t="s">
        <v>449</v>
      </c>
      <c r="E627" s="1570"/>
      <c r="F627" s="1570">
        <v>2010</v>
      </c>
      <c r="G627" s="1571"/>
      <c r="H627" s="1572" t="s">
        <v>24</v>
      </c>
      <c r="I627" s="1599"/>
      <c r="J627" s="1600"/>
      <c r="K627" s="1600"/>
      <c r="L627" s="1600"/>
      <c r="M627" s="1600"/>
      <c r="N627" s="1601"/>
      <c r="O627" s="1577"/>
      <c r="P627" s="1577"/>
    </row>
    <row r="628" spans="1:16" s="1566" customFormat="1" ht="18" customHeight="1" x14ac:dyDescent="0.3">
      <c r="A628" s="1528">
        <v>771</v>
      </c>
      <c r="B628" s="1567"/>
      <c r="C628" s="1589"/>
      <c r="D628" s="1569" t="s">
        <v>239</v>
      </c>
      <c r="E628" s="1570"/>
      <c r="F628" s="1570"/>
      <c r="G628" s="1571"/>
      <c r="H628" s="1572"/>
      <c r="I628" s="1573">
        <f>SUM(J628:N628)</f>
        <v>2010</v>
      </c>
      <c r="J628" s="1600"/>
      <c r="K628" s="1600"/>
      <c r="L628" s="1602">
        <f>800+1210</f>
        <v>2010</v>
      </c>
      <c r="M628" s="1600"/>
      <c r="N628" s="1601"/>
      <c r="O628" s="1577"/>
      <c r="P628" s="1577"/>
    </row>
    <row r="629" spans="1:16" s="1566" customFormat="1" ht="18" customHeight="1" x14ac:dyDescent="0.3">
      <c r="A629" s="1528">
        <v>772</v>
      </c>
      <c r="B629" s="1567"/>
      <c r="C629" s="1589"/>
      <c r="D629" s="1578" t="s">
        <v>702</v>
      </c>
      <c r="E629" s="1570"/>
      <c r="F629" s="1570"/>
      <c r="G629" s="1561"/>
      <c r="H629" s="1572"/>
      <c r="I629" s="1593">
        <f>SUM(J629:N629)</f>
        <v>2010</v>
      </c>
      <c r="J629" s="1605"/>
      <c r="K629" s="1605"/>
      <c r="L629" s="1604">
        <v>2010</v>
      </c>
      <c r="M629" s="1600"/>
      <c r="N629" s="1601"/>
      <c r="O629" s="1577"/>
      <c r="P629" s="1577"/>
    </row>
    <row r="630" spans="1:16" s="1566" customFormat="1" ht="18" customHeight="1" x14ac:dyDescent="0.3">
      <c r="A630" s="1528">
        <v>773</v>
      </c>
      <c r="B630" s="1567"/>
      <c r="C630" s="1589"/>
      <c r="D630" s="1584" t="s">
        <v>745</v>
      </c>
      <c r="E630" s="1570"/>
      <c r="F630" s="1570"/>
      <c r="G630" s="1561"/>
      <c r="H630" s="1572"/>
      <c r="I630" s="1585">
        <f>SUM(J630:Q630)</f>
        <v>0</v>
      </c>
      <c r="J630" s="1607"/>
      <c r="K630" s="1607"/>
      <c r="L630" s="1607">
        <v>0</v>
      </c>
      <c r="M630" s="1607"/>
      <c r="N630" s="1608"/>
      <c r="O630" s="1577"/>
      <c r="P630" s="1577"/>
    </row>
    <row r="631" spans="1:16" ht="22.5" customHeight="1" x14ac:dyDescent="0.35">
      <c r="A631" s="1528">
        <v>775</v>
      </c>
      <c r="B631" s="1701"/>
      <c r="C631" s="1589">
        <v>131</v>
      </c>
      <c r="D631" s="1559" t="s">
        <v>371</v>
      </c>
      <c r="E631" s="1570">
        <v>19787</v>
      </c>
      <c r="F631" s="1570">
        <v>76522</v>
      </c>
      <c r="G631" s="1561">
        <v>28689</v>
      </c>
      <c r="H631" s="1702" t="s">
        <v>24</v>
      </c>
      <c r="I631" s="1703"/>
      <c r="J631" s="1704"/>
      <c r="K631" s="1704"/>
      <c r="L631" s="1704"/>
      <c r="M631" s="1704"/>
      <c r="N631" s="1705"/>
    </row>
    <row r="632" spans="1:16" ht="18" customHeight="1" x14ac:dyDescent="0.35">
      <c r="A632" s="1528">
        <v>776</v>
      </c>
      <c r="B632" s="1701"/>
      <c r="C632" s="1589"/>
      <c r="D632" s="1569" t="s">
        <v>239</v>
      </c>
      <c r="E632" s="1570"/>
      <c r="F632" s="1570"/>
      <c r="G632" s="1561"/>
      <c r="H632" s="1702"/>
      <c r="I632" s="1573">
        <f>SUM(J632:N632)</f>
        <v>81863</v>
      </c>
      <c r="J632" s="1704"/>
      <c r="K632" s="1704"/>
      <c r="L632" s="1706">
        <v>81863</v>
      </c>
      <c r="M632" s="1707"/>
      <c r="N632" s="1708"/>
    </row>
    <row r="633" spans="1:16" ht="18" customHeight="1" x14ac:dyDescent="0.35">
      <c r="A633" s="1528">
        <v>777</v>
      </c>
      <c r="B633" s="1709"/>
      <c r="C633" s="1589"/>
      <c r="D633" s="1578" t="s">
        <v>702</v>
      </c>
      <c r="E633" s="1560"/>
      <c r="F633" s="1560"/>
      <c r="G633" s="1561"/>
      <c r="H633" s="1710"/>
      <c r="I633" s="1593">
        <f>SUM(J633:N633)</f>
        <v>88188</v>
      </c>
      <c r="J633" s="1711"/>
      <c r="K633" s="1711"/>
      <c r="L633" s="1712">
        <v>88188</v>
      </c>
      <c r="M633" s="1713"/>
      <c r="N633" s="1714"/>
    </row>
    <row r="634" spans="1:16" ht="18" customHeight="1" x14ac:dyDescent="0.35">
      <c r="A634" s="1528">
        <v>778</v>
      </c>
      <c r="B634" s="1709"/>
      <c r="C634" s="1589"/>
      <c r="D634" s="1584" t="s">
        <v>745</v>
      </c>
      <c r="E634" s="1560"/>
      <c r="F634" s="1560"/>
      <c r="G634" s="1561"/>
      <c r="H634" s="1710"/>
      <c r="I634" s="1585">
        <f>SUM(J634:Q634)</f>
        <v>12728</v>
      </c>
      <c r="J634" s="1715"/>
      <c r="K634" s="1715"/>
      <c r="L634" s="1716">
        <v>12728</v>
      </c>
      <c r="M634" s="1717"/>
      <c r="N634" s="1718"/>
    </row>
    <row r="635" spans="1:16" s="1700" customFormat="1" ht="22.5" customHeight="1" x14ac:dyDescent="0.35">
      <c r="A635" s="1528">
        <v>780</v>
      </c>
      <c r="B635" s="1668"/>
      <c r="C635" s="1589">
        <v>134</v>
      </c>
      <c r="D635" s="1590" t="s">
        <v>351</v>
      </c>
      <c r="E635" s="1560">
        <v>2000</v>
      </c>
      <c r="F635" s="1560">
        <v>2000</v>
      </c>
      <c r="G635" s="1561">
        <v>2000</v>
      </c>
      <c r="H635" s="1562" t="s">
        <v>24</v>
      </c>
      <c r="I635" s="1573"/>
      <c r="J635" s="1671"/>
      <c r="K635" s="1671"/>
      <c r="L635" s="1671"/>
      <c r="M635" s="1671"/>
      <c r="N635" s="1650"/>
      <c r="O635" s="1618"/>
      <c r="P635" s="1618"/>
    </row>
    <row r="636" spans="1:16" s="1700" customFormat="1" ht="18" customHeight="1" x14ac:dyDescent="0.35">
      <c r="A636" s="1528">
        <v>781</v>
      </c>
      <c r="B636" s="1668"/>
      <c r="C636" s="1589"/>
      <c r="D636" s="1569" t="s">
        <v>239</v>
      </c>
      <c r="E636" s="1560"/>
      <c r="F636" s="1560"/>
      <c r="G636" s="1561"/>
      <c r="H636" s="1562"/>
      <c r="I636" s="1573">
        <f>SUM(J636:N636)</f>
        <v>2000</v>
      </c>
      <c r="J636" s="1671"/>
      <c r="K636" s="1671"/>
      <c r="L636" s="1671"/>
      <c r="M636" s="1671"/>
      <c r="N636" s="1650">
        <v>2000</v>
      </c>
      <c r="O636" s="1618"/>
      <c r="P636" s="1618"/>
    </row>
    <row r="637" spans="1:16" s="1700" customFormat="1" ht="18" customHeight="1" x14ac:dyDescent="0.35">
      <c r="A637" s="1528">
        <v>782</v>
      </c>
      <c r="B637" s="1668"/>
      <c r="C637" s="1589"/>
      <c r="D637" s="1578" t="s">
        <v>702</v>
      </c>
      <c r="E637" s="1560"/>
      <c r="F637" s="1560"/>
      <c r="G637" s="1561"/>
      <c r="H637" s="1562"/>
      <c r="I637" s="1593">
        <f>SUM(J637:N637)</f>
        <v>2000</v>
      </c>
      <c r="J637" s="1581"/>
      <c r="K637" s="1581"/>
      <c r="L637" s="1581"/>
      <c r="M637" s="1581"/>
      <c r="N637" s="1651">
        <v>2000</v>
      </c>
      <c r="O637" s="1618"/>
      <c r="P637" s="1618"/>
    </row>
    <row r="638" spans="1:16" s="1700" customFormat="1" ht="18" customHeight="1" x14ac:dyDescent="0.35">
      <c r="A638" s="1528">
        <v>783</v>
      </c>
      <c r="B638" s="1668"/>
      <c r="C638" s="1589"/>
      <c r="D638" s="1584" t="s">
        <v>745</v>
      </c>
      <c r="E638" s="1560"/>
      <c r="F638" s="1560"/>
      <c r="G638" s="1561"/>
      <c r="H638" s="1562"/>
      <c r="I638" s="1585">
        <f>SUM(J638:Q638)</f>
        <v>2000</v>
      </c>
      <c r="J638" s="1586"/>
      <c r="K638" s="1586"/>
      <c r="L638" s="1586"/>
      <c r="M638" s="1586"/>
      <c r="N638" s="1652">
        <v>2000</v>
      </c>
      <c r="O638" s="1618"/>
      <c r="P638" s="1618"/>
    </row>
    <row r="639" spans="1:16" s="1577" customFormat="1" ht="22.5" customHeight="1" x14ac:dyDescent="0.3">
      <c r="A639" s="1528">
        <v>785</v>
      </c>
      <c r="B639" s="1567"/>
      <c r="C639" s="1589">
        <v>135</v>
      </c>
      <c r="D639" s="1590" t="s">
        <v>370</v>
      </c>
      <c r="E639" s="1570"/>
      <c r="F639" s="1570"/>
      <c r="G639" s="1571"/>
      <c r="H639" s="1572" t="s">
        <v>24</v>
      </c>
      <c r="I639" s="1573"/>
      <c r="J639" s="1574"/>
      <c r="K639" s="1574"/>
      <c r="L639" s="1574"/>
      <c r="M639" s="1574"/>
      <c r="N639" s="1576"/>
    </row>
    <row r="640" spans="1:16" s="1577" customFormat="1" ht="18" customHeight="1" x14ac:dyDescent="0.3">
      <c r="A640" s="1528">
        <v>786</v>
      </c>
      <c r="B640" s="1567"/>
      <c r="C640" s="1589"/>
      <c r="D640" s="1569" t="s">
        <v>239</v>
      </c>
      <c r="E640" s="1570">
        <v>10581</v>
      </c>
      <c r="F640" s="1570">
        <v>17713</v>
      </c>
      <c r="G640" s="1571">
        <v>22520</v>
      </c>
      <c r="H640" s="1572"/>
      <c r="I640" s="1573">
        <f>SUM(J640:N640)</f>
        <v>15406</v>
      </c>
      <c r="J640" s="1574"/>
      <c r="K640" s="1574"/>
      <c r="L640" s="1575">
        <v>15406</v>
      </c>
      <c r="M640" s="1575"/>
      <c r="N640" s="1592"/>
    </row>
    <row r="641" spans="1:16" s="1577" customFormat="1" ht="18" customHeight="1" x14ac:dyDescent="0.3">
      <c r="A641" s="1528">
        <v>787</v>
      </c>
      <c r="B641" s="1567"/>
      <c r="C641" s="1589"/>
      <c r="D641" s="1578" t="s">
        <v>702</v>
      </c>
      <c r="E641" s="1570"/>
      <c r="F641" s="1570"/>
      <c r="G641" s="1571"/>
      <c r="H641" s="1572"/>
      <c r="I641" s="1593">
        <f>SUM(J641:N641)</f>
        <v>37037</v>
      </c>
      <c r="J641" s="1595">
        <v>191</v>
      </c>
      <c r="K641" s="1595">
        <v>137</v>
      </c>
      <c r="L641" s="1595">
        <v>22759</v>
      </c>
      <c r="M641" s="1595"/>
      <c r="N641" s="1596">
        <v>13950</v>
      </c>
    </row>
    <row r="642" spans="1:16" s="1577" customFormat="1" ht="18" customHeight="1" x14ac:dyDescent="0.3">
      <c r="A642" s="1528">
        <v>788</v>
      </c>
      <c r="B642" s="1567"/>
      <c r="C642" s="1589"/>
      <c r="D642" s="1584" t="s">
        <v>745</v>
      </c>
      <c r="E642" s="1570"/>
      <c r="F642" s="1570"/>
      <c r="G642" s="1571"/>
      <c r="H642" s="1572"/>
      <c r="I642" s="1585">
        <f t="shared" ref="I642" si="4">SUM(J642:Q642)</f>
        <v>2935</v>
      </c>
      <c r="J642" s="1597">
        <v>190</v>
      </c>
      <c r="K642" s="1597">
        <v>137</v>
      </c>
      <c r="L642" s="1597">
        <v>1133</v>
      </c>
      <c r="M642" s="1645"/>
      <c r="N642" s="1598">
        <v>1475</v>
      </c>
    </row>
    <row r="643" spans="1:16" s="1577" customFormat="1" ht="23.45" customHeight="1" x14ac:dyDescent="0.3">
      <c r="A643" s="1528">
        <v>790</v>
      </c>
      <c r="B643" s="1567"/>
      <c r="C643" s="1589">
        <v>136</v>
      </c>
      <c r="D643" s="1719" t="s">
        <v>373</v>
      </c>
      <c r="E643" s="1570">
        <v>5864</v>
      </c>
      <c r="F643" s="1570"/>
      <c r="G643" s="1571"/>
      <c r="H643" s="1572" t="s">
        <v>23</v>
      </c>
      <c r="I643" s="1573"/>
      <c r="J643" s="1574"/>
      <c r="K643" s="1574"/>
      <c r="L643" s="1574"/>
      <c r="M643" s="1574"/>
      <c r="N643" s="1576"/>
    </row>
    <row r="644" spans="1:16" s="1626" customFormat="1" ht="23.45" customHeight="1" x14ac:dyDescent="0.3">
      <c r="A644" s="1528">
        <v>791</v>
      </c>
      <c r="B644" s="1619"/>
      <c r="C644" s="1589">
        <v>137</v>
      </c>
      <c r="D644" s="1720" t="s">
        <v>557</v>
      </c>
      <c r="E644" s="1570"/>
      <c r="F644" s="1570"/>
      <c r="G644" s="1690"/>
      <c r="H644" s="1721" t="s">
        <v>23</v>
      </c>
      <c r="I644" s="1722"/>
      <c r="J644" s="1723"/>
      <c r="K644" s="1723"/>
      <c r="L644" s="1724"/>
      <c r="M644" s="1723"/>
      <c r="N644" s="1725"/>
      <c r="P644" s="1577"/>
    </row>
    <row r="645" spans="1:16" s="1626" customFormat="1" ht="18" customHeight="1" x14ac:dyDescent="0.3">
      <c r="A645" s="1528">
        <v>792</v>
      </c>
      <c r="B645" s="1619"/>
      <c r="C645" s="1620"/>
      <c r="D645" s="1726" t="s">
        <v>239</v>
      </c>
      <c r="E645" s="1571"/>
      <c r="F645" s="1570"/>
      <c r="G645" s="1690"/>
      <c r="H645" s="1721"/>
      <c r="I645" s="1722">
        <f>SUM(J645:N645)</f>
        <v>2500</v>
      </c>
      <c r="J645" s="1723"/>
      <c r="K645" s="1723"/>
      <c r="L645" s="1724">
        <v>2500</v>
      </c>
      <c r="M645" s="1723"/>
      <c r="N645" s="1725"/>
      <c r="P645" s="1577"/>
    </row>
    <row r="646" spans="1:16" s="1626" customFormat="1" ht="18" customHeight="1" x14ac:dyDescent="0.3">
      <c r="A646" s="1528">
        <v>793</v>
      </c>
      <c r="B646" s="1619"/>
      <c r="C646" s="1620"/>
      <c r="D646" s="1578" t="s">
        <v>702</v>
      </c>
      <c r="E646" s="1571"/>
      <c r="F646" s="1570"/>
      <c r="G646" s="1690"/>
      <c r="H646" s="1721"/>
      <c r="I646" s="1580">
        <f>SUM(J646:N646)</f>
        <v>2500</v>
      </c>
      <c r="J646" s="1727"/>
      <c r="K646" s="1727"/>
      <c r="L646" s="1728">
        <v>2500</v>
      </c>
      <c r="M646" s="1723"/>
      <c r="N646" s="1725"/>
      <c r="P646" s="1577"/>
    </row>
    <row r="647" spans="1:16" s="1626" customFormat="1" ht="18" customHeight="1" x14ac:dyDescent="0.3">
      <c r="A647" s="1528">
        <v>794</v>
      </c>
      <c r="B647" s="1619"/>
      <c r="C647" s="1620"/>
      <c r="D647" s="1584" t="s">
        <v>745</v>
      </c>
      <c r="E647" s="1571"/>
      <c r="F647" s="1570"/>
      <c r="G647" s="1697"/>
      <c r="H647" s="1721"/>
      <c r="I647" s="1585">
        <f>SUM(J647:Q647)</f>
        <v>0</v>
      </c>
      <c r="J647" s="1727"/>
      <c r="K647" s="1727"/>
      <c r="L647" s="1727">
        <v>0</v>
      </c>
      <c r="M647" s="1727"/>
      <c r="N647" s="1688"/>
      <c r="P647" s="1577"/>
    </row>
    <row r="648" spans="1:16" s="1566" customFormat="1" ht="23.45" customHeight="1" x14ac:dyDescent="0.3">
      <c r="A648" s="1528">
        <v>796</v>
      </c>
      <c r="B648" s="1588"/>
      <c r="C648" s="1589">
        <v>138</v>
      </c>
      <c r="D648" s="1590" t="s">
        <v>372</v>
      </c>
      <c r="E648" s="1570">
        <v>105000</v>
      </c>
      <c r="F648" s="1570">
        <v>105000</v>
      </c>
      <c r="G648" s="1561">
        <v>40281</v>
      </c>
      <c r="H648" s="1572" t="s">
        <v>24</v>
      </c>
      <c r="I648" s="1573"/>
      <c r="J648" s="1574"/>
      <c r="K648" s="1574"/>
      <c r="L648" s="1574"/>
      <c r="M648" s="1574"/>
      <c r="N648" s="1576"/>
      <c r="P648" s="1577"/>
    </row>
    <row r="649" spans="1:16" s="1566" customFormat="1" ht="18" customHeight="1" x14ac:dyDescent="0.3">
      <c r="A649" s="1528">
        <v>797</v>
      </c>
      <c r="B649" s="1557"/>
      <c r="C649" s="1589"/>
      <c r="D649" s="1569" t="s">
        <v>239</v>
      </c>
      <c r="F649" s="1570"/>
      <c r="G649" s="1561"/>
      <c r="H649" s="1562"/>
      <c r="I649" s="1573">
        <f>SUM(J649:N649)</f>
        <v>105000</v>
      </c>
      <c r="J649" s="1582"/>
      <c r="K649" s="1582"/>
      <c r="L649" s="1671">
        <f>70000+35000</f>
        <v>105000</v>
      </c>
      <c r="M649" s="1582"/>
      <c r="N649" s="1583"/>
      <c r="P649" s="1577"/>
    </row>
    <row r="650" spans="1:16" s="1566" customFormat="1" ht="18" customHeight="1" x14ac:dyDescent="0.3">
      <c r="A650" s="1528">
        <v>798</v>
      </c>
      <c r="B650" s="1557"/>
      <c r="C650" s="1589"/>
      <c r="D650" s="1578" t="s">
        <v>702</v>
      </c>
      <c r="F650" s="1570"/>
      <c r="G650" s="1561"/>
      <c r="H650" s="1562"/>
      <c r="I650" s="1593">
        <f>SUM(J650:N650)</f>
        <v>135000</v>
      </c>
      <c r="J650" s="1564"/>
      <c r="K650" s="1564"/>
      <c r="L650" s="1581">
        <v>135000</v>
      </c>
      <c r="M650" s="1582"/>
      <c r="N650" s="1583"/>
      <c r="P650" s="1577"/>
    </row>
    <row r="651" spans="1:16" s="1566" customFormat="1" ht="18" customHeight="1" x14ac:dyDescent="0.3">
      <c r="A651" s="1528">
        <v>799</v>
      </c>
      <c r="B651" s="1557"/>
      <c r="C651" s="1589"/>
      <c r="D651" s="1584" t="s">
        <v>745</v>
      </c>
      <c r="E651" s="1729"/>
      <c r="F651" s="1570"/>
      <c r="G651" s="1561"/>
      <c r="H651" s="1562"/>
      <c r="I651" s="1585">
        <f>SUM(J651:Q651)</f>
        <v>35000</v>
      </c>
      <c r="J651" s="1586"/>
      <c r="K651" s="1586"/>
      <c r="L651" s="1586">
        <v>35000</v>
      </c>
      <c r="M651" s="1586"/>
      <c r="N651" s="1652"/>
      <c r="P651" s="1577"/>
    </row>
    <row r="652" spans="1:16" s="1577" customFormat="1" ht="23.45" customHeight="1" x14ac:dyDescent="0.3">
      <c r="A652" s="1528">
        <v>801</v>
      </c>
      <c r="B652" s="1653"/>
      <c r="C652" s="1589">
        <v>139</v>
      </c>
      <c r="D652" s="1730" t="s">
        <v>374</v>
      </c>
      <c r="E652" s="1570">
        <v>2400</v>
      </c>
      <c r="F652" s="1570"/>
      <c r="G652" s="1561"/>
      <c r="H652" s="1562" t="s">
        <v>24</v>
      </c>
      <c r="I652" s="1573"/>
      <c r="J652" s="1582"/>
      <c r="K652" s="1582"/>
      <c r="L652" s="1582"/>
      <c r="M652" s="1582"/>
      <c r="N652" s="1583"/>
    </row>
    <row r="653" spans="1:16" s="1626" customFormat="1" ht="23.45" customHeight="1" x14ac:dyDescent="0.3">
      <c r="A653" s="1528">
        <v>802</v>
      </c>
      <c r="B653" s="1692"/>
      <c r="C653" s="1589">
        <v>141</v>
      </c>
      <c r="D653" s="1590" t="s">
        <v>555</v>
      </c>
      <c r="E653" s="1560"/>
      <c r="F653" s="1560"/>
      <c r="G653" s="1561"/>
      <c r="H653" s="1562" t="s">
        <v>24</v>
      </c>
      <c r="I653" s="1573"/>
      <c r="J653" s="1695"/>
      <c r="K653" s="1695"/>
      <c r="L653" s="1582"/>
      <c r="M653" s="1695"/>
      <c r="N653" s="1587"/>
      <c r="P653" s="1577"/>
    </row>
    <row r="654" spans="1:16" s="1626" customFormat="1" ht="18" customHeight="1" x14ac:dyDescent="0.3">
      <c r="A654" s="1528">
        <v>803</v>
      </c>
      <c r="B654" s="1692"/>
      <c r="C654" s="1620"/>
      <c r="D654" s="1569" t="s">
        <v>239</v>
      </c>
      <c r="E654" s="1560">
        <v>19455</v>
      </c>
      <c r="F654" s="1560">
        <v>20000</v>
      </c>
      <c r="G654" s="1561">
        <v>19868</v>
      </c>
      <c r="H654" s="1562"/>
      <c r="I654" s="1573">
        <f>SUM(J654:N654)</f>
        <v>20000</v>
      </c>
      <c r="J654" s="1695"/>
      <c r="K654" s="1695"/>
      <c r="L654" s="1671"/>
      <c r="M654" s="1695"/>
      <c r="N654" s="1650">
        <v>20000</v>
      </c>
      <c r="P654" s="1577"/>
    </row>
    <row r="655" spans="1:16" s="1626" customFormat="1" ht="18" customHeight="1" x14ac:dyDescent="0.3">
      <c r="A655" s="1528">
        <v>804</v>
      </c>
      <c r="B655" s="1692"/>
      <c r="C655" s="1620"/>
      <c r="D655" s="1578" t="s">
        <v>702</v>
      </c>
      <c r="E655" s="1560"/>
      <c r="F655" s="1560"/>
      <c r="G655" s="1693"/>
      <c r="H655" s="1562"/>
      <c r="I655" s="1593">
        <f>SUM(J655:N655)</f>
        <v>32000</v>
      </c>
      <c r="J655" s="1586"/>
      <c r="K655" s="1586"/>
      <c r="L655" s="1581"/>
      <c r="M655" s="1586"/>
      <c r="N655" s="1731">
        <v>32000</v>
      </c>
      <c r="P655" s="1577"/>
    </row>
    <row r="656" spans="1:16" s="1626" customFormat="1" ht="18" customHeight="1" x14ac:dyDescent="0.3">
      <c r="A656" s="1528">
        <v>805</v>
      </c>
      <c r="B656" s="1692"/>
      <c r="C656" s="1620"/>
      <c r="D656" s="1584" t="s">
        <v>745</v>
      </c>
      <c r="E656" s="1560"/>
      <c r="F656" s="1560"/>
      <c r="G656" s="1693"/>
      <c r="H656" s="1562"/>
      <c r="I656" s="1585">
        <f>SUM(J656:Q656)</f>
        <v>2000</v>
      </c>
      <c r="J656" s="1586"/>
      <c r="K656" s="1586"/>
      <c r="L656" s="1732"/>
      <c r="M656" s="1586"/>
      <c r="N656" s="1733">
        <v>2000</v>
      </c>
      <c r="P656" s="1577"/>
    </row>
    <row r="657" spans="1:16" s="1626" customFormat="1" ht="23.45" customHeight="1" x14ac:dyDescent="0.3">
      <c r="A657" s="1528">
        <v>807</v>
      </c>
      <c r="B657" s="1619"/>
      <c r="C657" s="1589">
        <v>142</v>
      </c>
      <c r="D657" s="1734" t="s">
        <v>429</v>
      </c>
      <c r="E657" s="1570">
        <v>1000</v>
      </c>
      <c r="F657" s="1570"/>
      <c r="G657" s="1690"/>
      <c r="H657" s="1562" t="s">
        <v>24</v>
      </c>
      <c r="I657" s="1686"/>
      <c r="J657" s="1624"/>
      <c r="K657" s="1624"/>
      <c r="L657" s="1575"/>
      <c r="M657" s="1624"/>
      <c r="N657" s="1691"/>
      <c r="P657" s="1577"/>
    </row>
    <row r="658" spans="1:16" s="1626" customFormat="1" ht="22.5" customHeight="1" x14ac:dyDescent="0.3">
      <c r="A658" s="1528">
        <v>808</v>
      </c>
      <c r="B658" s="1619"/>
      <c r="C658" s="1589">
        <v>143</v>
      </c>
      <c r="D658" s="1734" t="s">
        <v>430</v>
      </c>
      <c r="E658" s="1689">
        <v>1500</v>
      </c>
      <c r="F658" s="1570"/>
      <c r="G658" s="1690"/>
      <c r="H658" s="1562" t="s">
        <v>24</v>
      </c>
      <c r="I658" s="1686"/>
      <c r="J658" s="1624"/>
      <c r="K658" s="1624"/>
      <c r="L658" s="1575"/>
      <c r="M658" s="1624"/>
      <c r="N658" s="1691"/>
      <c r="P658" s="1577"/>
    </row>
    <row r="659" spans="1:16" s="1626" customFormat="1" ht="18" customHeight="1" x14ac:dyDescent="0.3">
      <c r="A659" s="1528">
        <v>809</v>
      </c>
      <c r="B659" s="1619"/>
      <c r="C659" s="1620"/>
      <c r="D659" s="1726" t="s">
        <v>239</v>
      </c>
      <c r="E659" s="1570"/>
      <c r="F659" s="1570"/>
      <c r="G659" s="1690"/>
      <c r="H659" s="1562"/>
      <c r="I659" s="1573">
        <f>SUM(J659:N659)</f>
        <v>900</v>
      </c>
      <c r="J659" s="1624"/>
      <c r="K659" s="1624"/>
      <c r="L659" s="1575"/>
      <c r="M659" s="1624"/>
      <c r="N659" s="1725">
        <v>900</v>
      </c>
      <c r="P659" s="1577"/>
    </row>
    <row r="660" spans="1:16" s="1626" customFormat="1" ht="18" customHeight="1" x14ac:dyDescent="0.3">
      <c r="A660" s="1528">
        <v>810</v>
      </c>
      <c r="B660" s="1619"/>
      <c r="C660" s="1620"/>
      <c r="D660" s="1735" t="s">
        <v>702</v>
      </c>
      <c r="E660" s="1570"/>
      <c r="F660" s="1570"/>
      <c r="G660" s="1690"/>
      <c r="H660" s="1562"/>
      <c r="I660" s="1573">
        <f>SUM(J660:N660)</f>
        <v>900</v>
      </c>
      <c r="J660" s="1624"/>
      <c r="K660" s="1624"/>
      <c r="L660" s="1575"/>
      <c r="M660" s="1624"/>
      <c r="N660" s="1736">
        <v>900</v>
      </c>
      <c r="P660" s="1577"/>
    </row>
    <row r="661" spans="1:16" s="1626" customFormat="1" ht="18" customHeight="1" x14ac:dyDescent="0.3">
      <c r="A661" s="1528">
        <v>811</v>
      </c>
      <c r="B661" s="1619"/>
      <c r="C661" s="1620"/>
      <c r="D661" s="1584" t="s">
        <v>745</v>
      </c>
      <c r="E661" s="1570"/>
      <c r="F661" s="1570"/>
      <c r="G661" s="1690"/>
      <c r="H661" s="1562"/>
      <c r="I661" s="1585">
        <f>SUM(J661:Q661)</f>
        <v>0</v>
      </c>
      <c r="J661" s="1597"/>
      <c r="K661" s="1597"/>
      <c r="L661" s="1645"/>
      <c r="M661" s="1597"/>
      <c r="N661" s="1737">
        <v>0</v>
      </c>
      <c r="P661" s="1577"/>
    </row>
    <row r="662" spans="1:16" s="1626" customFormat="1" ht="23.45" customHeight="1" x14ac:dyDescent="0.3">
      <c r="A662" s="1528">
        <v>813</v>
      </c>
      <c r="B662" s="1619"/>
      <c r="C662" s="1589">
        <v>144</v>
      </c>
      <c r="D662" s="1738" t="s">
        <v>431</v>
      </c>
      <c r="E662" s="1570">
        <v>15000</v>
      </c>
      <c r="F662" s="1570"/>
      <c r="G662" s="1690"/>
      <c r="H662" s="1562" t="s">
        <v>24</v>
      </c>
      <c r="I662" s="1686"/>
      <c r="J662" s="1624"/>
      <c r="K662" s="1624"/>
      <c r="L662" s="1575"/>
      <c r="M662" s="1624"/>
      <c r="N662" s="1691"/>
      <c r="P662" s="1577"/>
    </row>
    <row r="663" spans="1:16" s="1626" customFormat="1" ht="23.45" customHeight="1" x14ac:dyDescent="0.3">
      <c r="A663" s="1528">
        <v>814</v>
      </c>
      <c r="B663" s="1619"/>
      <c r="C663" s="1589">
        <v>145</v>
      </c>
      <c r="D663" s="1739" t="s">
        <v>432</v>
      </c>
      <c r="E663" s="1570">
        <v>6000</v>
      </c>
      <c r="F663" s="1570">
        <v>10000</v>
      </c>
      <c r="G663" s="1690">
        <v>6400</v>
      </c>
      <c r="H663" s="1562" t="s">
        <v>24</v>
      </c>
      <c r="I663" s="1686"/>
      <c r="J663" s="1624"/>
      <c r="K663" s="1624"/>
      <c r="L663" s="1575"/>
      <c r="M663" s="1624"/>
      <c r="N663" s="1691"/>
      <c r="P663" s="1577"/>
    </row>
    <row r="664" spans="1:16" s="1626" customFormat="1" ht="18" customHeight="1" x14ac:dyDescent="0.3">
      <c r="A664" s="1528">
        <v>815</v>
      </c>
      <c r="B664" s="1619"/>
      <c r="C664" s="1589"/>
      <c r="D664" s="1740" t="s">
        <v>239</v>
      </c>
      <c r="E664" s="1570"/>
      <c r="F664" s="1570"/>
      <c r="G664" s="1690"/>
      <c r="H664" s="1562"/>
      <c r="I664" s="1573">
        <f>SUM(J664:N664)</f>
        <v>6500</v>
      </c>
      <c r="J664" s="1624"/>
      <c r="K664" s="1624"/>
      <c r="L664" s="1575"/>
      <c r="M664" s="1624"/>
      <c r="N664" s="1725">
        <f>10100-100-3500</f>
        <v>6500</v>
      </c>
      <c r="P664" s="1577"/>
    </row>
    <row r="665" spans="1:16" s="1626" customFormat="1" ht="18" customHeight="1" x14ac:dyDescent="0.3">
      <c r="A665" s="1528">
        <v>816</v>
      </c>
      <c r="B665" s="1619"/>
      <c r="C665" s="1589"/>
      <c r="D665" s="1735" t="s">
        <v>702</v>
      </c>
      <c r="E665" s="1570"/>
      <c r="F665" s="1570"/>
      <c r="G665" s="1690"/>
      <c r="H665" s="1562"/>
      <c r="I665" s="1593">
        <f>SUM(J665:N665)</f>
        <v>6500</v>
      </c>
      <c r="J665" s="1597"/>
      <c r="K665" s="1597"/>
      <c r="L665" s="1595"/>
      <c r="M665" s="1597"/>
      <c r="N665" s="1736">
        <v>6500</v>
      </c>
      <c r="P665" s="1577"/>
    </row>
    <row r="666" spans="1:16" s="1626" customFormat="1" ht="18" customHeight="1" x14ac:dyDescent="0.3">
      <c r="A666" s="1528">
        <v>817</v>
      </c>
      <c r="B666" s="1619"/>
      <c r="C666" s="1589"/>
      <c r="D666" s="1584" t="s">
        <v>745</v>
      </c>
      <c r="E666" s="1570"/>
      <c r="F666" s="1570"/>
      <c r="G666" s="1690"/>
      <c r="H666" s="1562"/>
      <c r="I666" s="1585">
        <f>SUM(J666:Q666)</f>
        <v>0</v>
      </c>
      <c r="J666" s="1597"/>
      <c r="K666" s="1597"/>
      <c r="L666" s="1645"/>
      <c r="M666" s="1597"/>
      <c r="N666" s="1737">
        <v>0</v>
      </c>
      <c r="P666" s="1577"/>
    </row>
    <row r="667" spans="1:16" s="1626" customFormat="1" ht="23.45" customHeight="1" x14ac:dyDescent="0.3">
      <c r="A667" s="1528">
        <v>819</v>
      </c>
      <c r="B667" s="1619"/>
      <c r="C667" s="1589">
        <v>146</v>
      </c>
      <c r="D667" s="1739" t="s">
        <v>433</v>
      </c>
      <c r="E667" s="1570">
        <v>1650</v>
      </c>
      <c r="F667" s="1570">
        <v>1650</v>
      </c>
      <c r="G667" s="1690">
        <v>1650</v>
      </c>
      <c r="H667" s="1562" t="s">
        <v>24</v>
      </c>
      <c r="I667" s="1686"/>
      <c r="J667" s="1624"/>
      <c r="K667" s="1624"/>
      <c r="L667" s="1575"/>
      <c r="M667" s="1624"/>
      <c r="N667" s="1691"/>
      <c r="P667" s="1577"/>
    </row>
    <row r="668" spans="1:16" s="1626" customFormat="1" ht="18" customHeight="1" x14ac:dyDescent="0.3">
      <c r="A668" s="1528">
        <v>820</v>
      </c>
      <c r="B668" s="1619"/>
      <c r="C668" s="1589"/>
      <c r="D668" s="1740" t="s">
        <v>239</v>
      </c>
      <c r="E668" s="1570"/>
      <c r="F668" s="1570"/>
      <c r="G668" s="1690"/>
      <c r="H668" s="1562"/>
      <c r="I668" s="1573">
        <f>SUM(J668:N668)</f>
        <v>1650</v>
      </c>
      <c r="J668" s="1624"/>
      <c r="K668" s="1624"/>
      <c r="L668" s="1575"/>
      <c r="M668" s="1624"/>
      <c r="N668" s="1725">
        <v>1650</v>
      </c>
      <c r="P668" s="1577"/>
    </row>
    <row r="669" spans="1:16" s="1626" customFormat="1" ht="18" customHeight="1" x14ac:dyDescent="0.3">
      <c r="A669" s="1528">
        <v>821</v>
      </c>
      <c r="B669" s="1619"/>
      <c r="C669" s="1589"/>
      <c r="D669" s="1735" t="s">
        <v>702</v>
      </c>
      <c r="E669" s="1570"/>
      <c r="F669" s="1570"/>
      <c r="G669" s="1690"/>
      <c r="H669" s="1562"/>
      <c r="I669" s="1593">
        <f>SUM(J669:N669)</f>
        <v>1650</v>
      </c>
      <c r="J669" s="1597"/>
      <c r="K669" s="1597"/>
      <c r="L669" s="1595"/>
      <c r="M669" s="1597"/>
      <c r="N669" s="1736">
        <v>1650</v>
      </c>
      <c r="P669" s="1577"/>
    </row>
    <row r="670" spans="1:16" s="1626" customFormat="1" ht="18" customHeight="1" x14ac:dyDescent="0.3">
      <c r="A670" s="1528">
        <v>822</v>
      </c>
      <c r="B670" s="1619"/>
      <c r="C670" s="1589"/>
      <c r="D670" s="1584" t="s">
        <v>745</v>
      </c>
      <c r="E670" s="1570"/>
      <c r="F670" s="1570"/>
      <c r="G670" s="1690"/>
      <c r="H670" s="1562"/>
      <c r="I670" s="1585">
        <f>SUM(J670:Q670)</f>
        <v>1650</v>
      </c>
      <c r="J670" s="1597"/>
      <c r="K670" s="1597"/>
      <c r="L670" s="1645"/>
      <c r="M670" s="1597"/>
      <c r="N670" s="1737">
        <v>1650</v>
      </c>
      <c r="P670" s="1577"/>
    </row>
    <row r="671" spans="1:16" s="1626" customFormat="1" ht="23.45" customHeight="1" x14ac:dyDescent="0.3">
      <c r="A671" s="1528">
        <v>824</v>
      </c>
      <c r="B671" s="1619"/>
      <c r="C671" s="1589">
        <v>147</v>
      </c>
      <c r="D671" s="1739" t="s">
        <v>434</v>
      </c>
      <c r="E671" s="1570"/>
      <c r="F671" s="1570">
        <v>43000</v>
      </c>
      <c r="G671" s="1690">
        <v>1940</v>
      </c>
      <c r="H671" s="1562" t="s">
        <v>23</v>
      </c>
      <c r="I671" s="1686"/>
      <c r="J671" s="1624"/>
      <c r="K671" s="1624"/>
      <c r="L671" s="1575"/>
      <c r="M671" s="1624"/>
      <c r="N671" s="1691"/>
      <c r="P671" s="1577"/>
    </row>
    <row r="672" spans="1:16" s="1626" customFormat="1" ht="18" customHeight="1" x14ac:dyDescent="0.3">
      <c r="A672" s="1528">
        <v>825</v>
      </c>
      <c r="B672" s="1619"/>
      <c r="C672" s="1589"/>
      <c r="D672" s="1740" t="s">
        <v>239</v>
      </c>
      <c r="E672" s="1570"/>
      <c r="F672" s="1570"/>
      <c r="G672" s="1690"/>
      <c r="H672" s="1562"/>
      <c r="I672" s="1573">
        <f>SUM(J672:N672)</f>
        <v>108736</v>
      </c>
      <c r="J672" s="1624"/>
      <c r="K672" s="1624"/>
      <c r="L672" s="1575">
        <f>15000+93736</f>
        <v>108736</v>
      </c>
      <c r="M672" s="1723"/>
      <c r="N672" s="1691"/>
      <c r="P672" s="1577"/>
    </row>
    <row r="673" spans="1:16" s="1626" customFormat="1" ht="18" customHeight="1" x14ac:dyDescent="0.3">
      <c r="A673" s="1528">
        <v>826</v>
      </c>
      <c r="B673" s="1619"/>
      <c r="C673" s="1589"/>
      <c r="D673" s="1735" t="s">
        <v>702</v>
      </c>
      <c r="E673" s="1570"/>
      <c r="F673" s="1570"/>
      <c r="G673" s="1690"/>
      <c r="H673" s="1562"/>
      <c r="I673" s="1593">
        <f>SUM(J673:N673)</f>
        <v>108736</v>
      </c>
      <c r="J673" s="1597"/>
      <c r="K673" s="1597"/>
      <c r="L673" s="1595">
        <v>108736</v>
      </c>
      <c r="M673" s="1723"/>
      <c r="N673" s="1691"/>
      <c r="P673" s="1577"/>
    </row>
    <row r="674" spans="1:16" s="1626" customFormat="1" ht="18" customHeight="1" x14ac:dyDescent="0.3">
      <c r="A674" s="1528">
        <v>827</v>
      </c>
      <c r="B674" s="1619"/>
      <c r="C674" s="1589"/>
      <c r="D674" s="1584" t="s">
        <v>745</v>
      </c>
      <c r="E674" s="1570"/>
      <c r="F674" s="1570"/>
      <c r="G674" s="1690"/>
      <c r="H674" s="1562"/>
      <c r="I674" s="1585">
        <f>SUM(J674:Q674)</f>
        <v>20025</v>
      </c>
      <c r="J674" s="1597"/>
      <c r="K674" s="1597"/>
      <c r="L674" s="1597">
        <v>20025</v>
      </c>
      <c r="M674" s="1727"/>
      <c r="N674" s="1688"/>
      <c r="P674" s="1577"/>
    </row>
    <row r="675" spans="1:16" s="1626" customFormat="1" ht="23.45" customHeight="1" x14ac:dyDescent="0.3">
      <c r="A675" s="1528">
        <v>829</v>
      </c>
      <c r="B675" s="1619"/>
      <c r="C675" s="1589">
        <v>148</v>
      </c>
      <c r="D675" s="1739" t="s">
        <v>435</v>
      </c>
      <c r="E675" s="1570"/>
      <c r="F675" s="1570">
        <v>20500</v>
      </c>
      <c r="G675" s="1690">
        <v>20320</v>
      </c>
      <c r="H675" s="1562" t="s">
        <v>24</v>
      </c>
      <c r="I675" s="1686"/>
      <c r="J675" s="1624"/>
      <c r="K675" s="1624"/>
      <c r="L675" s="1575"/>
      <c r="M675" s="1624"/>
      <c r="N675" s="1691"/>
      <c r="P675" s="1577"/>
    </row>
    <row r="676" spans="1:16" s="1626" customFormat="1" ht="18" customHeight="1" x14ac:dyDescent="0.3">
      <c r="A676" s="1528">
        <v>830</v>
      </c>
      <c r="B676" s="1619"/>
      <c r="C676" s="1589"/>
      <c r="D676" s="1740" t="s">
        <v>239</v>
      </c>
      <c r="E676" s="1570"/>
      <c r="F676" s="1570"/>
      <c r="G676" s="1690"/>
      <c r="H676" s="1562"/>
      <c r="I676" s="1573">
        <f>SUM(J676:N676)</f>
        <v>20500</v>
      </c>
      <c r="J676" s="1624"/>
      <c r="K676" s="1624"/>
      <c r="L676" s="1575">
        <f>10000+10500</f>
        <v>20500</v>
      </c>
      <c r="M676" s="1624"/>
      <c r="N676" s="1691"/>
      <c r="P676" s="1577"/>
    </row>
    <row r="677" spans="1:16" s="1626" customFormat="1" ht="18" customHeight="1" x14ac:dyDescent="0.3">
      <c r="A677" s="1528">
        <v>831</v>
      </c>
      <c r="B677" s="1619"/>
      <c r="C677" s="1589"/>
      <c r="D677" s="1735" t="s">
        <v>702</v>
      </c>
      <c r="E677" s="1570"/>
      <c r="F677" s="1570"/>
      <c r="G677" s="1690"/>
      <c r="H677" s="1562"/>
      <c r="I677" s="1593">
        <f>SUM(J677:N677)</f>
        <v>20500</v>
      </c>
      <c r="J677" s="1597"/>
      <c r="K677" s="1597"/>
      <c r="L677" s="1595">
        <v>20500</v>
      </c>
      <c r="M677" s="1624"/>
      <c r="N677" s="1691"/>
      <c r="P677" s="1577"/>
    </row>
    <row r="678" spans="1:16" s="1626" customFormat="1" ht="18" customHeight="1" x14ac:dyDescent="0.3">
      <c r="A678" s="1528">
        <v>832</v>
      </c>
      <c r="B678" s="1619"/>
      <c r="C678" s="1589"/>
      <c r="D678" s="1584" t="s">
        <v>745</v>
      </c>
      <c r="E678" s="1570"/>
      <c r="F678" s="1570"/>
      <c r="G678" s="1690"/>
      <c r="H678" s="1562"/>
      <c r="I678" s="1585">
        <f>SUM(J678:Q678)</f>
        <v>0</v>
      </c>
      <c r="J678" s="1597"/>
      <c r="K678" s="1597"/>
      <c r="L678" s="1597">
        <v>0</v>
      </c>
      <c r="M678" s="1597"/>
      <c r="N678" s="1688"/>
      <c r="P678" s="1577"/>
    </row>
    <row r="679" spans="1:16" s="1626" customFormat="1" ht="23.45" customHeight="1" x14ac:dyDescent="0.3">
      <c r="A679" s="1528">
        <v>834</v>
      </c>
      <c r="B679" s="1619"/>
      <c r="C679" s="1589">
        <v>149</v>
      </c>
      <c r="D679" s="1739" t="s">
        <v>436</v>
      </c>
      <c r="E679" s="1570"/>
      <c r="F679" s="1570">
        <v>5000</v>
      </c>
      <c r="G679" s="1690">
        <v>9167</v>
      </c>
      <c r="H679" s="1562" t="s">
        <v>24</v>
      </c>
      <c r="I679" s="1686"/>
      <c r="J679" s="1624"/>
      <c r="K679" s="1624"/>
      <c r="L679" s="1575"/>
      <c r="M679" s="1624"/>
      <c r="N679" s="1691"/>
      <c r="P679" s="1577"/>
    </row>
    <row r="680" spans="1:16" s="1626" customFormat="1" ht="18" customHeight="1" x14ac:dyDescent="0.3">
      <c r="A680" s="1528">
        <v>835</v>
      </c>
      <c r="B680" s="1619"/>
      <c r="C680" s="1589"/>
      <c r="D680" s="1740" t="s">
        <v>239</v>
      </c>
      <c r="E680" s="1570"/>
      <c r="F680" s="1570"/>
      <c r="G680" s="1690"/>
      <c r="H680" s="1562"/>
      <c r="I680" s="1573">
        <f>SUM(J680:N680)</f>
        <v>10833</v>
      </c>
      <c r="J680" s="1624"/>
      <c r="K680" s="1624"/>
      <c r="L680" s="1575">
        <f>10000+833</f>
        <v>10833</v>
      </c>
      <c r="M680" s="1624"/>
      <c r="N680" s="1691"/>
      <c r="P680" s="1577"/>
    </row>
    <row r="681" spans="1:16" s="1626" customFormat="1" ht="18" customHeight="1" x14ac:dyDescent="0.3">
      <c r="A681" s="1528">
        <v>836</v>
      </c>
      <c r="B681" s="1619"/>
      <c r="C681" s="1589"/>
      <c r="D681" s="1578" t="s">
        <v>702</v>
      </c>
      <c r="E681" s="1570"/>
      <c r="F681" s="1570"/>
      <c r="G681" s="1690"/>
      <c r="H681" s="1562"/>
      <c r="I681" s="1593">
        <f>SUM(J681:N681)</f>
        <v>10833</v>
      </c>
      <c r="J681" s="1597"/>
      <c r="K681" s="1597"/>
      <c r="L681" s="1595">
        <v>10833</v>
      </c>
      <c r="M681" s="1624"/>
      <c r="N681" s="1691"/>
      <c r="P681" s="1577"/>
    </row>
    <row r="682" spans="1:16" s="1626" customFormat="1" ht="18" customHeight="1" x14ac:dyDescent="0.3">
      <c r="A682" s="1528">
        <v>837</v>
      </c>
      <c r="B682" s="1619"/>
      <c r="C682" s="1589"/>
      <c r="D682" s="1584" t="s">
        <v>745</v>
      </c>
      <c r="E682" s="1570"/>
      <c r="F682" s="1570"/>
      <c r="G682" s="1690"/>
      <c r="H682" s="1562"/>
      <c r="I682" s="1585">
        <f>SUM(J682:Q682)</f>
        <v>5000</v>
      </c>
      <c r="J682" s="1597"/>
      <c r="K682" s="1597"/>
      <c r="L682" s="1597">
        <v>5000</v>
      </c>
      <c r="M682" s="1597"/>
      <c r="N682" s="1688"/>
      <c r="P682" s="1577"/>
    </row>
    <row r="683" spans="1:16" s="1626" customFormat="1" ht="23.45" customHeight="1" x14ac:dyDescent="0.3">
      <c r="A683" s="1528">
        <v>839</v>
      </c>
      <c r="B683" s="1619"/>
      <c r="C683" s="1589">
        <v>150</v>
      </c>
      <c r="D683" s="1590" t="s">
        <v>437</v>
      </c>
      <c r="E683" s="1689">
        <v>1500</v>
      </c>
      <c r="F683" s="1570">
        <v>3000</v>
      </c>
      <c r="G683" s="1690">
        <v>3000</v>
      </c>
      <c r="H683" s="1562" t="s">
        <v>24</v>
      </c>
      <c r="I683" s="1686"/>
      <c r="J683" s="1624"/>
      <c r="K683" s="1624"/>
      <c r="L683" s="1575"/>
      <c r="M683" s="1624"/>
      <c r="N683" s="1691"/>
      <c r="P683" s="1577"/>
    </row>
    <row r="684" spans="1:16" s="1626" customFormat="1" ht="18" customHeight="1" x14ac:dyDescent="0.3">
      <c r="A684" s="1528">
        <v>840</v>
      </c>
      <c r="B684" s="1619"/>
      <c r="C684" s="1589"/>
      <c r="D684" s="1578" t="s">
        <v>702</v>
      </c>
      <c r="E684" s="1689"/>
      <c r="F684" s="1570"/>
      <c r="G684" s="1690"/>
      <c r="H684" s="1562"/>
      <c r="I684" s="1674">
        <f>SUM(J684:Q684)</f>
        <v>3000</v>
      </c>
      <c r="J684" s="1624"/>
      <c r="K684" s="1624"/>
      <c r="L684" s="1575"/>
      <c r="M684" s="1624"/>
      <c r="N684" s="1736">
        <v>3000</v>
      </c>
      <c r="P684" s="1577"/>
    </row>
    <row r="685" spans="1:16" s="1626" customFormat="1" ht="18" customHeight="1" x14ac:dyDescent="0.3">
      <c r="A685" s="1528">
        <v>841</v>
      </c>
      <c r="B685" s="1619"/>
      <c r="C685" s="1589"/>
      <c r="D685" s="1584" t="s">
        <v>745</v>
      </c>
      <c r="E685" s="1689"/>
      <c r="F685" s="1570"/>
      <c r="G685" s="1690"/>
      <c r="H685" s="1562"/>
      <c r="I685" s="1585">
        <f>SUM(J685:Q685)</f>
        <v>0</v>
      </c>
      <c r="J685" s="1624"/>
      <c r="K685" s="1624"/>
      <c r="L685" s="1575"/>
      <c r="M685" s="1624"/>
      <c r="N685" s="1737">
        <v>0</v>
      </c>
      <c r="P685" s="1577"/>
    </row>
    <row r="686" spans="1:16" s="1626" customFormat="1" ht="23.45" customHeight="1" x14ac:dyDescent="0.3">
      <c r="A686" s="1528">
        <v>843</v>
      </c>
      <c r="B686" s="1619"/>
      <c r="C686" s="1589">
        <v>151</v>
      </c>
      <c r="D686" s="1590" t="s">
        <v>439</v>
      </c>
      <c r="E686" s="1689"/>
      <c r="F686" s="1570">
        <v>14705</v>
      </c>
      <c r="G686" s="1690"/>
      <c r="H686" s="1562" t="s">
        <v>24</v>
      </c>
      <c r="I686" s="1722"/>
      <c r="J686" s="1624"/>
      <c r="K686" s="1624"/>
      <c r="L686" s="1575"/>
      <c r="M686" s="1624"/>
      <c r="N686" s="1691"/>
      <c r="P686" s="1577"/>
    </row>
    <row r="687" spans="1:16" s="1626" customFormat="1" ht="23.45" customHeight="1" x14ac:dyDescent="0.3">
      <c r="A687" s="1528">
        <v>844</v>
      </c>
      <c r="B687" s="1619"/>
      <c r="C687" s="1589">
        <v>152</v>
      </c>
      <c r="D687" s="1590" t="s">
        <v>440</v>
      </c>
      <c r="E687" s="1689"/>
      <c r="F687" s="1570">
        <v>11695</v>
      </c>
      <c r="G687" s="1690">
        <v>11695</v>
      </c>
      <c r="H687" s="1562" t="s">
        <v>24</v>
      </c>
      <c r="I687" s="1722"/>
      <c r="J687" s="1624"/>
      <c r="K687" s="1624"/>
      <c r="L687" s="1575"/>
      <c r="M687" s="1624"/>
      <c r="N687" s="1691"/>
      <c r="P687" s="1577"/>
    </row>
    <row r="688" spans="1:16" s="1626" customFormat="1" ht="18" customHeight="1" x14ac:dyDescent="0.3">
      <c r="A688" s="1528">
        <v>845</v>
      </c>
      <c r="B688" s="1619"/>
      <c r="C688" s="1589"/>
      <c r="D688" s="1740" t="s">
        <v>239</v>
      </c>
      <c r="E688" s="1570"/>
      <c r="F688" s="1570"/>
      <c r="G688" s="1690"/>
      <c r="H688" s="1572"/>
      <c r="I688" s="1573">
        <f>SUM(J688:N688)</f>
        <v>13000</v>
      </c>
      <c r="J688" s="1624"/>
      <c r="K688" s="1624"/>
      <c r="L688" s="1575"/>
      <c r="M688" s="1624"/>
      <c r="N688" s="1725">
        <v>13000</v>
      </c>
      <c r="P688" s="1577"/>
    </row>
    <row r="689" spans="1:16" s="1626" customFormat="1" ht="18" customHeight="1" x14ac:dyDescent="0.3">
      <c r="A689" s="1528">
        <v>846</v>
      </c>
      <c r="B689" s="1619"/>
      <c r="C689" s="1589"/>
      <c r="D689" s="1735" t="s">
        <v>702</v>
      </c>
      <c r="E689" s="1570"/>
      <c r="F689" s="1570"/>
      <c r="G689" s="1690"/>
      <c r="H689" s="1562"/>
      <c r="I689" s="1593">
        <f>SUM(J689:N689)</f>
        <v>13000</v>
      </c>
      <c r="J689" s="1597"/>
      <c r="K689" s="1597"/>
      <c r="L689" s="1595"/>
      <c r="M689" s="1597"/>
      <c r="N689" s="1736">
        <v>13000</v>
      </c>
      <c r="P689" s="1577"/>
    </row>
    <row r="690" spans="1:16" s="1626" customFormat="1" ht="18" customHeight="1" x14ac:dyDescent="0.3">
      <c r="A690" s="1528">
        <v>847</v>
      </c>
      <c r="B690" s="1619"/>
      <c r="C690" s="1589"/>
      <c r="D690" s="1584" t="s">
        <v>745</v>
      </c>
      <c r="E690" s="1570"/>
      <c r="F690" s="1570"/>
      <c r="G690" s="1690"/>
      <c r="H690" s="1562"/>
      <c r="I690" s="1585">
        <f>SUM(J690:Q690)</f>
        <v>13000</v>
      </c>
      <c r="J690" s="1624"/>
      <c r="K690" s="1624"/>
      <c r="L690" s="1643"/>
      <c r="M690" s="1624"/>
      <c r="N690" s="1737">
        <v>13000</v>
      </c>
      <c r="P690" s="1577"/>
    </row>
    <row r="691" spans="1:16" s="1626" customFormat="1" ht="23.45" customHeight="1" x14ac:dyDescent="0.3">
      <c r="A691" s="1528">
        <v>849</v>
      </c>
      <c r="B691" s="1619"/>
      <c r="C691" s="1589">
        <v>153</v>
      </c>
      <c r="D691" s="1590" t="s">
        <v>441</v>
      </c>
      <c r="E691" s="1689"/>
      <c r="F691" s="1570">
        <v>10000</v>
      </c>
      <c r="G691" s="1690">
        <v>5215</v>
      </c>
      <c r="H691" s="1562" t="s">
        <v>24</v>
      </c>
      <c r="I691" s="1722"/>
      <c r="J691" s="1624"/>
      <c r="K691" s="1624"/>
      <c r="L691" s="1575"/>
      <c r="M691" s="1624"/>
      <c r="N691" s="1691"/>
      <c r="P691" s="1577"/>
    </row>
    <row r="692" spans="1:16" s="1626" customFormat="1" ht="23.45" customHeight="1" x14ac:dyDescent="0.3">
      <c r="A692" s="1528">
        <v>850</v>
      </c>
      <c r="B692" s="1619"/>
      <c r="C692" s="1589">
        <v>154</v>
      </c>
      <c r="D692" s="1590" t="s">
        <v>442</v>
      </c>
      <c r="E692" s="1689"/>
      <c r="F692" s="1570">
        <v>1700</v>
      </c>
      <c r="G692" s="1690"/>
      <c r="H692" s="1562" t="s">
        <v>24</v>
      </c>
      <c r="I692" s="1722"/>
      <c r="J692" s="1624"/>
      <c r="K692" s="1624"/>
      <c r="L692" s="1575"/>
      <c r="M692" s="1624"/>
      <c r="N692" s="1691"/>
      <c r="P692" s="1577"/>
    </row>
    <row r="693" spans="1:16" s="1626" customFormat="1" ht="23.45" customHeight="1" x14ac:dyDescent="0.3">
      <c r="A693" s="1528">
        <v>851</v>
      </c>
      <c r="B693" s="1619"/>
      <c r="C693" s="1589">
        <v>155</v>
      </c>
      <c r="D693" s="1590" t="s">
        <v>443</v>
      </c>
      <c r="E693" s="1689"/>
      <c r="F693" s="1570">
        <v>500</v>
      </c>
      <c r="G693" s="1690">
        <v>466</v>
      </c>
      <c r="H693" s="1741" t="s">
        <v>24</v>
      </c>
      <c r="I693" s="1722"/>
      <c r="J693" s="1624"/>
      <c r="K693" s="1624"/>
      <c r="L693" s="1575"/>
      <c r="M693" s="1624"/>
      <c r="N693" s="1691"/>
      <c r="P693" s="1577"/>
    </row>
    <row r="694" spans="1:16" s="1626" customFormat="1" ht="30" x14ac:dyDescent="0.3">
      <c r="A694" s="1528">
        <v>852</v>
      </c>
      <c r="B694" s="1619"/>
      <c r="C694" s="1620">
        <v>156</v>
      </c>
      <c r="D694" s="1742" t="s">
        <v>444</v>
      </c>
      <c r="E694" s="1689"/>
      <c r="F694" s="1570">
        <v>22300</v>
      </c>
      <c r="G694" s="1690"/>
      <c r="H694" s="1743" t="s">
        <v>24</v>
      </c>
      <c r="I694" s="1722"/>
      <c r="J694" s="1624"/>
      <c r="K694" s="1624"/>
      <c r="L694" s="1575"/>
      <c r="M694" s="1624"/>
      <c r="N694" s="1691"/>
      <c r="P694" s="1577"/>
    </row>
    <row r="695" spans="1:16" s="1626" customFormat="1" ht="18" customHeight="1" x14ac:dyDescent="0.3">
      <c r="A695" s="1528">
        <v>853</v>
      </c>
      <c r="B695" s="1619"/>
      <c r="C695" s="1620"/>
      <c r="D695" s="1744" t="s">
        <v>239</v>
      </c>
      <c r="E695" s="1689"/>
      <c r="F695" s="1570"/>
      <c r="G695" s="1690"/>
      <c r="H695" s="1721"/>
      <c r="I695" s="1722">
        <f>SUM(J695:N695)</f>
        <v>91666</v>
      </c>
      <c r="J695" s="1624"/>
      <c r="K695" s="1624"/>
      <c r="L695" s="1575">
        <f>69366+22300</f>
        <v>91666</v>
      </c>
      <c r="M695" s="1624"/>
      <c r="N695" s="1691"/>
      <c r="P695" s="1577"/>
    </row>
    <row r="696" spans="1:16" s="1626" customFormat="1" ht="18" customHeight="1" x14ac:dyDescent="0.3">
      <c r="A696" s="1528">
        <v>854</v>
      </c>
      <c r="B696" s="1619"/>
      <c r="C696" s="1620"/>
      <c r="D696" s="1735" t="s">
        <v>702</v>
      </c>
      <c r="E696" s="1689"/>
      <c r="F696" s="1570"/>
      <c r="G696" s="1690"/>
      <c r="H696" s="1694"/>
      <c r="I696" s="1580">
        <f>SUM(J696:N696)</f>
        <v>91666</v>
      </c>
      <c r="J696" s="1597"/>
      <c r="K696" s="1597"/>
      <c r="L696" s="1595">
        <v>91666</v>
      </c>
      <c r="M696" s="1624"/>
      <c r="N696" s="1691"/>
      <c r="P696" s="1577"/>
    </row>
    <row r="697" spans="1:16" s="1626" customFormat="1" ht="18" customHeight="1" x14ac:dyDescent="0.3">
      <c r="A697" s="1528">
        <v>855</v>
      </c>
      <c r="B697" s="1619"/>
      <c r="C697" s="1620"/>
      <c r="D697" s="1584" t="s">
        <v>745</v>
      </c>
      <c r="E697" s="1570"/>
      <c r="F697" s="1570"/>
      <c r="G697" s="1690"/>
      <c r="H697" s="1694"/>
      <c r="I697" s="1585">
        <f>SUM(J697:Q697)</f>
        <v>39641</v>
      </c>
      <c r="J697" s="1624"/>
      <c r="K697" s="1624"/>
      <c r="L697" s="1585">
        <v>39641</v>
      </c>
      <c r="M697" s="1624"/>
      <c r="N697" s="1691"/>
      <c r="P697" s="1577"/>
    </row>
    <row r="698" spans="1:16" s="1626" customFormat="1" ht="23.45" customHeight="1" x14ac:dyDescent="0.3">
      <c r="A698" s="1528">
        <v>857</v>
      </c>
      <c r="B698" s="1619"/>
      <c r="C698" s="1589">
        <v>157</v>
      </c>
      <c r="D698" s="1742" t="s">
        <v>489</v>
      </c>
      <c r="E698" s="1689"/>
      <c r="F698" s="1570">
        <v>500</v>
      </c>
      <c r="G698" s="1690">
        <v>900</v>
      </c>
      <c r="H698" s="1562" t="s">
        <v>24</v>
      </c>
      <c r="I698" s="1573"/>
      <c r="J698" s="1624"/>
      <c r="K698" s="1624"/>
      <c r="L698" s="1575"/>
      <c r="M698" s="1624"/>
      <c r="N698" s="1691"/>
      <c r="P698" s="1577"/>
    </row>
    <row r="699" spans="1:16" s="1626" customFormat="1" ht="18" customHeight="1" x14ac:dyDescent="0.3">
      <c r="A699" s="1528">
        <v>858</v>
      </c>
      <c r="B699" s="1619"/>
      <c r="C699" s="1589"/>
      <c r="D699" s="1744" t="s">
        <v>239</v>
      </c>
      <c r="E699" s="1689"/>
      <c r="F699" s="1570"/>
      <c r="G699" s="1690"/>
      <c r="H699" s="1721"/>
      <c r="I699" s="1722">
        <f>SUM(J699:N699)</f>
        <v>1500</v>
      </c>
      <c r="J699" s="1624"/>
      <c r="K699" s="1624"/>
      <c r="L699" s="1575"/>
      <c r="M699" s="1624"/>
      <c r="N699" s="1725">
        <v>1500</v>
      </c>
      <c r="P699" s="1577"/>
    </row>
    <row r="700" spans="1:16" s="1626" customFormat="1" ht="18" customHeight="1" x14ac:dyDescent="0.3">
      <c r="A700" s="1528">
        <v>859</v>
      </c>
      <c r="B700" s="1619"/>
      <c r="C700" s="1589"/>
      <c r="D700" s="1735" t="s">
        <v>702</v>
      </c>
      <c r="E700" s="1689"/>
      <c r="F700" s="1570"/>
      <c r="G700" s="1690"/>
      <c r="H700" s="1694"/>
      <c r="I700" s="1580">
        <f>SUM(J700:N700)</f>
        <v>1500</v>
      </c>
      <c r="J700" s="1597"/>
      <c r="K700" s="1597"/>
      <c r="L700" s="1595"/>
      <c r="M700" s="1597"/>
      <c r="N700" s="1736">
        <v>1500</v>
      </c>
      <c r="P700" s="1577"/>
    </row>
    <row r="701" spans="1:16" s="1626" customFormat="1" ht="18" customHeight="1" x14ac:dyDescent="0.3">
      <c r="A701" s="1528">
        <v>860</v>
      </c>
      <c r="B701" s="1619"/>
      <c r="C701" s="1589"/>
      <c r="D701" s="1584" t="s">
        <v>745</v>
      </c>
      <c r="E701" s="1689"/>
      <c r="F701" s="1570"/>
      <c r="G701" s="1690"/>
      <c r="H701" s="1694"/>
      <c r="I701" s="1585">
        <f>SUM(J701:Q701)</f>
        <v>1500</v>
      </c>
      <c r="J701" s="1597"/>
      <c r="K701" s="1597"/>
      <c r="L701" s="1645"/>
      <c r="M701" s="1597"/>
      <c r="N701" s="1641">
        <v>1500</v>
      </c>
      <c r="P701" s="1577"/>
    </row>
    <row r="702" spans="1:16" s="1626" customFormat="1" ht="23.45" customHeight="1" x14ac:dyDescent="0.3">
      <c r="A702" s="1528">
        <v>862</v>
      </c>
      <c r="B702" s="1619"/>
      <c r="C702" s="1589">
        <v>158</v>
      </c>
      <c r="D702" s="1742" t="s">
        <v>447</v>
      </c>
      <c r="E702" s="1689"/>
      <c r="F702" s="1570">
        <v>20000</v>
      </c>
      <c r="G702" s="1690">
        <v>20000</v>
      </c>
      <c r="H702" s="1741" t="s">
        <v>24</v>
      </c>
      <c r="I702" s="1722"/>
      <c r="J702" s="1624"/>
      <c r="K702" s="1624"/>
      <c r="L702" s="1575"/>
      <c r="M702" s="1624"/>
      <c r="N702" s="1725"/>
      <c r="P702" s="1577"/>
    </row>
    <row r="703" spans="1:16" s="1626" customFormat="1" ht="18" customHeight="1" x14ac:dyDescent="0.3">
      <c r="A703" s="1528">
        <v>863</v>
      </c>
      <c r="B703" s="1619"/>
      <c r="C703" s="1589"/>
      <c r="D703" s="1735" t="s">
        <v>702</v>
      </c>
      <c r="E703" s="1689"/>
      <c r="F703" s="1570"/>
      <c r="G703" s="1690"/>
      <c r="H703" s="1741"/>
      <c r="I703" s="1674">
        <f>SUM(J703:Q703)</f>
        <v>10000</v>
      </c>
      <c r="J703" s="1597"/>
      <c r="K703" s="1597"/>
      <c r="L703" s="1595"/>
      <c r="M703" s="1597"/>
      <c r="N703" s="1736">
        <v>10000</v>
      </c>
      <c r="P703" s="1577"/>
    </row>
    <row r="704" spans="1:16" s="1626" customFormat="1" ht="18" customHeight="1" x14ac:dyDescent="0.3">
      <c r="A704" s="1528">
        <v>864</v>
      </c>
      <c r="B704" s="1619"/>
      <c r="C704" s="1589"/>
      <c r="D704" s="1584" t="s">
        <v>745</v>
      </c>
      <c r="E704" s="1689"/>
      <c r="F704" s="1570"/>
      <c r="G704" s="1690"/>
      <c r="H704" s="1741"/>
      <c r="I704" s="1585">
        <f>SUM(J704:Q704)</f>
        <v>5000</v>
      </c>
      <c r="J704" s="1624"/>
      <c r="K704" s="1624"/>
      <c r="L704" s="1575"/>
      <c r="M704" s="1624"/>
      <c r="N704" s="1737">
        <v>5000</v>
      </c>
      <c r="P704" s="1577"/>
    </row>
    <row r="705" spans="1:16" s="1626" customFormat="1" ht="23.45" customHeight="1" x14ac:dyDescent="0.3">
      <c r="A705" s="1528">
        <v>866</v>
      </c>
      <c r="B705" s="1619"/>
      <c r="C705" s="1589">
        <v>159</v>
      </c>
      <c r="D705" s="1742" t="s">
        <v>445</v>
      </c>
      <c r="E705" s="1689"/>
      <c r="F705" s="1570">
        <v>1000</v>
      </c>
      <c r="G705" s="1690">
        <v>1000</v>
      </c>
      <c r="H705" s="1741" t="s">
        <v>24</v>
      </c>
      <c r="I705" s="1722"/>
      <c r="J705" s="1624"/>
      <c r="K705" s="1624"/>
      <c r="L705" s="1575"/>
      <c r="M705" s="1624"/>
      <c r="N705" s="1725"/>
      <c r="P705" s="1577"/>
    </row>
    <row r="706" spans="1:16" s="1626" customFormat="1" ht="23.45" customHeight="1" x14ac:dyDescent="0.3">
      <c r="A706" s="1528">
        <v>867</v>
      </c>
      <c r="B706" s="1619"/>
      <c r="C706" s="1589">
        <v>160</v>
      </c>
      <c r="D706" s="1742" t="s">
        <v>446</v>
      </c>
      <c r="E706" s="1689"/>
      <c r="F706" s="1570">
        <v>350</v>
      </c>
      <c r="G706" s="1690"/>
      <c r="H706" s="1741" t="s">
        <v>24</v>
      </c>
      <c r="I706" s="1722"/>
      <c r="J706" s="1624"/>
      <c r="K706" s="1624"/>
      <c r="L706" s="1575"/>
      <c r="M706" s="1624"/>
      <c r="N706" s="1725"/>
      <c r="P706" s="1577"/>
    </row>
    <row r="707" spans="1:16" s="1626" customFormat="1" ht="23.45" customHeight="1" x14ac:dyDescent="0.3">
      <c r="A707" s="1528">
        <v>868</v>
      </c>
      <c r="B707" s="1619"/>
      <c r="C707" s="1589">
        <v>161</v>
      </c>
      <c r="D707" s="1590" t="s">
        <v>504</v>
      </c>
      <c r="E707" s="1689"/>
      <c r="F707" s="1570">
        <v>5000</v>
      </c>
      <c r="G707" s="1690">
        <v>5000</v>
      </c>
      <c r="H707" s="1721" t="s">
        <v>24</v>
      </c>
      <c r="I707" s="1722"/>
      <c r="J707" s="1723"/>
      <c r="K707" s="1723"/>
      <c r="L707" s="1724"/>
      <c r="M707" s="1723"/>
      <c r="N707" s="1725"/>
      <c r="P707" s="1577"/>
    </row>
    <row r="708" spans="1:16" s="1626" customFormat="1" ht="18" customHeight="1" x14ac:dyDescent="0.3">
      <c r="A708" s="1528">
        <v>869</v>
      </c>
      <c r="B708" s="1619"/>
      <c r="C708" s="1589"/>
      <c r="D708" s="1744" t="s">
        <v>239</v>
      </c>
      <c r="E708" s="1689"/>
      <c r="F708" s="1570"/>
      <c r="G708" s="1690"/>
      <c r="H708" s="1721"/>
      <c r="I708" s="1722">
        <f>SUM(J708:N708)</f>
        <v>5000</v>
      </c>
      <c r="J708" s="1723"/>
      <c r="K708" s="1723"/>
      <c r="L708" s="1724"/>
      <c r="M708" s="1723"/>
      <c r="N708" s="1725">
        <v>5000</v>
      </c>
      <c r="P708" s="1577"/>
    </row>
    <row r="709" spans="1:16" s="1626" customFormat="1" ht="18" customHeight="1" x14ac:dyDescent="0.3">
      <c r="A709" s="1528">
        <v>870</v>
      </c>
      <c r="B709" s="1619"/>
      <c r="C709" s="1589"/>
      <c r="D709" s="1735" t="s">
        <v>702</v>
      </c>
      <c r="E709" s="1689"/>
      <c r="F709" s="1570"/>
      <c r="G709" s="1690"/>
      <c r="H709" s="1721"/>
      <c r="I709" s="1580">
        <f>SUM(J709:N709)</f>
        <v>5000</v>
      </c>
      <c r="J709" s="1727"/>
      <c r="K709" s="1727"/>
      <c r="L709" s="1728"/>
      <c r="M709" s="1727"/>
      <c r="N709" s="1736">
        <v>5000</v>
      </c>
      <c r="P709" s="1577"/>
    </row>
    <row r="710" spans="1:16" s="1626" customFormat="1" ht="18" customHeight="1" x14ac:dyDescent="0.3">
      <c r="A710" s="1528">
        <v>871</v>
      </c>
      <c r="B710" s="1619"/>
      <c r="C710" s="1589"/>
      <c r="D710" s="1584" t="s">
        <v>745</v>
      </c>
      <c r="E710" s="1689"/>
      <c r="F710" s="1570"/>
      <c r="G710" s="1690"/>
      <c r="H710" s="1721"/>
      <c r="I710" s="1585">
        <f>SUM(J710:Q710)</f>
        <v>5000</v>
      </c>
      <c r="J710" s="1723"/>
      <c r="K710" s="1723"/>
      <c r="L710" s="1724"/>
      <c r="M710" s="1723"/>
      <c r="N710" s="1641">
        <v>5000</v>
      </c>
      <c r="P710" s="1577"/>
    </row>
    <row r="711" spans="1:16" s="1626" customFormat="1" ht="23.45" customHeight="1" x14ac:dyDescent="0.3">
      <c r="A711" s="1528">
        <v>873</v>
      </c>
      <c r="B711" s="1619"/>
      <c r="C711" s="1589">
        <v>163</v>
      </c>
      <c r="D711" s="1590" t="s">
        <v>606</v>
      </c>
      <c r="E711" s="1689"/>
      <c r="F711" s="1570"/>
      <c r="G711" s="1690">
        <v>1021</v>
      </c>
      <c r="H711" s="1721" t="s">
        <v>24</v>
      </c>
      <c r="I711" s="1722"/>
      <c r="J711" s="1723"/>
      <c r="K711" s="1723"/>
      <c r="L711" s="1724"/>
      <c r="M711" s="1723"/>
      <c r="N711" s="1725"/>
      <c r="P711" s="1577"/>
    </row>
    <row r="712" spans="1:16" s="1626" customFormat="1" ht="23.45" customHeight="1" x14ac:dyDescent="0.3">
      <c r="A712" s="1528">
        <v>874</v>
      </c>
      <c r="B712" s="1619"/>
      <c r="C712" s="1589">
        <v>164</v>
      </c>
      <c r="D712" s="1590" t="s">
        <v>574</v>
      </c>
      <c r="E712" s="1689"/>
      <c r="F712" s="1570"/>
      <c r="G712" s="1690">
        <v>18999</v>
      </c>
      <c r="H712" s="1721" t="s">
        <v>24</v>
      </c>
      <c r="I712" s="1722"/>
      <c r="J712" s="1723"/>
      <c r="K712" s="1723"/>
      <c r="L712" s="1724"/>
      <c r="M712" s="1723"/>
      <c r="N712" s="1725"/>
      <c r="P712" s="1577"/>
    </row>
    <row r="713" spans="1:16" s="1626" customFormat="1" ht="23.45" customHeight="1" x14ac:dyDescent="0.3">
      <c r="A713" s="1528">
        <v>875</v>
      </c>
      <c r="B713" s="1619"/>
      <c r="C713" s="1589">
        <v>165</v>
      </c>
      <c r="D713" s="1590" t="s">
        <v>575</v>
      </c>
      <c r="E713" s="1689"/>
      <c r="F713" s="1570"/>
      <c r="G713" s="1690">
        <v>2500</v>
      </c>
      <c r="H713" s="1721" t="s">
        <v>24</v>
      </c>
      <c r="I713" s="1722"/>
      <c r="J713" s="1723"/>
      <c r="K713" s="1723"/>
      <c r="L713" s="1724"/>
      <c r="M713" s="1723"/>
      <c r="N713" s="1725"/>
      <c r="P713" s="1577"/>
    </row>
    <row r="714" spans="1:16" s="1626" customFormat="1" ht="23.45" customHeight="1" x14ac:dyDescent="0.3">
      <c r="A714" s="1528">
        <v>876</v>
      </c>
      <c r="B714" s="1619"/>
      <c r="C714" s="1589">
        <v>166</v>
      </c>
      <c r="D714" s="1739" t="s">
        <v>561</v>
      </c>
      <c r="E714" s="1571"/>
      <c r="F714" s="1570"/>
      <c r="G714" s="1690"/>
      <c r="H714" s="1721" t="s">
        <v>24</v>
      </c>
      <c r="I714" s="1722"/>
      <c r="J714" s="1723"/>
      <c r="K714" s="1723"/>
      <c r="L714" s="1724"/>
      <c r="M714" s="1723"/>
      <c r="N714" s="1725"/>
      <c r="P714" s="1577"/>
    </row>
    <row r="715" spans="1:16" s="1626" customFormat="1" ht="18" customHeight="1" x14ac:dyDescent="0.3">
      <c r="A715" s="1528">
        <v>877</v>
      </c>
      <c r="B715" s="1619"/>
      <c r="C715" s="1589"/>
      <c r="D715" s="1726" t="s">
        <v>239</v>
      </c>
      <c r="E715" s="1571"/>
      <c r="F715" s="1570"/>
      <c r="G715" s="1690"/>
      <c r="H715" s="1721"/>
      <c r="I715" s="1722">
        <f>SUM(J715:N715)</f>
        <v>2000</v>
      </c>
      <c r="J715" s="1723"/>
      <c r="K715" s="1723"/>
      <c r="L715" s="1724"/>
      <c r="M715" s="1723"/>
      <c r="N715" s="1725">
        <v>2000</v>
      </c>
      <c r="P715" s="1577"/>
    </row>
    <row r="716" spans="1:16" s="1626" customFormat="1" ht="18" customHeight="1" x14ac:dyDescent="0.3">
      <c r="A716" s="1528">
        <v>878</v>
      </c>
      <c r="B716" s="1619"/>
      <c r="C716" s="1589"/>
      <c r="D716" s="1735" t="s">
        <v>702</v>
      </c>
      <c r="E716" s="1571"/>
      <c r="F716" s="1570"/>
      <c r="G716" s="1690"/>
      <c r="H716" s="1721"/>
      <c r="I716" s="1580">
        <f>SUM(J716:N716)</f>
        <v>2000</v>
      </c>
      <c r="J716" s="1727"/>
      <c r="K716" s="1727"/>
      <c r="L716" s="1728"/>
      <c r="M716" s="1727"/>
      <c r="N716" s="1736">
        <v>2000</v>
      </c>
      <c r="P716" s="1577"/>
    </row>
    <row r="717" spans="1:16" s="1626" customFormat="1" ht="18" customHeight="1" x14ac:dyDescent="0.3">
      <c r="A717" s="1528">
        <v>879</v>
      </c>
      <c r="B717" s="1619"/>
      <c r="C717" s="1589"/>
      <c r="D717" s="1584" t="s">
        <v>745</v>
      </c>
      <c r="E717" s="1571"/>
      <c r="F717" s="1570"/>
      <c r="G717" s="1690"/>
      <c r="H717" s="1721"/>
      <c r="I717" s="1585">
        <f>SUM(J717:Q717)</f>
        <v>1000</v>
      </c>
      <c r="J717" s="1727"/>
      <c r="K717" s="1727"/>
      <c r="L717" s="1745"/>
      <c r="M717" s="1727"/>
      <c r="N717" s="1737">
        <v>1000</v>
      </c>
      <c r="P717" s="1577"/>
    </row>
    <row r="718" spans="1:16" s="1626" customFormat="1" ht="23.45" customHeight="1" x14ac:dyDescent="0.3">
      <c r="A718" s="1528">
        <v>881</v>
      </c>
      <c r="B718" s="1619"/>
      <c r="C718" s="1589">
        <v>167</v>
      </c>
      <c r="D718" s="1739" t="s">
        <v>576</v>
      </c>
      <c r="E718" s="1571"/>
      <c r="F718" s="1570"/>
      <c r="G718" s="1690">
        <v>4000</v>
      </c>
      <c r="H718" s="1721" t="s">
        <v>24</v>
      </c>
      <c r="I718" s="1722"/>
      <c r="J718" s="1723"/>
      <c r="K718" s="1723"/>
      <c r="L718" s="1724"/>
      <c r="M718" s="1723"/>
      <c r="N718" s="1725"/>
      <c r="P718" s="1577"/>
    </row>
    <row r="719" spans="1:16" s="1626" customFormat="1" ht="23.45" customHeight="1" x14ac:dyDescent="0.3">
      <c r="A719" s="1528">
        <v>882</v>
      </c>
      <c r="B719" s="1619"/>
      <c r="C719" s="1589">
        <v>168</v>
      </c>
      <c r="D719" s="1739" t="s">
        <v>563</v>
      </c>
      <c r="E719" s="1571"/>
      <c r="F719" s="1570"/>
      <c r="G719" s="1690"/>
      <c r="H719" s="1721" t="s">
        <v>24</v>
      </c>
      <c r="I719" s="1722"/>
      <c r="J719" s="1723"/>
      <c r="K719" s="1723"/>
      <c r="L719" s="1724"/>
      <c r="M719" s="1723"/>
      <c r="N719" s="1725"/>
      <c r="P719" s="1577"/>
    </row>
    <row r="720" spans="1:16" s="1626" customFormat="1" ht="18" customHeight="1" x14ac:dyDescent="0.3">
      <c r="A720" s="1528">
        <v>883</v>
      </c>
      <c r="B720" s="1619"/>
      <c r="C720" s="1589"/>
      <c r="D720" s="1726" t="s">
        <v>239</v>
      </c>
      <c r="E720" s="1571"/>
      <c r="F720" s="1570"/>
      <c r="G720" s="1690"/>
      <c r="H720" s="1721"/>
      <c r="I720" s="1722">
        <f>SUM(J720:N720)</f>
        <v>6000</v>
      </c>
      <c r="J720" s="1723"/>
      <c r="K720" s="1723"/>
      <c r="L720" s="1724">
        <v>6000</v>
      </c>
      <c r="M720" s="1723"/>
      <c r="N720" s="1725"/>
      <c r="P720" s="1577"/>
    </row>
    <row r="721" spans="1:16" s="1626" customFormat="1" ht="18" customHeight="1" x14ac:dyDescent="0.3">
      <c r="A721" s="1528">
        <v>884</v>
      </c>
      <c r="B721" s="1619"/>
      <c r="C721" s="1589"/>
      <c r="D721" s="1735" t="s">
        <v>702</v>
      </c>
      <c r="E721" s="1571"/>
      <c r="F721" s="1570"/>
      <c r="G721" s="1690"/>
      <c r="H721" s="1721"/>
      <c r="I721" s="1580">
        <f>SUM(J721:N721)</f>
        <v>6000</v>
      </c>
      <c r="J721" s="1727"/>
      <c r="K721" s="1727"/>
      <c r="L721" s="1728">
        <v>6000</v>
      </c>
      <c r="M721" s="1723"/>
      <c r="N721" s="1725"/>
      <c r="P721" s="1577"/>
    </row>
    <row r="722" spans="1:16" s="1626" customFormat="1" ht="18" customHeight="1" x14ac:dyDescent="0.3">
      <c r="A722" s="1528">
        <v>885</v>
      </c>
      <c r="B722" s="1619"/>
      <c r="C722" s="1589"/>
      <c r="D722" s="1584" t="s">
        <v>745</v>
      </c>
      <c r="E722" s="1571"/>
      <c r="F722" s="1570"/>
      <c r="G722" s="1690"/>
      <c r="H722" s="1721"/>
      <c r="I722" s="1585">
        <f>SUM(J722:Q722)</f>
        <v>0</v>
      </c>
      <c r="J722" s="1727"/>
      <c r="K722" s="1727"/>
      <c r="L722" s="1727">
        <v>0</v>
      </c>
      <c r="M722" s="1727"/>
      <c r="N722" s="1688"/>
      <c r="P722" s="1577"/>
    </row>
    <row r="723" spans="1:16" s="1626" customFormat="1" ht="23.45" customHeight="1" x14ac:dyDescent="0.3">
      <c r="A723" s="1528">
        <v>887</v>
      </c>
      <c r="B723" s="1619"/>
      <c r="C723" s="1589">
        <v>169</v>
      </c>
      <c r="D723" s="1739" t="s">
        <v>607</v>
      </c>
      <c r="E723" s="1571"/>
      <c r="F723" s="1570"/>
      <c r="G723" s="1690">
        <v>248</v>
      </c>
      <c r="H723" s="1721" t="s">
        <v>24</v>
      </c>
      <c r="I723" s="1722"/>
      <c r="J723" s="1723"/>
      <c r="K723" s="1723"/>
      <c r="L723" s="1724"/>
      <c r="M723" s="1723"/>
      <c r="N723" s="1725"/>
      <c r="P723" s="1577"/>
    </row>
    <row r="724" spans="1:16" s="1626" customFormat="1" ht="23.45" customHeight="1" x14ac:dyDescent="0.3">
      <c r="A724" s="1528">
        <v>888</v>
      </c>
      <c r="B724" s="1619"/>
      <c r="C724" s="1589">
        <v>170</v>
      </c>
      <c r="D724" s="1739" t="s">
        <v>577</v>
      </c>
      <c r="E724" s="1571"/>
      <c r="F724" s="1570"/>
      <c r="G724" s="1690">
        <v>1000</v>
      </c>
      <c r="H724" s="1721" t="s">
        <v>24</v>
      </c>
      <c r="I724" s="1722"/>
      <c r="J724" s="1723"/>
      <c r="K724" s="1723"/>
      <c r="L724" s="1724"/>
      <c r="M724" s="1723"/>
      <c r="N724" s="1725"/>
      <c r="P724" s="1577"/>
    </row>
    <row r="725" spans="1:16" s="1626" customFormat="1" ht="23.45" customHeight="1" x14ac:dyDescent="0.3">
      <c r="A725" s="1528">
        <v>889</v>
      </c>
      <c r="B725" s="1619"/>
      <c r="C725" s="1589">
        <v>171</v>
      </c>
      <c r="D725" s="1739" t="s">
        <v>578</v>
      </c>
      <c r="E725" s="1571"/>
      <c r="F725" s="1570"/>
      <c r="G725" s="1690">
        <v>1500</v>
      </c>
      <c r="H725" s="1721" t="s">
        <v>24</v>
      </c>
      <c r="I725" s="1722"/>
      <c r="J725" s="1723"/>
      <c r="K725" s="1723"/>
      <c r="L725" s="1724"/>
      <c r="M725" s="1723"/>
      <c r="N725" s="1725"/>
      <c r="P725" s="1577"/>
    </row>
    <row r="726" spans="1:16" s="1626" customFormat="1" ht="18" customHeight="1" x14ac:dyDescent="0.3">
      <c r="A726" s="1528">
        <v>890</v>
      </c>
      <c r="B726" s="1619"/>
      <c r="C726" s="1589"/>
      <c r="D726" s="1735" t="s">
        <v>702</v>
      </c>
      <c r="E726" s="1571"/>
      <c r="F726" s="1570"/>
      <c r="G726" s="1690"/>
      <c r="H726" s="1721"/>
      <c r="I726" s="1674">
        <f>SUM(J726:Q726)</f>
        <v>1500</v>
      </c>
      <c r="J726" s="1723"/>
      <c r="K726" s="1723"/>
      <c r="L726" s="1724"/>
      <c r="M726" s="1723"/>
      <c r="N726" s="1736">
        <v>1500</v>
      </c>
      <c r="P726" s="1577"/>
    </row>
    <row r="727" spans="1:16" s="1626" customFormat="1" ht="18" customHeight="1" x14ac:dyDescent="0.3">
      <c r="A727" s="1528">
        <v>891</v>
      </c>
      <c r="B727" s="1619"/>
      <c r="C727" s="1589"/>
      <c r="D727" s="1584" t="s">
        <v>745</v>
      </c>
      <c r="E727" s="1571"/>
      <c r="F727" s="1570"/>
      <c r="G727" s="1690"/>
      <c r="H727" s="1721"/>
      <c r="I727" s="1585">
        <f>SUM(J727:Q727)</f>
        <v>0</v>
      </c>
      <c r="J727" s="1723"/>
      <c r="K727" s="1723"/>
      <c r="L727" s="1724"/>
      <c r="M727" s="1723"/>
      <c r="N727" s="1737">
        <v>0</v>
      </c>
      <c r="P727" s="1577"/>
    </row>
    <row r="728" spans="1:16" s="1626" customFormat="1" ht="23.45" customHeight="1" x14ac:dyDescent="0.3">
      <c r="A728" s="1528">
        <v>893</v>
      </c>
      <c r="B728" s="1619"/>
      <c r="C728" s="1589">
        <v>172</v>
      </c>
      <c r="D728" s="1720" t="s">
        <v>556</v>
      </c>
      <c r="E728" s="1571"/>
      <c r="F728" s="1570"/>
      <c r="G728" s="1690">
        <v>4000</v>
      </c>
      <c r="H728" s="1721" t="s">
        <v>24</v>
      </c>
      <c r="I728" s="1722"/>
      <c r="J728" s="1723"/>
      <c r="K728" s="1723"/>
      <c r="L728" s="1724"/>
      <c r="M728" s="1723"/>
      <c r="N728" s="1725"/>
      <c r="P728" s="1577"/>
    </row>
    <row r="729" spans="1:16" s="1626" customFormat="1" ht="18" customHeight="1" x14ac:dyDescent="0.3">
      <c r="A729" s="1528">
        <v>894</v>
      </c>
      <c r="B729" s="1619"/>
      <c r="C729" s="1589"/>
      <c r="D729" s="1726" t="s">
        <v>239</v>
      </c>
      <c r="E729" s="1571"/>
      <c r="F729" s="1570"/>
      <c r="G729" s="1690"/>
      <c r="H729" s="1721"/>
      <c r="I729" s="1722">
        <f>SUM(J729:N729)</f>
        <v>12000</v>
      </c>
      <c r="J729" s="1723"/>
      <c r="K729" s="1723"/>
      <c r="L729" s="1724">
        <v>12000</v>
      </c>
      <c r="M729" s="1723"/>
      <c r="N729" s="1725"/>
      <c r="P729" s="1577"/>
    </row>
    <row r="730" spans="1:16" s="1626" customFormat="1" ht="18" customHeight="1" x14ac:dyDescent="0.3">
      <c r="A730" s="1528">
        <v>895</v>
      </c>
      <c r="B730" s="1619"/>
      <c r="C730" s="1589"/>
      <c r="D730" s="1735" t="s">
        <v>702</v>
      </c>
      <c r="E730" s="1571"/>
      <c r="F730" s="1570"/>
      <c r="G730" s="1690"/>
      <c r="H730" s="1721"/>
      <c r="I730" s="1580">
        <f>SUM(J730:N730)</f>
        <v>0</v>
      </c>
      <c r="J730" s="1727"/>
      <c r="K730" s="1727"/>
      <c r="L730" s="1728">
        <v>0</v>
      </c>
      <c r="M730" s="1723"/>
      <c r="N730" s="1725"/>
      <c r="P730" s="1577"/>
    </row>
    <row r="731" spans="1:16" s="1626" customFormat="1" ht="18" customHeight="1" x14ac:dyDescent="0.3">
      <c r="A731" s="1528">
        <v>896</v>
      </c>
      <c r="B731" s="1619"/>
      <c r="C731" s="1589"/>
      <c r="D731" s="1584" t="s">
        <v>745</v>
      </c>
      <c r="E731" s="1571"/>
      <c r="F731" s="1570"/>
      <c r="G731" s="1690"/>
      <c r="H731" s="1721"/>
      <c r="I731" s="1585">
        <f>SUM(J731:Q731)</f>
        <v>0</v>
      </c>
      <c r="J731" s="1727"/>
      <c r="K731" s="1727"/>
      <c r="L731" s="1727">
        <v>0</v>
      </c>
      <c r="M731" s="1727"/>
      <c r="N731" s="1737"/>
      <c r="P731" s="1577"/>
    </row>
    <row r="732" spans="1:16" s="1626" customFormat="1" ht="22.5" customHeight="1" x14ac:dyDescent="0.3">
      <c r="A732" s="1528">
        <v>898</v>
      </c>
      <c r="B732" s="1619"/>
      <c r="C732" s="1589">
        <v>172</v>
      </c>
      <c r="D732" s="1735" t="s">
        <v>666</v>
      </c>
      <c r="E732" s="1571"/>
      <c r="F732" s="1570"/>
      <c r="G732" s="1690"/>
      <c r="H732" s="1721" t="s">
        <v>24</v>
      </c>
      <c r="I732" s="1674"/>
      <c r="J732" s="1723"/>
      <c r="K732" s="1723"/>
      <c r="L732" s="1728"/>
      <c r="M732" s="1723"/>
      <c r="N732" s="1725"/>
      <c r="P732" s="1577"/>
    </row>
    <row r="733" spans="1:16" s="1626" customFormat="1" ht="18" customHeight="1" x14ac:dyDescent="0.3">
      <c r="A733" s="1528">
        <v>899</v>
      </c>
      <c r="B733" s="1619"/>
      <c r="C733" s="1589"/>
      <c r="D733" s="1735" t="s">
        <v>702</v>
      </c>
      <c r="E733" s="1571"/>
      <c r="F733" s="1570"/>
      <c r="G733" s="1690"/>
      <c r="H733" s="1721"/>
      <c r="I733" s="1674">
        <f>SUM(J733:Q733)</f>
        <v>10500</v>
      </c>
      <c r="J733" s="1723"/>
      <c r="K733" s="1723"/>
      <c r="L733" s="1728"/>
      <c r="M733" s="1745">
        <v>10500</v>
      </c>
      <c r="N733" s="1725"/>
      <c r="P733" s="1577"/>
    </row>
    <row r="734" spans="1:16" s="1626" customFormat="1" ht="18" customHeight="1" x14ac:dyDescent="0.3">
      <c r="A734" s="1528">
        <v>900</v>
      </c>
      <c r="B734" s="1619"/>
      <c r="C734" s="1589"/>
      <c r="D734" s="1584" t="s">
        <v>745</v>
      </c>
      <c r="E734" s="1571"/>
      <c r="F734" s="1570"/>
      <c r="G734" s="1690"/>
      <c r="H734" s="1721"/>
      <c r="I734" s="1585">
        <f>SUM(J734:Q734)</f>
        <v>336</v>
      </c>
      <c r="J734" s="1723"/>
      <c r="K734" s="1723"/>
      <c r="L734" s="1727"/>
      <c r="M734" s="1727">
        <v>336</v>
      </c>
      <c r="N734" s="1725"/>
      <c r="P734" s="1577"/>
    </row>
    <row r="735" spans="1:16" s="1626" customFormat="1" ht="23.45" customHeight="1" x14ac:dyDescent="0.3">
      <c r="A735" s="1528">
        <v>902</v>
      </c>
      <c r="B735" s="1619"/>
      <c r="C735" s="1589">
        <v>173</v>
      </c>
      <c r="D735" s="1720" t="s">
        <v>579</v>
      </c>
      <c r="E735" s="1571"/>
      <c r="F735" s="1570"/>
      <c r="G735" s="1690">
        <v>2401</v>
      </c>
      <c r="H735" s="1721" t="s">
        <v>24</v>
      </c>
      <c r="I735" s="1722"/>
      <c r="J735" s="1723"/>
      <c r="K735" s="1723"/>
      <c r="L735" s="1724"/>
      <c r="M735" s="1723"/>
      <c r="N735" s="1725"/>
      <c r="P735" s="1577"/>
    </row>
    <row r="736" spans="1:16" s="1626" customFormat="1" ht="23.45" customHeight="1" x14ac:dyDescent="0.3">
      <c r="A736" s="1528">
        <v>903</v>
      </c>
      <c r="B736" s="1619"/>
      <c r="C736" s="1589">
        <v>174</v>
      </c>
      <c r="D736" s="1720" t="s">
        <v>580</v>
      </c>
      <c r="E736" s="1571"/>
      <c r="F736" s="1570"/>
      <c r="G736" s="1690">
        <v>1000</v>
      </c>
      <c r="H736" s="1721" t="s">
        <v>24</v>
      </c>
      <c r="I736" s="1722"/>
      <c r="J736" s="1723"/>
      <c r="K736" s="1723"/>
      <c r="L736" s="1724"/>
      <c r="M736" s="1723"/>
      <c r="N736" s="1725"/>
      <c r="P736" s="1577"/>
    </row>
    <row r="737" spans="1:16" s="1626" customFormat="1" ht="18" customHeight="1" x14ac:dyDescent="0.3">
      <c r="A737" s="1528">
        <v>904</v>
      </c>
      <c r="B737" s="1619"/>
      <c r="C737" s="1589"/>
      <c r="D737" s="1735" t="s">
        <v>702</v>
      </c>
      <c r="E737" s="1571"/>
      <c r="F737" s="1570"/>
      <c r="G737" s="1690"/>
      <c r="H737" s="1721"/>
      <c r="I737" s="1674">
        <f>SUM(J737:Q737)</f>
        <v>800</v>
      </c>
      <c r="J737" s="1723"/>
      <c r="K737" s="1723"/>
      <c r="L737" s="1724"/>
      <c r="M737" s="1723"/>
      <c r="N737" s="1736">
        <v>800</v>
      </c>
      <c r="P737" s="1577"/>
    </row>
    <row r="738" spans="1:16" s="1626" customFormat="1" ht="18" customHeight="1" x14ac:dyDescent="0.3">
      <c r="A738" s="1528">
        <v>905</v>
      </c>
      <c r="B738" s="1619"/>
      <c r="C738" s="1589"/>
      <c r="D738" s="1584" t="s">
        <v>745</v>
      </c>
      <c r="E738" s="1571"/>
      <c r="F738" s="1570"/>
      <c r="G738" s="1690"/>
      <c r="H738" s="1721"/>
      <c r="I738" s="1585">
        <f>SUM(J738:Q738)</f>
        <v>800</v>
      </c>
      <c r="J738" s="1723"/>
      <c r="K738" s="1723"/>
      <c r="L738" s="1724"/>
      <c r="M738" s="1723"/>
      <c r="N738" s="1737">
        <v>800</v>
      </c>
      <c r="P738" s="1577"/>
    </row>
    <row r="739" spans="1:16" s="1626" customFormat="1" ht="23.45" customHeight="1" x14ac:dyDescent="0.3">
      <c r="A739" s="1528">
        <v>907</v>
      </c>
      <c r="B739" s="1619"/>
      <c r="C739" s="1589">
        <v>175</v>
      </c>
      <c r="D739" s="1720" t="s">
        <v>696</v>
      </c>
      <c r="E739" s="1571"/>
      <c r="F739" s="1570"/>
      <c r="G739" s="1690">
        <v>10000</v>
      </c>
      <c r="H739" s="1721" t="s">
        <v>24</v>
      </c>
      <c r="I739" s="1722"/>
      <c r="J739" s="1723"/>
      <c r="K739" s="1723"/>
      <c r="L739" s="1724"/>
      <c r="M739" s="1723"/>
      <c r="N739" s="1725"/>
      <c r="P739" s="1577"/>
    </row>
    <row r="740" spans="1:16" s="1626" customFormat="1" ht="23.45" customHeight="1" x14ac:dyDescent="0.3">
      <c r="A740" s="1528">
        <v>908</v>
      </c>
      <c r="B740" s="1619"/>
      <c r="C740" s="1589">
        <v>176</v>
      </c>
      <c r="D740" s="1720" t="s">
        <v>697</v>
      </c>
      <c r="E740" s="1571"/>
      <c r="F740" s="1570"/>
      <c r="G740" s="1690">
        <v>5035</v>
      </c>
      <c r="H740" s="1721" t="s">
        <v>24</v>
      </c>
      <c r="I740" s="1722"/>
      <c r="J740" s="1723"/>
      <c r="K740" s="1723"/>
      <c r="L740" s="1724"/>
      <c r="M740" s="1723"/>
      <c r="N740" s="1725"/>
      <c r="P740" s="1577"/>
    </row>
    <row r="741" spans="1:16" s="1626" customFormat="1" ht="23.45" customHeight="1" x14ac:dyDescent="0.3">
      <c r="A741" s="1528">
        <v>909</v>
      </c>
      <c r="B741" s="1619"/>
      <c r="C741" s="1589">
        <v>177</v>
      </c>
      <c r="D741" s="1739" t="s">
        <v>564</v>
      </c>
      <c r="E741" s="1571"/>
      <c r="F741" s="1570"/>
      <c r="G741" s="1690"/>
      <c r="H741" s="1721" t="s">
        <v>24</v>
      </c>
      <c r="I741" s="1722"/>
      <c r="J741" s="1723"/>
      <c r="K741" s="1723"/>
      <c r="L741" s="1724"/>
      <c r="M741" s="1723"/>
      <c r="N741" s="1725"/>
      <c r="P741" s="1577"/>
    </row>
    <row r="742" spans="1:16" s="1626" customFormat="1" ht="18" customHeight="1" x14ac:dyDescent="0.3">
      <c r="A742" s="1528">
        <v>910</v>
      </c>
      <c r="B742" s="1619"/>
      <c r="C742" s="1589"/>
      <c r="D742" s="1726" t="s">
        <v>239</v>
      </c>
      <c r="E742" s="1571"/>
      <c r="F742" s="1570"/>
      <c r="G742" s="1690"/>
      <c r="H742" s="1721"/>
      <c r="I742" s="1722">
        <f>SUM(J742:N742)</f>
        <v>2500</v>
      </c>
      <c r="J742" s="1723"/>
      <c r="K742" s="1723"/>
      <c r="L742" s="1724">
        <v>2500</v>
      </c>
      <c r="M742" s="1723"/>
      <c r="N742" s="1725"/>
      <c r="P742" s="1577"/>
    </row>
    <row r="743" spans="1:16" s="1626" customFormat="1" ht="18" customHeight="1" x14ac:dyDescent="0.3">
      <c r="A743" s="1528">
        <v>911</v>
      </c>
      <c r="B743" s="1619"/>
      <c r="C743" s="1589"/>
      <c r="D743" s="1735" t="s">
        <v>702</v>
      </c>
      <c r="E743" s="1571"/>
      <c r="F743" s="1570"/>
      <c r="G743" s="1690"/>
      <c r="H743" s="1721"/>
      <c r="I743" s="1580">
        <f>SUM(J743:N743)</f>
        <v>2500</v>
      </c>
      <c r="J743" s="1727"/>
      <c r="K743" s="1727"/>
      <c r="L743" s="1728">
        <v>2500</v>
      </c>
      <c r="M743" s="1723"/>
      <c r="N743" s="1725"/>
      <c r="P743" s="1577"/>
    </row>
    <row r="744" spans="1:16" s="1626" customFormat="1" ht="18" customHeight="1" x14ac:dyDescent="0.3">
      <c r="A744" s="1528">
        <v>912</v>
      </c>
      <c r="B744" s="1619"/>
      <c r="C744" s="1589"/>
      <c r="D744" s="1584" t="s">
        <v>745</v>
      </c>
      <c r="E744" s="1571"/>
      <c r="F744" s="1570"/>
      <c r="G744" s="1690"/>
      <c r="H744" s="1721"/>
      <c r="I744" s="1585">
        <f>SUM(J744:Q744)</f>
        <v>2500</v>
      </c>
      <c r="J744" s="1723"/>
      <c r="K744" s="1723"/>
      <c r="L744" s="1585">
        <v>2500</v>
      </c>
      <c r="M744" s="1723"/>
      <c r="N744" s="1725"/>
      <c r="P744" s="1577"/>
    </row>
    <row r="745" spans="1:16" s="1626" customFormat="1" ht="23.45" customHeight="1" x14ac:dyDescent="0.3">
      <c r="A745" s="1528">
        <v>914</v>
      </c>
      <c r="B745" s="1619"/>
      <c r="C745" s="1589">
        <v>178</v>
      </c>
      <c r="D745" s="1739" t="s">
        <v>581</v>
      </c>
      <c r="E745" s="1571"/>
      <c r="F745" s="1570"/>
      <c r="G745" s="1690">
        <v>200</v>
      </c>
      <c r="H745" s="1721" t="s">
        <v>24</v>
      </c>
      <c r="I745" s="1722"/>
      <c r="J745" s="1723"/>
      <c r="K745" s="1723"/>
      <c r="L745" s="1724"/>
      <c r="M745" s="1723"/>
      <c r="N745" s="1725"/>
      <c r="P745" s="1577"/>
    </row>
    <row r="746" spans="1:16" s="1626" customFormat="1" ht="23.45" customHeight="1" x14ac:dyDescent="0.3">
      <c r="A746" s="1528">
        <v>915</v>
      </c>
      <c r="B746" s="1619"/>
      <c r="C746" s="1589">
        <v>179</v>
      </c>
      <c r="D746" s="1739" t="s">
        <v>565</v>
      </c>
      <c r="E746" s="1571"/>
      <c r="F746" s="1570"/>
      <c r="G746" s="1690"/>
      <c r="H746" s="1721" t="s">
        <v>24</v>
      </c>
      <c r="I746" s="1722"/>
      <c r="J746" s="1723"/>
      <c r="K746" s="1723"/>
      <c r="L746" s="1724"/>
      <c r="M746" s="1723"/>
      <c r="N746" s="1725"/>
      <c r="P746" s="1577"/>
    </row>
    <row r="747" spans="1:16" s="1626" customFormat="1" ht="18" customHeight="1" x14ac:dyDescent="0.3">
      <c r="A747" s="1528">
        <v>916</v>
      </c>
      <c r="B747" s="1619"/>
      <c r="C747" s="1589"/>
      <c r="D747" s="1726" t="s">
        <v>239</v>
      </c>
      <c r="E747" s="1571"/>
      <c r="F747" s="1570"/>
      <c r="G747" s="1690"/>
      <c r="H747" s="1721"/>
      <c r="I747" s="1722">
        <f>SUM(J747:N747)</f>
        <v>25945</v>
      </c>
      <c r="J747" s="1723"/>
      <c r="K747" s="1723"/>
      <c r="L747" s="1724">
        <v>25945</v>
      </c>
      <c r="M747" s="1723"/>
      <c r="N747" s="1725"/>
      <c r="P747" s="1577"/>
    </row>
    <row r="748" spans="1:16" s="1626" customFormat="1" ht="18" customHeight="1" x14ac:dyDescent="0.3">
      <c r="A748" s="1528">
        <v>917</v>
      </c>
      <c r="B748" s="1619"/>
      <c r="C748" s="1589"/>
      <c r="D748" s="1735" t="s">
        <v>702</v>
      </c>
      <c r="E748" s="1571"/>
      <c r="F748" s="1570"/>
      <c r="G748" s="1690"/>
      <c r="H748" s="1721"/>
      <c r="I748" s="1580">
        <f>SUM(J748:N748)</f>
        <v>25945</v>
      </c>
      <c r="J748" s="1727"/>
      <c r="K748" s="1727"/>
      <c r="L748" s="1728">
        <v>25945</v>
      </c>
      <c r="M748" s="1727"/>
      <c r="N748" s="1725"/>
      <c r="P748" s="1577"/>
    </row>
    <row r="749" spans="1:16" s="1626" customFormat="1" ht="18" customHeight="1" x14ac:dyDescent="0.3">
      <c r="A749" s="1528">
        <v>918</v>
      </c>
      <c r="B749" s="1619"/>
      <c r="C749" s="1589"/>
      <c r="D749" s="1584" t="s">
        <v>745</v>
      </c>
      <c r="E749" s="1571"/>
      <c r="F749" s="1570"/>
      <c r="G749" s="1690"/>
      <c r="H749" s="1721"/>
      <c r="I749" s="1585">
        <f>SUM(J749:Q749)</f>
        <v>25945</v>
      </c>
      <c r="J749" s="1727"/>
      <c r="K749" s="1727"/>
      <c r="L749" s="1727">
        <v>25945</v>
      </c>
      <c r="M749" s="1727"/>
      <c r="N749" s="1737"/>
      <c r="P749" s="1577"/>
    </row>
    <row r="750" spans="1:16" s="1626" customFormat="1" ht="23.45" customHeight="1" x14ac:dyDescent="0.3">
      <c r="A750" s="1528">
        <v>920</v>
      </c>
      <c r="B750" s="1619"/>
      <c r="C750" s="1589">
        <v>180</v>
      </c>
      <c r="D750" s="1739" t="s">
        <v>566</v>
      </c>
      <c r="E750" s="1571"/>
      <c r="F750" s="1570"/>
      <c r="G750" s="1690"/>
      <c r="H750" s="1721" t="s">
        <v>24</v>
      </c>
      <c r="I750" s="1722"/>
      <c r="J750" s="1723"/>
      <c r="K750" s="1723"/>
      <c r="L750" s="1724"/>
      <c r="M750" s="1723"/>
      <c r="N750" s="1725"/>
      <c r="P750" s="1577"/>
    </row>
    <row r="751" spans="1:16" s="1626" customFormat="1" ht="18" customHeight="1" x14ac:dyDescent="0.3">
      <c r="A751" s="1528">
        <v>921</v>
      </c>
      <c r="B751" s="1619"/>
      <c r="C751" s="1589"/>
      <c r="D751" s="1726" t="s">
        <v>239</v>
      </c>
      <c r="E751" s="1571"/>
      <c r="F751" s="1570"/>
      <c r="G751" s="1690"/>
      <c r="H751" s="1721"/>
      <c r="I751" s="1722">
        <f>SUM(J751:N751)</f>
        <v>31000</v>
      </c>
      <c r="J751" s="1723"/>
      <c r="K751" s="1723"/>
      <c r="L751" s="1724">
        <v>31000</v>
      </c>
      <c r="M751" s="1723"/>
      <c r="N751" s="1725"/>
      <c r="P751" s="1577"/>
    </row>
    <row r="752" spans="1:16" s="1626" customFormat="1" ht="18" customHeight="1" x14ac:dyDescent="0.3">
      <c r="A752" s="1528">
        <v>922</v>
      </c>
      <c r="B752" s="1619"/>
      <c r="C752" s="1589"/>
      <c r="D752" s="1735" t="s">
        <v>702</v>
      </c>
      <c r="E752" s="1571"/>
      <c r="F752" s="1570"/>
      <c r="G752" s="1690"/>
      <c r="H752" s="1721"/>
      <c r="I752" s="1580">
        <f>SUM(J752:N752)</f>
        <v>31000</v>
      </c>
      <c r="J752" s="1727"/>
      <c r="K752" s="1727"/>
      <c r="L752" s="1728">
        <v>31000</v>
      </c>
      <c r="M752" s="1723"/>
      <c r="N752" s="1725"/>
      <c r="P752" s="1577"/>
    </row>
    <row r="753" spans="1:16" s="1626" customFormat="1" ht="18" customHeight="1" x14ac:dyDescent="0.3">
      <c r="A753" s="1528">
        <v>923</v>
      </c>
      <c r="B753" s="1619"/>
      <c r="C753" s="1589"/>
      <c r="D753" s="1584" t="s">
        <v>745</v>
      </c>
      <c r="E753" s="1571"/>
      <c r="F753" s="1570"/>
      <c r="G753" s="1690"/>
      <c r="H753" s="1721"/>
      <c r="I753" s="1585">
        <f>SUM(J753:Q753)</f>
        <v>31000</v>
      </c>
      <c r="J753" s="1727"/>
      <c r="K753" s="1727"/>
      <c r="L753" s="1746">
        <v>31000</v>
      </c>
      <c r="M753" s="1727"/>
      <c r="N753" s="1736"/>
      <c r="P753" s="1577"/>
    </row>
    <row r="754" spans="1:16" s="1626" customFormat="1" ht="23.45" customHeight="1" x14ac:dyDescent="0.3">
      <c r="A754" s="1528">
        <v>925</v>
      </c>
      <c r="B754" s="1619"/>
      <c r="C754" s="1589">
        <v>181</v>
      </c>
      <c r="D754" s="1720" t="s">
        <v>558</v>
      </c>
      <c r="E754" s="1571"/>
      <c r="F754" s="1570"/>
      <c r="G754" s="1690"/>
      <c r="H754" s="1721" t="s">
        <v>24</v>
      </c>
      <c r="I754" s="1722"/>
      <c r="J754" s="1723"/>
      <c r="K754" s="1723"/>
      <c r="L754" s="1724"/>
      <c r="M754" s="1723"/>
      <c r="N754" s="1725"/>
      <c r="P754" s="1577"/>
    </row>
    <row r="755" spans="1:16" s="1626" customFormat="1" ht="18" customHeight="1" x14ac:dyDescent="0.3">
      <c r="A755" s="1528">
        <v>926</v>
      </c>
      <c r="B755" s="1619"/>
      <c r="C755" s="1589"/>
      <c r="D755" s="1726" t="s">
        <v>239</v>
      </c>
      <c r="E755" s="1571"/>
      <c r="F755" s="1570"/>
      <c r="G755" s="1690"/>
      <c r="H755" s="1721"/>
      <c r="I755" s="1722">
        <f>SUM(J755:N755)</f>
        <v>2500</v>
      </c>
      <c r="J755" s="1723"/>
      <c r="K755" s="1723"/>
      <c r="L755" s="1728">
        <v>2500</v>
      </c>
      <c r="M755" s="1723"/>
      <c r="N755" s="1725"/>
      <c r="P755" s="1577"/>
    </row>
    <row r="756" spans="1:16" s="1626" customFormat="1" ht="18" customHeight="1" x14ac:dyDescent="0.3">
      <c r="A756" s="1528">
        <v>927</v>
      </c>
      <c r="B756" s="1619"/>
      <c r="C756" s="1589"/>
      <c r="D756" s="1735" t="s">
        <v>702</v>
      </c>
      <c r="E756" s="1571"/>
      <c r="F756" s="1570"/>
      <c r="G756" s="1690"/>
      <c r="H756" s="1721"/>
      <c r="I756" s="1580">
        <f>SUM(J756:N756)</f>
        <v>2500</v>
      </c>
      <c r="J756" s="1727"/>
      <c r="K756" s="1727"/>
      <c r="L756" s="1728">
        <v>2500</v>
      </c>
      <c r="M756" s="1723"/>
      <c r="N756" s="1725"/>
      <c r="P756" s="1577"/>
    </row>
    <row r="757" spans="1:16" s="1626" customFormat="1" ht="18" customHeight="1" x14ac:dyDescent="0.3">
      <c r="A757" s="1528">
        <v>928</v>
      </c>
      <c r="B757" s="1619"/>
      <c r="C757" s="1589"/>
      <c r="D757" s="1584" t="s">
        <v>745</v>
      </c>
      <c r="E757" s="1571"/>
      <c r="F757" s="1570"/>
      <c r="G757" s="1690"/>
      <c r="H757" s="1721"/>
      <c r="I757" s="1585">
        <f>SUM(J757:Q757)</f>
        <v>0</v>
      </c>
      <c r="J757" s="1727"/>
      <c r="K757" s="1727"/>
      <c r="L757" s="1727">
        <v>0</v>
      </c>
      <c r="M757" s="1727"/>
      <c r="N757" s="1736"/>
      <c r="P757" s="1577"/>
    </row>
    <row r="758" spans="1:16" s="1626" customFormat="1" ht="23.45" customHeight="1" x14ac:dyDescent="0.3">
      <c r="A758" s="1528">
        <v>930</v>
      </c>
      <c r="B758" s="1619"/>
      <c r="C758" s="1589">
        <v>182</v>
      </c>
      <c r="D758" s="1720" t="s">
        <v>625</v>
      </c>
      <c r="E758" s="1571"/>
      <c r="F758" s="1570"/>
      <c r="G758" s="1690"/>
      <c r="H758" s="1721" t="s">
        <v>24</v>
      </c>
      <c r="I758" s="1722"/>
      <c r="J758" s="1723"/>
      <c r="K758" s="1723"/>
      <c r="L758" s="1724"/>
      <c r="M758" s="1723"/>
      <c r="N758" s="1725"/>
      <c r="P758" s="1577"/>
    </row>
    <row r="759" spans="1:16" s="1626" customFormat="1" ht="18" customHeight="1" x14ac:dyDescent="0.3">
      <c r="A759" s="1528">
        <v>931</v>
      </c>
      <c r="B759" s="1619"/>
      <c r="C759" s="1589"/>
      <c r="D759" s="1726" t="s">
        <v>239</v>
      </c>
      <c r="E759" s="1571"/>
      <c r="F759" s="1570"/>
      <c r="G759" s="1690"/>
      <c r="H759" s="1721"/>
      <c r="I759" s="1722">
        <f>SUM(J759:N759)</f>
        <v>1500</v>
      </c>
      <c r="J759" s="1723"/>
      <c r="K759" s="1723"/>
      <c r="L759" s="1724"/>
      <c r="M759" s="1723"/>
      <c r="N759" s="1725">
        <v>1500</v>
      </c>
      <c r="P759" s="1577"/>
    </row>
    <row r="760" spans="1:16" s="1626" customFormat="1" ht="18" customHeight="1" x14ac:dyDescent="0.3">
      <c r="A760" s="1528">
        <v>932</v>
      </c>
      <c r="B760" s="1619"/>
      <c r="C760" s="1589"/>
      <c r="D760" s="1735" t="s">
        <v>702</v>
      </c>
      <c r="E760" s="1571"/>
      <c r="F760" s="1570"/>
      <c r="G760" s="1690"/>
      <c r="H760" s="1721"/>
      <c r="I760" s="1580">
        <f>SUM(J760:N760)</f>
        <v>1500</v>
      </c>
      <c r="J760" s="1727"/>
      <c r="K760" s="1727"/>
      <c r="L760" s="1728"/>
      <c r="M760" s="1727"/>
      <c r="N760" s="1736">
        <v>1500</v>
      </c>
      <c r="P760" s="1577"/>
    </row>
    <row r="761" spans="1:16" s="1626" customFormat="1" ht="18" customHeight="1" x14ac:dyDescent="0.3">
      <c r="A761" s="1528">
        <v>933</v>
      </c>
      <c r="B761" s="1619"/>
      <c r="C761" s="1589"/>
      <c r="D761" s="1584" t="s">
        <v>745</v>
      </c>
      <c r="E761" s="1571"/>
      <c r="F761" s="1570"/>
      <c r="G761" s="1690"/>
      <c r="H761" s="1721"/>
      <c r="I761" s="1585">
        <f>SUM(J761:Q761)</f>
        <v>1500</v>
      </c>
      <c r="J761" s="1727"/>
      <c r="K761" s="1727"/>
      <c r="L761" s="1728"/>
      <c r="M761" s="1727"/>
      <c r="N761" s="1737">
        <v>1500</v>
      </c>
      <c r="P761" s="1577"/>
    </row>
    <row r="762" spans="1:16" s="1626" customFormat="1" ht="23.45" customHeight="1" x14ac:dyDescent="0.3">
      <c r="A762" s="1528">
        <v>935</v>
      </c>
      <c r="B762" s="1619"/>
      <c r="C762" s="1589">
        <v>183</v>
      </c>
      <c r="D762" s="1720" t="s">
        <v>559</v>
      </c>
      <c r="E762" s="1571"/>
      <c r="F762" s="1570"/>
      <c r="G762" s="1690"/>
      <c r="H762" s="1721" t="s">
        <v>24</v>
      </c>
      <c r="I762" s="1722"/>
      <c r="J762" s="1723"/>
      <c r="K762" s="1723"/>
      <c r="L762" s="1724"/>
      <c r="M762" s="1723"/>
      <c r="N762" s="1725"/>
      <c r="P762" s="1577"/>
    </row>
    <row r="763" spans="1:16" s="1626" customFormat="1" ht="18" customHeight="1" x14ac:dyDescent="0.3">
      <c r="A763" s="1528">
        <v>936</v>
      </c>
      <c r="B763" s="1619"/>
      <c r="C763" s="1589"/>
      <c r="D763" s="1726" t="s">
        <v>239</v>
      </c>
      <c r="E763" s="1571"/>
      <c r="F763" s="1570"/>
      <c r="G763" s="1690"/>
      <c r="H763" s="1721"/>
      <c r="I763" s="1722">
        <f>SUM(J763:N763)</f>
        <v>4000</v>
      </c>
      <c r="J763" s="1723"/>
      <c r="K763" s="1723"/>
      <c r="L763" s="1724">
        <v>4000</v>
      </c>
      <c r="M763" s="1723"/>
      <c r="N763" s="1725"/>
      <c r="P763" s="1577"/>
    </row>
    <row r="764" spans="1:16" s="1626" customFormat="1" ht="18" customHeight="1" x14ac:dyDescent="0.3">
      <c r="A764" s="1528">
        <v>937</v>
      </c>
      <c r="B764" s="1619"/>
      <c r="C764" s="1589"/>
      <c r="D764" s="1735" t="s">
        <v>702</v>
      </c>
      <c r="E764" s="1571"/>
      <c r="F764" s="1570"/>
      <c r="G764" s="1690"/>
      <c r="H764" s="1721"/>
      <c r="I764" s="1580">
        <f>SUM(J764:N764)</f>
        <v>4000</v>
      </c>
      <c r="J764" s="1727"/>
      <c r="K764" s="1727"/>
      <c r="L764" s="1728">
        <v>4000</v>
      </c>
      <c r="M764" s="1723"/>
      <c r="N764" s="1725"/>
      <c r="P764" s="1577"/>
    </row>
    <row r="765" spans="1:16" s="1626" customFormat="1" ht="18" customHeight="1" x14ac:dyDescent="0.3">
      <c r="A765" s="1528">
        <v>938</v>
      </c>
      <c r="B765" s="1619"/>
      <c r="C765" s="1589"/>
      <c r="D765" s="1584" t="s">
        <v>745</v>
      </c>
      <c r="E765" s="1571"/>
      <c r="F765" s="1570"/>
      <c r="G765" s="1690"/>
      <c r="H765" s="1721"/>
      <c r="I765" s="1585">
        <f>SUM(J765:Q765)</f>
        <v>0</v>
      </c>
      <c r="J765" s="1727"/>
      <c r="K765" s="1727"/>
      <c r="L765" s="1727">
        <v>0</v>
      </c>
      <c r="M765" s="1727"/>
      <c r="N765" s="1736"/>
      <c r="P765" s="1577"/>
    </row>
    <row r="766" spans="1:16" s="1626" customFormat="1" ht="23.45" customHeight="1" x14ac:dyDescent="0.3">
      <c r="A766" s="1528">
        <v>940</v>
      </c>
      <c r="B766" s="1619"/>
      <c r="C766" s="1589">
        <v>184</v>
      </c>
      <c r="D766" s="1720" t="s">
        <v>573</v>
      </c>
      <c r="E766" s="1571"/>
      <c r="F766" s="1570"/>
      <c r="G766" s="1690"/>
      <c r="H766" s="1721" t="s">
        <v>24</v>
      </c>
      <c r="I766" s="1722"/>
      <c r="J766" s="1723"/>
      <c r="K766" s="1723"/>
      <c r="L766" s="1724"/>
      <c r="M766" s="1723"/>
      <c r="N766" s="1725"/>
      <c r="P766" s="1577"/>
    </row>
    <row r="767" spans="1:16" s="1626" customFormat="1" ht="18" customHeight="1" x14ac:dyDescent="0.3">
      <c r="A767" s="1528">
        <v>941</v>
      </c>
      <c r="B767" s="1619"/>
      <c r="C767" s="1589"/>
      <c r="D767" s="1726" t="s">
        <v>239</v>
      </c>
      <c r="E767" s="1571"/>
      <c r="F767" s="1570"/>
      <c r="G767" s="1690"/>
      <c r="H767" s="1721"/>
      <c r="I767" s="1722">
        <f>SUM(J767:N767)</f>
        <v>180</v>
      </c>
      <c r="J767" s="1723"/>
      <c r="K767" s="1723"/>
      <c r="L767" s="1724">
        <v>180</v>
      </c>
      <c r="M767" s="1723"/>
      <c r="N767" s="1725"/>
      <c r="P767" s="1577"/>
    </row>
    <row r="768" spans="1:16" s="1626" customFormat="1" ht="18" customHeight="1" x14ac:dyDescent="0.3">
      <c r="A768" s="1528">
        <v>942</v>
      </c>
      <c r="B768" s="1619"/>
      <c r="C768" s="1589"/>
      <c r="D768" s="1735" t="s">
        <v>702</v>
      </c>
      <c r="E768" s="1571"/>
      <c r="F768" s="1570"/>
      <c r="G768" s="1690"/>
      <c r="H768" s="1721"/>
      <c r="I768" s="1580">
        <f>SUM(J768:N768)</f>
        <v>180</v>
      </c>
      <c r="J768" s="1727"/>
      <c r="K768" s="1727"/>
      <c r="L768" s="1728">
        <v>180</v>
      </c>
      <c r="M768" s="1723"/>
      <c r="N768" s="1725"/>
      <c r="P768" s="1577"/>
    </row>
    <row r="769" spans="1:16" s="1626" customFormat="1" ht="18" customHeight="1" x14ac:dyDescent="0.3">
      <c r="A769" s="1528">
        <v>943</v>
      </c>
      <c r="B769" s="1619"/>
      <c r="C769" s="1589"/>
      <c r="D769" s="1584" t="s">
        <v>745</v>
      </c>
      <c r="E769" s="1571"/>
      <c r="F769" s="1570"/>
      <c r="G769" s="1690"/>
      <c r="H769" s="1721"/>
      <c r="I769" s="1585">
        <f>SUM(J769:Q769)</f>
        <v>0</v>
      </c>
      <c r="J769" s="1723"/>
      <c r="K769" s="1723"/>
      <c r="L769" s="1585">
        <v>0</v>
      </c>
      <c r="M769" s="1723"/>
      <c r="N769" s="1725"/>
      <c r="P769" s="1577"/>
    </row>
    <row r="770" spans="1:16" s="1626" customFormat="1" ht="23.45" customHeight="1" x14ac:dyDescent="0.3">
      <c r="A770" s="1528">
        <v>945</v>
      </c>
      <c r="B770" s="1619"/>
      <c r="C770" s="1589">
        <v>185</v>
      </c>
      <c r="D770" s="1720" t="s">
        <v>560</v>
      </c>
      <c r="E770" s="1571"/>
      <c r="F770" s="1570"/>
      <c r="G770" s="1690"/>
      <c r="H770" s="1721" t="s">
        <v>24</v>
      </c>
      <c r="I770" s="1722"/>
      <c r="J770" s="1723"/>
      <c r="K770" s="1723"/>
      <c r="L770" s="1724"/>
      <c r="M770" s="1723"/>
      <c r="N770" s="1725"/>
      <c r="P770" s="1577"/>
    </row>
    <row r="771" spans="1:16" s="1626" customFormat="1" ht="18" customHeight="1" x14ac:dyDescent="0.3">
      <c r="A771" s="1528">
        <v>946</v>
      </c>
      <c r="B771" s="1619"/>
      <c r="C771" s="1589"/>
      <c r="D771" s="1726" t="s">
        <v>239</v>
      </c>
      <c r="E771" s="1571"/>
      <c r="F771" s="1570"/>
      <c r="G771" s="1690"/>
      <c r="H771" s="1721"/>
      <c r="I771" s="1722">
        <f>SUM(J771:N771)</f>
        <v>2000</v>
      </c>
      <c r="J771" s="1723"/>
      <c r="K771" s="1723"/>
      <c r="L771" s="1724"/>
      <c r="M771" s="1723"/>
      <c r="N771" s="1725">
        <v>2000</v>
      </c>
      <c r="P771" s="1577"/>
    </row>
    <row r="772" spans="1:16" s="1626" customFormat="1" ht="18" customHeight="1" x14ac:dyDescent="0.3">
      <c r="A772" s="1528">
        <v>947</v>
      </c>
      <c r="B772" s="1619"/>
      <c r="C772" s="1589"/>
      <c r="D772" s="1735" t="s">
        <v>702</v>
      </c>
      <c r="E772" s="1571"/>
      <c r="F772" s="1570"/>
      <c r="G772" s="1690"/>
      <c r="H772" s="1721"/>
      <c r="I772" s="1580">
        <f>SUM(J772:N772)</f>
        <v>2000</v>
      </c>
      <c r="J772" s="1728">
        <v>362</v>
      </c>
      <c r="K772" s="1728">
        <v>120</v>
      </c>
      <c r="L772" s="1728">
        <v>1518</v>
      </c>
      <c r="M772" s="1727"/>
      <c r="N772" s="1736">
        <v>0</v>
      </c>
      <c r="P772" s="1577"/>
    </row>
    <row r="773" spans="1:16" s="1626" customFormat="1" ht="18" customHeight="1" x14ac:dyDescent="0.3">
      <c r="A773" s="1528">
        <v>948</v>
      </c>
      <c r="B773" s="1619"/>
      <c r="C773" s="1589"/>
      <c r="D773" s="1584" t="s">
        <v>745</v>
      </c>
      <c r="E773" s="1571"/>
      <c r="F773" s="1570"/>
      <c r="G773" s="1690"/>
      <c r="H773" s="1721"/>
      <c r="I773" s="1585">
        <f>SUM(J773:Q773)</f>
        <v>0</v>
      </c>
      <c r="J773" s="1727">
        <v>0</v>
      </c>
      <c r="K773" s="1727">
        <v>0</v>
      </c>
      <c r="L773" s="1727">
        <v>0</v>
      </c>
      <c r="M773" s="1727"/>
      <c r="N773" s="1737">
        <v>0</v>
      </c>
      <c r="P773" s="1577"/>
    </row>
    <row r="774" spans="1:16" s="1626" customFormat="1" ht="23.45" customHeight="1" x14ac:dyDescent="0.3">
      <c r="A774" s="1528">
        <v>950</v>
      </c>
      <c r="B774" s="1619"/>
      <c r="C774" s="1589">
        <v>186</v>
      </c>
      <c r="D774" s="1720" t="s">
        <v>562</v>
      </c>
      <c r="E774" s="1571"/>
      <c r="F774" s="1570"/>
      <c r="G774" s="1690"/>
      <c r="H774" s="1721" t="s">
        <v>24</v>
      </c>
      <c r="I774" s="1722"/>
      <c r="J774" s="1723"/>
      <c r="K774" s="1723"/>
      <c r="L774" s="1724"/>
      <c r="M774" s="1723"/>
      <c r="N774" s="1725"/>
      <c r="P774" s="1577"/>
    </row>
    <row r="775" spans="1:16" s="1626" customFormat="1" ht="18" customHeight="1" x14ac:dyDescent="0.3">
      <c r="A775" s="1528">
        <v>951</v>
      </c>
      <c r="B775" s="1619"/>
      <c r="C775" s="1589"/>
      <c r="D775" s="1726" t="s">
        <v>239</v>
      </c>
      <c r="E775" s="1571"/>
      <c r="F775" s="1570"/>
      <c r="G775" s="1690"/>
      <c r="H775" s="1721"/>
      <c r="I775" s="1722">
        <f>SUM(J775:N775)</f>
        <v>20000</v>
      </c>
      <c r="J775" s="1723"/>
      <c r="K775" s="1723"/>
      <c r="L775" s="1724">
        <v>20000</v>
      </c>
      <c r="M775" s="1723"/>
      <c r="N775" s="1725"/>
      <c r="P775" s="1577"/>
    </row>
    <row r="776" spans="1:16" s="1626" customFormat="1" ht="18" customHeight="1" x14ac:dyDescent="0.3">
      <c r="A776" s="1528">
        <v>952</v>
      </c>
      <c r="B776" s="1619"/>
      <c r="C776" s="1589"/>
      <c r="D776" s="1735" t="s">
        <v>702</v>
      </c>
      <c r="E776" s="1571"/>
      <c r="F776" s="1570"/>
      <c r="G776" s="1690"/>
      <c r="H776" s="1721"/>
      <c r="I776" s="1580">
        <f>SUM(J776:N776)</f>
        <v>20000</v>
      </c>
      <c r="J776" s="1727"/>
      <c r="K776" s="1727"/>
      <c r="L776" s="1728">
        <v>20000</v>
      </c>
      <c r="M776" s="1723"/>
      <c r="N776" s="1725"/>
      <c r="P776" s="1577"/>
    </row>
    <row r="777" spans="1:16" s="1626" customFormat="1" ht="18" customHeight="1" x14ac:dyDescent="0.3">
      <c r="A777" s="1528">
        <v>953</v>
      </c>
      <c r="B777" s="1619"/>
      <c r="C777" s="1589"/>
      <c r="D777" s="1584" t="s">
        <v>745</v>
      </c>
      <c r="E777" s="1571"/>
      <c r="F777" s="1570"/>
      <c r="G777" s="1697"/>
      <c r="H777" s="1721"/>
      <c r="I777" s="1585">
        <f>SUM(J777:Q777)</f>
        <v>2536</v>
      </c>
      <c r="J777" s="1727"/>
      <c r="K777" s="1727"/>
      <c r="L777" s="1727">
        <v>2536</v>
      </c>
      <c r="M777" s="1727"/>
      <c r="N777" s="1736"/>
      <c r="P777" s="1577"/>
    </row>
    <row r="778" spans="1:16" s="1566" customFormat="1" ht="23.45" customHeight="1" x14ac:dyDescent="0.3">
      <c r="A778" s="1528">
        <v>955</v>
      </c>
      <c r="B778" s="1588"/>
      <c r="C778" s="1589">
        <v>187</v>
      </c>
      <c r="D778" s="1590" t="s">
        <v>554</v>
      </c>
      <c r="E778" s="1570"/>
      <c r="F778" s="1570"/>
      <c r="G778" s="1571">
        <v>6273</v>
      </c>
      <c r="H778" s="1572" t="s">
        <v>23</v>
      </c>
      <c r="I778" s="1573"/>
      <c r="J778" s="1574"/>
      <c r="K778" s="1574"/>
      <c r="L778" s="1574"/>
      <c r="M778" s="1574"/>
      <c r="N778" s="1592"/>
      <c r="P778" s="1577"/>
    </row>
    <row r="779" spans="1:16" s="1566" customFormat="1" ht="18" customHeight="1" x14ac:dyDescent="0.3">
      <c r="A779" s="1528">
        <v>956</v>
      </c>
      <c r="B779" s="1588"/>
      <c r="C779" s="1589"/>
      <c r="D779" s="1569" t="s">
        <v>239</v>
      </c>
      <c r="E779" s="1570"/>
      <c r="F779" s="1570"/>
      <c r="G779" s="1571"/>
      <c r="H779" s="1572"/>
      <c r="I779" s="1573">
        <f>SUM(J779:N779)</f>
        <v>12067</v>
      </c>
      <c r="J779" s="1574"/>
      <c r="K779" s="1574"/>
      <c r="L779" s="1575">
        <f>6000+6067</f>
        <v>12067</v>
      </c>
      <c r="M779" s="1574"/>
      <c r="N779" s="1592"/>
      <c r="P779" s="1577"/>
    </row>
    <row r="780" spans="1:16" s="1566" customFormat="1" ht="18" customHeight="1" x14ac:dyDescent="0.3">
      <c r="A780" s="1528">
        <v>957</v>
      </c>
      <c r="B780" s="1588"/>
      <c r="C780" s="1589"/>
      <c r="D780" s="1735" t="s">
        <v>702</v>
      </c>
      <c r="E780" s="1570"/>
      <c r="F780" s="1570"/>
      <c r="G780" s="1697"/>
      <c r="H780" s="1572"/>
      <c r="I780" s="1593">
        <f>SUM(J780:N780)</f>
        <v>12067</v>
      </c>
      <c r="J780" s="1746"/>
      <c r="K780" s="1746"/>
      <c r="L780" s="1728">
        <v>12067</v>
      </c>
      <c r="M780" s="1747"/>
      <c r="N780" s="1725"/>
      <c r="P780" s="1577"/>
    </row>
    <row r="781" spans="1:16" s="1566" customFormat="1" ht="18" customHeight="1" x14ac:dyDescent="0.3">
      <c r="A781" s="1528">
        <v>958</v>
      </c>
      <c r="B781" s="1588"/>
      <c r="C781" s="1589"/>
      <c r="D781" s="1584" t="s">
        <v>745</v>
      </c>
      <c r="E781" s="1570"/>
      <c r="F781" s="1570"/>
      <c r="G781" s="1697"/>
      <c r="H781" s="1721"/>
      <c r="I781" s="1585">
        <f>SUM(J781:Q781)</f>
        <v>11533</v>
      </c>
      <c r="J781" s="1746"/>
      <c r="K781" s="1746"/>
      <c r="L781" s="1727">
        <v>11533</v>
      </c>
      <c r="M781" s="1746"/>
      <c r="N781" s="1736"/>
      <c r="P781" s="1577"/>
    </row>
    <row r="782" spans="1:16" s="1566" customFormat="1" ht="23.45" customHeight="1" x14ac:dyDescent="0.3">
      <c r="A782" s="1528">
        <v>960</v>
      </c>
      <c r="B782" s="1588"/>
      <c r="C782" s="1589">
        <v>188</v>
      </c>
      <c r="D782" s="1720" t="s">
        <v>572</v>
      </c>
      <c r="E782" s="1570"/>
      <c r="F782" s="1570"/>
      <c r="G782" s="1697">
        <v>69509</v>
      </c>
      <c r="H782" s="1721" t="s">
        <v>24</v>
      </c>
      <c r="I782" s="1722"/>
      <c r="J782" s="1747"/>
      <c r="K782" s="1747"/>
      <c r="L782" s="1724"/>
      <c r="M782" s="1747"/>
      <c r="N782" s="1725"/>
      <c r="P782" s="1577"/>
    </row>
    <row r="783" spans="1:16" s="1566" customFormat="1" ht="18" customHeight="1" x14ac:dyDescent="0.3">
      <c r="A783" s="1528">
        <v>961</v>
      </c>
      <c r="B783" s="1588"/>
      <c r="C783" s="1589"/>
      <c r="D783" s="1726" t="s">
        <v>239</v>
      </c>
      <c r="E783" s="1570"/>
      <c r="F783" s="1570"/>
      <c r="G783" s="1697"/>
      <c r="H783" s="1721"/>
      <c r="I783" s="1722">
        <f>SUM(J783:N783)</f>
        <v>20000</v>
      </c>
      <c r="J783" s="1747"/>
      <c r="K783" s="1747"/>
      <c r="L783" s="1724">
        <v>20000</v>
      </c>
      <c r="M783" s="1747"/>
      <c r="N783" s="1725"/>
      <c r="P783" s="1577"/>
    </row>
    <row r="784" spans="1:16" s="1566" customFormat="1" ht="18" customHeight="1" x14ac:dyDescent="0.3">
      <c r="A784" s="1528">
        <v>962</v>
      </c>
      <c r="B784" s="1588"/>
      <c r="C784" s="1589"/>
      <c r="D784" s="1735" t="s">
        <v>702</v>
      </c>
      <c r="E784" s="1570"/>
      <c r="F784" s="1570"/>
      <c r="G784" s="1697"/>
      <c r="H784" s="1721"/>
      <c r="I784" s="1580">
        <f>SUM(J784:N784)</f>
        <v>20000</v>
      </c>
      <c r="J784" s="1746"/>
      <c r="K784" s="1746"/>
      <c r="L784" s="1728">
        <v>20000</v>
      </c>
      <c r="M784" s="1747"/>
      <c r="N784" s="1725"/>
      <c r="P784" s="1577"/>
    </row>
    <row r="785" spans="1:16" s="1566" customFormat="1" ht="18" customHeight="1" x14ac:dyDescent="0.3">
      <c r="A785" s="1528">
        <v>963</v>
      </c>
      <c r="B785" s="1588"/>
      <c r="C785" s="1589"/>
      <c r="D785" s="1584" t="s">
        <v>745</v>
      </c>
      <c r="E785" s="1570"/>
      <c r="F785" s="1570"/>
      <c r="G785" s="1697"/>
      <c r="H785" s="1721"/>
      <c r="I785" s="1585">
        <f>SUM(J785:Q785)</f>
        <v>9894</v>
      </c>
      <c r="J785" s="1727"/>
      <c r="K785" s="1727"/>
      <c r="L785" s="1727">
        <v>9894</v>
      </c>
      <c r="M785" s="1727"/>
      <c r="N785" s="1688"/>
      <c r="P785" s="1577"/>
    </row>
    <row r="786" spans="1:16" s="1566" customFormat="1" ht="23.45" customHeight="1" x14ac:dyDescent="0.3">
      <c r="A786" s="1528">
        <v>965</v>
      </c>
      <c r="B786" s="1588"/>
      <c r="C786" s="1589">
        <v>189</v>
      </c>
      <c r="D786" s="1720" t="s">
        <v>626</v>
      </c>
      <c r="E786" s="1570"/>
      <c r="F786" s="1570"/>
      <c r="G786" s="1697"/>
      <c r="H786" s="1721" t="s">
        <v>24</v>
      </c>
      <c r="I786" s="1722"/>
      <c r="J786" s="1747"/>
      <c r="K786" s="1747"/>
      <c r="L786" s="1724"/>
      <c r="M786" s="1747"/>
      <c r="N786" s="1725"/>
      <c r="P786" s="1577"/>
    </row>
    <row r="787" spans="1:16" s="1566" customFormat="1" ht="18" customHeight="1" x14ac:dyDescent="0.3">
      <c r="A787" s="1528">
        <v>966</v>
      </c>
      <c r="B787" s="1588"/>
      <c r="C787" s="1589"/>
      <c r="D787" s="1726" t="s">
        <v>239</v>
      </c>
      <c r="E787" s="1570"/>
      <c r="F787" s="1570"/>
      <c r="G787" s="1697"/>
      <c r="H787" s="1721"/>
      <c r="I787" s="1722">
        <f>SUM(J787:N787)</f>
        <v>9000</v>
      </c>
      <c r="J787" s="1747"/>
      <c r="K787" s="1747"/>
      <c r="L787" s="1724"/>
      <c r="M787" s="1747"/>
      <c r="N787" s="1725">
        <v>9000</v>
      </c>
      <c r="P787" s="1577"/>
    </row>
    <row r="788" spans="1:16" s="1566" customFormat="1" ht="18" customHeight="1" x14ac:dyDescent="0.3">
      <c r="A788" s="1528">
        <v>967</v>
      </c>
      <c r="B788" s="1588"/>
      <c r="C788" s="1589"/>
      <c r="D788" s="1735" t="s">
        <v>702</v>
      </c>
      <c r="E788" s="1570"/>
      <c r="F788" s="1570"/>
      <c r="G788" s="1697"/>
      <c r="H788" s="1721"/>
      <c r="I788" s="1580">
        <f>SUM(J788:N788)</f>
        <v>9000</v>
      </c>
      <c r="J788" s="1746"/>
      <c r="K788" s="1746"/>
      <c r="L788" s="1728"/>
      <c r="M788" s="1746"/>
      <c r="N788" s="1736">
        <v>9000</v>
      </c>
      <c r="P788" s="1577"/>
    </row>
    <row r="789" spans="1:16" s="1566" customFormat="1" ht="18" customHeight="1" x14ac:dyDescent="0.3">
      <c r="A789" s="1528">
        <v>968</v>
      </c>
      <c r="B789" s="1588"/>
      <c r="C789" s="1589"/>
      <c r="D789" s="1584" t="s">
        <v>745</v>
      </c>
      <c r="E789" s="1570"/>
      <c r="F789" s="1570"/>
      <c r="G789" s="1697"/>
      <c r="H789" s="1721"/>
      <c r="I789" s="1585">
        <f>SUM(J789:Q789)</f>
        <v>9000</v>
      </c>
      <c r="J789" s="1727"/>
      <c r="K789" s="1727"/>
      <c r="L789" s="1745"/>
      <c r="M789" s="1727"/>
      <c r="N789" s="1737">
        <v>9000</v>
      </c>
      <c r="P789" s="1577"/>
    </row>
    <row r="790" spans="1:16" s="1626" customFormat="1" ht="23.45" customHeight="1" x14ac:dyDescent="0.3">
      <c r="A790" s="1528">
        <v>970</v>
      </c>
      <c r="B790" s="1748"/>
      <c r="C790" s="1589">
        <v>190</v>
      </c>
      <c r="D790" s="1590" t="s">
        <v>552</v>
      </c>
      <c r="E790" s="1570"/>
      <c r="F790" s="1570"/>
      <c r="G790" s="1697"/>
      <c r="H790" s="1749" t="s">
        <v>23</v>
      </c>
      <c r="I790" s="1722"/>
      <c r="J790" s="1624"/>
      <c r="K790" s="1624"/>
      <c r="L790" s="1575"/>
      <c r="M790" s="1624"/>
      <c r="N790" s="1592"/>
      <c r="P790" s="1577"/>
    </row>
    <row r="791" spans="1:16" s="1626" customFormat="1" ht="18" customHeight="1" x14ac:dyDescent="0.3">
      <c r="A791" s="1528">
        <v>971</v>
      </c>
      <c r="B791" s="1750"/>
      <c r="C791" s="1751"/>
      <c r="D791" s="1752" t="s">
        <v>239</v>
      </c>
      <c r="E791" s="1753"/>
      <c r="F791" s="1754"/>
      <c r="G791" s="1755"/>
      <c r="H791" s="1756"/>
      <c r="I791" s="1757">
        <f>SUM(J791:N791)</f>
        <v>500000</v>
      </c>
      <c r="J791" s="1758"/>
      <c r="K791" s="1758"/>
      <c r="L791" s="1759"/>
      <c r="M791" s="1758"/>
      <c r="N791" s="1760">
        <v>500000</v>
      </c>
      <c r="P791" s="1577"/>
    </row>
    <row r="792" spans="1:16" s="1626" customFormat="1" ht="18" customHeight="1" x14ac:dyDescent="0.3">
      <c r="A792" s="1528">
        <v>972</v>
      </c>
      <c r="B792" s="1750"/>
      <c r="C792" s="1751"/>
      <c r="D792" s="1761" t="s">
        <v>702</v>
      </c>
      <c r="E792" s="1753"/>
      <c r="F792" s="1754"/>
      <c r="G792" s="1755"/>
      <c r="H792" s="1756"/>
      <c r="I792" s="1762">
        <f>SUM(J792:N792)</f>
        <v>500000</v>
      </c>
      <c r="J792" s="1763"/>
      <c r="K792" s="1763"/>
      <c r="L792" s="1764"/>
      <c r="M792" s="1763"/>
      <c r="N792" s="1765">
        <v>500000</v>
      </c>
      <c r="P792" s="1577"/>
    </row>
    <row r="793" spans="1:16" s="1626" customFormat="1" ht="18.75" customHeight="1" x14ac:dyDescent="0.3">
      <c r="A793" s="1528">
        <v>973</v>
      </c>
      <c r="B793" s="1619"/>
      <c r="C793" s="1589"/>
      <c r="D793" s="1584" t="s">
        <v>745</v>
      </c>
      <c r="E793" s="1570"/>
      <c r="F793" s="1570"/>
      <c r="G793" s="1690"/>
      <c r="H793" s="1572"/>
      <c r="I793" s="1585">
        <f>SUM(J793:Q793)</f>
        <v>182646</v>
      </c>
      <c r="J793" s="1727"/>
      <c r="K793" s="1727"/>
      <c r="L793" s="1728"/>
      <c r="M793" s="1727"/>
      <c r="N793" s="1737">
        <v>182646</v>
      </c>
      <c r="P793" s="1577"/>
    </row>
    <row r="794" spans="1:16" s="1626" customFormat="1" ht="23.45" customHeight="1" x14ac:dyDescent="0.3">
      <c r="A794" s="1528">
        <v>975</v>
      </c>
      <c r="B794" s="1619"/>
      <c r="C794" s="1589">
        <v>191</v>
      </c>
      <c r="D794" s="1735" t="s">
        <v>681</v>
      </c>
      <c r="E794" s="1570"/>
      <c r="F794" s="1570"/>
      <c r="G794" s="1690"/>
      <c r="H794" s="1721" t="s">
        <v>24</v>
      </c>
      <c r="I794" s="1674"/>
      <c r="J794" s="1723"/>
      <c r="K794" s="1723"/>
      <c r="L794" s="1724"/>
      <c r="M794" s="1723"/>
      <c r="N794" s="1736"/>
      <c r="P794" s="1577"/>
    </row>
    <row r="795" spans="1:16" s="1626" customFormat="1" ht="18" customHeight="1" x14ac:dyDescent="0.3">
      <c r="A795" s="1528">
        <v>976</v>
      </c>
      <c r="B795" s="1619"/>
      <c r="C795" s="1589"/>
      <c r="D795" s="1761" t="s">
        <v>702</v>
      </c>
      <c r="E795" s="1570"/>
      <c r="F795" s="1570"/>
      <c r="G795" s="1690"/>
      <c r="H795" s="1721"/>
      <c r="I795" s="1766">
        <f>SUM(J795:Q795)</f>
        <v>1500</v>
      </c>
      <c r="J795" s="1723"/>
      <c r="K795" s="1723"/>
      <c r="L795" s="1728">
        <v>1500</v>
      </c>
      <c r="M795" s="1723"/>
      <c r="N795" s="1736"/>
      <c r="P795" s="1577"/>
    </row>
    <row r="796" spans="1:16" s="1626" customFormat="1" ht="18" customHeight="1" x14ac:dyDescent="0.3">
      <c r="A796" s="1528">
        <v>977</v>
      </c>
      <c r="B796" s="1619"/>
      <c r="C796" s="1589"/>
      <c r="D796" s="1584" t="s">
        <v>745</v>
      </c>
      <c r="E796" s="1570"/>
      <c r="F796" s="1570"/>
      <c r="G796" s="1690"/>
      <c r="H796" s="1721"/>
      <c r="I796" s="1585">
        <f>SUM(J796:Q796)</f>
        <v>0</v>
      </c>
      <c r="J796" s="1723"/>
      <c r="K796" s="1723"/>
      <c r="L796" s="1727">
        <v>0</v>
      </c>
      <c r="M796" s="1723"/>
      <c r="N796" s="1736"/>
      <c r="P796" s="1577"/>
    </row>
    <row r="797" spans="1:16" s="1626" customFormat="1" ht="23.45" customHeight="1" x14ac:dyDescent="0.3">
      <c r="A797" s="1528">
        <v>979</v>
      </c>
      <c r="B797" s="1619"/>
      <c r="C797" s="1589">
        <v>192</v>
      </c>
      <c r="D797" s="1735" t="s">
        <v>683</v>
      </c>
      <c r="E797" s="1570"/>
      <c r="F797" s="1570"/>
      <c r="G797" s="1690"/>
      <c r="H797" s="1721" t="s">
        <v>23</v>
      </c>
      <c r="I797" s="1766"/>
      <c r="J797" s="1723"/>
      <c r="K797" s="1723"/>
      <c r="L797" s="1728"/>
      <c r="M797" s="1723"/>
      <c r="N797" s="1736"/>
      <c r="P797" s="1577"/>
    </row>
    <row r="798" spans="1:16" s="1626" customFormat="1" ht="18" customHeight="1" x14ac:dyDescent="0.3">
      <c r="A798" s="1528">
        <v>980</v>
      </c>
      <c r="B798" s="1619"/>
      <c r="C798" s="1589"/>
      <c r="D798" s="1761" t="s">
        <v>702</v>
      </c>
      <c r="E798" s="1570"/>
      <c r="F798" s="1570"/>
      <c r="G798" s="1690"/>
      <c r="H798" s="1721"/>
      <c r="I798" s="1766">
        <f>SUM(J798:Q798)</f>
        <v>500</v>
      </c>
      <c r="J798" s="1723"/>
      <c r="K798" s="1723"/>
      <c r="L798" s="1728"/>
      <c r="M798" s="1723"/>
      <c r="N798" s="1736">
        <v>500</v>
      </c>
      <c r="P798" s="1577"/>
    </row>
    <row r="799" spans="1:16" s="1626" customFormat="1" ht="18" customHeight="1" x14ac:dyDescent="0.3">
      <c r="A799" s="1528">
        <v>981</v>
      </c>
      <c r="B799" s="1619"/>
      <c r="C799" s="1589"/>
      <c r="D799" s="1584" t="s">
        <v>745</v>
      </c>
      <c r="E799" s="1570"/>
      <c r="F799" s="1570"/>
      <c r="G799" s="1690"/>
      <c r="H799" s="1721"/>
      <c r="I799" s="1585">
        <f>SUM(J799:Q799)</f>
        <v>0</v>
      </c>
      <c r="J799" s="1723"/>
      <c r="K799" s="1723"/>
      <c r="L799" s="1728"/>
      <c r="M799" s="1723"/>
      <c r="N799" s="1737">
        <v>0</v>
      </c>
      <c r="P799" s="1577"/>
    </row>
    <row r="800" spans="1:16" s="1626" customFormat="1" ht="22.5" customHeight="1" x14ac:dyDescent="0.3">
      <c r="A800" s="1528">
        <v>983</v>
      </c>
      <c r="B800" s="1619"/>
      <c r="C800" s="1589">
        <v>193</v>
      </c>
      <c r="D800" s="1735" t="s">
        <v>685</v>
      </c>
      <c r="E800" s="1570"/>
      <c r="F800" s="1570"/>
      <c r="G800" s="1690"/>
      <c r="H800" s="1721" t="s">
        <v>24</v>
      </c>
      <c r="I800" s="1766"/>
      <c r="J800" s="1723"/>
      <c r="K800" s="1723"/>
      <c r="L800" s="1728"/>
      <c r="M800" s="1723"/>
      <c r="N800" s="1736"/>
      <c r="P800" s="1577"/>
    </row>
    <row r="801" spans="1:16" s="1626" customFormat="1" ht="18" customHeight="1" x14ac:dyDescent="0.3">
      <c r="A801" s="1528">
        <v>984</v>
      </c>
      <c r="B801" s="1619"/>
      <c r="C801" s="1589"/>
      <c r="D801" s="1761" t="s">
        <v>702</v>
      </c>
      <c r="E801" s="1570"/>
      <c r="F801" s="1570"/>
      <c r="G801" s="1690"/>
      <c r="H801" s="1721"/>
      <c r="I801" s="1766">
        <f>SUM(J801:Q801)</f>
        <v>10000</v>
      </c>
      <c r="J801" s="1723"/>
      <c r="K801" s="1723"/>
      <c r="L801" s="1728">
        <v>10000</v>
      </c>
      <c r="M801" s="1723"/>
      <c r="N801" s="1736"/>
      <c r="P801" s="1577"/>
    </row>
    <row r="802" spans="1:16" s="1626" customFormat="1" ht="18" customHeight="1" x14ac:dyDescent="0.3">
      <c r="A802" s="1528">
        <v>985</v>
      </c>
      <c r="B802" s="1619"/>
      <c r="C802" s="1589"/>
      <c r="D802" s="1584" t="s">
        <v>745</v>
      </c>
      <c r="E802" s="1570"/>
      <c r="F802" s="1570"/>
      <c r="G802" s="1690"/>
      <c r="H802" s="1721"/>
      <c r="I802" s="1585">
        <f>SUM(J802:Q802)</f>
        <v>0</v>
      </c>
      <c r="J802" s="1723"/>
      <c r="K802" s="1723"/>
      <c r="L802" s="1727">
        <v>0</v>
      </c>
      <c r="M802" s="1723"/>
      <c r="N802" s="1598"/>
      <c r="P802" s="1577"/>
    </row>
    <row r="803" spans="1:16" s="1626" customFormat="1" ht="31.5" customHeight="1" x14ac:dyDescent="0.3">
      <c r="A803" s="1528">
        <v>987</v>
      </c>
      <c r="B803" s="1619"/>
      <c r="C803" s="1620">
        <v>194</v>
      </c>
      <c r="D803" s="1767" t="s">
        <v>720</v>
      </c>
      <c r="E803" s="1570"/>
      <c r="F803" s="1570"/>
      <c r="G803" s="1690"/>
      <c r="H803" s="1721" t="s">
        <v>24</v>
      </c>
      <c r="I803" s="1766"/>
      <c r="J803" s="1723"/>
      <c r="K803" s="1723"/>
      <c r="L803" s="1728"/>
      <c r="M803" s="1723"/>
      <c r="N803" s="1736"/>
      <c r="P803" s="1577"/>
    </row>
    <row r="804" spans="1:16" s="1626" customFormat="1" ht="18" customHeight="1" x14ac:dyDescent="0.3">
      <c r="A804" s="1528">
        <v>988</v>
      </c>
      <c r="B804" s="1619"/>
      <c r="C804" s="1620"/>
      <c r="D804" s="1767" t="s">
        <v>702</v>
      </c>
      <c r="E804" s="1570"/>
      <c r="F804" s="1570"/>
      <c r="G804" s="1690"/>
      <c r="H804" s="1721"/>
      <c r="I804" s="1766">
        <f>SUM(J804:Q804)</f>
        <v>1500</v>
      </c>
      <c r="J804" s="1723"/>
      <c r="K804" s="1723"/>
      <c r="L804" s="1728"/>
      <c r="M804" s="1723"/>
      <c r="N804" s="1736">
        <v>1500</v>
      </c>
      <c r="P804" s="1577"/>
    </row>
    <row r="805" spans="1:16" s="1626" customFormat="1" ht="18" customHeight="1" x14ac:dyDescent="0.3">
      <c r="A805" s="1528">
        <v>989</v>
      </c>
      <c r="B805" s="1748"/>
      <c r="C805" s="1589"/>
      <c r="D805" s="1584" t="s">
        <v>745</v>
      </c>
      <c r="E805" s="1570"/>
      <c r="F805" s="1570"/>
      <c r="G805" s="1690"/>
      <c r="H805" s="1721"/>
      <c r="I805" s="1585">
        <f>SUM(J805:Q805)</f>
        <v>0</v>
      </c>
      <c r="J805" s="1723"/>
      <c r="K805" s="1723"/>
      <c r="L805" s="1727"/>
      <c r="M805" s="1723"/>
      <c r="N805" s="1598">
        <v>0</v>
      </c>
      <c r="P805" s="1577"/>
    </row>
    <row r="806" spans="1:16" s="1626" customFormat="1" ht="22.5" customHeight="1" x14ac:dyDescent="0.3">
      <c r="A806" s="1528">
        <v>991</v>
      </c>
      <c r="B806" s="1619"/>
      <c r="C806" s="1589">
        <v>195</v>
      </c>
      <c r="D806" s="1735" t="s">
        <v>721</v>
      </c>
      <c r="E806" s="1570"/>
      <c r="F806" s="1570"/>
      <c r="G806" s="1690"/>
      <c r="H806" s="1721" t="s">
        <v>24</v>
      </c>
      <c r="I806" s="1766"/>
      <c r="J806" s="1723"/>
      <c r="K806" s="1723"/>
      <c r="L806" s="1728"/>
      <c r="M806" s="1723"/>
      <c r="N806" s="1736"/>
      <c r="P806" s="1577"/>
    </row>
    <row r="807" spans="1:16" s="1626" customFormat="1" ht="18" customHeight="1" x14ac:dyDescent="0.3">
      <c r="A807" s="1528">
        <v>992</v>
      </c>
      <c r="B807" s="1619"/>
      <c r="C807" s="1589"/>
      <c r="D807" s="1735" t="s">
        <v>702</v>
      </c>
      <c r="E807" s="1570"/>
      <c r="F807" s="1570"/>
      <c r="G807" s="1690"/>
      <c r="H807" s="1721"/>
      <c r="I807" s="1766">
        <f>SUM(J807:Q807)</f>
        <v>3000</v>
      </c>
      <c r="J807" s="1723"/>
      <c r="K807" s="1723"/>
      <c r="L807" s="1728"/>
      <c r="M807" s="1723"/>
      <c r="N807" s="1736">
        <v>3000</v>
      </c>
      <c r="P807" s="1577"/>
    </row>
    <row r="808" spans="1:16" s="1626" customFormat="1" ht="18" customHeight="1" x14ac:dyDescent="0.3">
      <c r="A808" s="1528">
        <v>993</v>
      </c>
      <c r="B808" s="1748"/>
      <c r="C808" s="1589"/>
      <c r="D808" s="1584" t="s">
        <v>745</v>
      </c>
      <c r="E808" s="1570"/>
      <c r="F808" s="1570"/>
      <c r="G808" s="1690"/>
      <c r="H808" s="1721"/>
      <c r="I808" s="1585">
        <f>SUM(J808:Q808)</f>
        <v>0</v>
      </c>
      <c r="J808" s="1723"/>
      <c r="K808" s="1723"/>
      <c r="L808" s="1727"/>
      <c r="M808" s="1723"/>
      <c r="N808" s="1598">
        <v>0</v>
      </c>
      <c r="P808" s="1577"/>
    </row>
    <row r="809" spans="1:16" s="1626" customFormat="1" ht="22.5" customHeight="1" x14ac:dyDescent="0.3">
      <c r="A809" s="1528">
        <v>995</v>
      </c>
      <c r="B809" s="1748"/>
      <c r="C809" s="1589">
        <v>196</v>
      </c>
      <c r="D809" s="1735" t="s">
        <v>722</v>
      </c>
      <c r="E809" s="1570"/>
      <c r="F809" s="1570"/>
      <c r="G809" s="1690"/>
      <c r="H809" s="1721" t="s">
        <v>23</v>
      </c>
      <c r="I809" s="1766"/>
      <c r="J809" s="1723"/>
      <c r="K809" s="1723"/>
      <c r="L809" s="1728"/>
      <c r="M809" s="1723"/>
      <c r="N809" s="1736"/>
      <c r="P809" s="1577"/>
    </row>
    <row r="810" spans="1:16" s="1626" customFormat="1" ht="18" customHeight="1" x14ac:dyDescent="0.3">
      <c r="A810" s="1528">
        <v>996</v>
      </c>
      <c r="B810" s="1748"/>
      <c r="C810" s="1589"/>
      <c r="D810" s="1735" t="s">
        <v>702</v>
      </c>
      <c r="E810" s="1570"/>
      <c r="F810" s="1570"/>
      <c r="G810" s="1690"/>
      <c r="H810" s="1721"/>
      <c r="I810" s="1766">
        <f>SUM(J810:Q810)</f>
        <v>16000</v>
      </c>
      <c r="J810" s="1723"/>
      <c r="K810" s="1723"/>
      <c r="L810" s="1728">
        <v>16000</v>
      </c>
      <c r="M810" s="1723"/>
      <c r="N810" s="1736"/>
      <c r="P810" s="1577"/>
    </row>
    <row r="811" spans="1:16" s="1626" customFormat="1" ht="18" customHeight="1" x14ac:dyDescent="0.3">
      <c r="A811" s="1528">
        <v>997</v>
      </c>
      <c r="B811" s="1748"/>
      <c r="C811" s="1589"/>
      <c r="D811" s="1584" t="s">
        <v>745</v>
      </c>
      <c r="E811" s="1570"/>
      <c r="F811" s="1570"/>
      <c r="G811" s="1690"/>
      <c r="H811" s="1721"/>
      <c r="I811" s="1585">
        <f>SUM(J811:Q811)</f>
        <v>0</v>
      </c>
      <c r="J811" s="1723"/>
      <c r="K811" s="1723"/>
      <c r="L811" s="1727">
        <v>0</v>
      </c>
      <c r="M811" s="1723"/>
      <c r="N811" s="1598"/>
      <c r="P811" s="1577"/>
    </row>
    <row r="812" spans="1:16" s="1626" customFormat="1" ht="22.5" customHeight="1" x14ac:dyDescent="0.3">
      <c r="A812" s="1528">
        <v>999</v>
      </c>
      <c r="B812" s="1748"/>
      <c r="C812" s="1589">
        <v>197</v>
      </c>
      <c r="D812" s="1735" t="s">
        <v>723</v>
      </c>
      <c r="E812" s="1570"/>
      <c r="F812" s="1570"/>
      <c r="G812" s="1690"/>
      <c r="H812" s="1721" t="s">
        <v>24</v>
      </c>
      <c r="I812" s="1766"/>
      <c r="J812" s="1723"/>
      <c r="K812" s="1723"/>
      <c r="L812" s="1728"/>
      <c r="M812" s="1723"/>
      <c r="N812" s="1736"/>
      <c r="P812" s="1577"/>
    </row>
    <row r="813" spans="1:16" s="1626" customFormat="1" ht="18" customHeight="1" x14ac:dyDescent="0.3">
      <c r="A813" s="1528">
        <v>1000</v>
      </c>
      <c r="B813" s="1748"/>
      <c r="C813" s="1589"/>
      <c r="D813" s="1735" t="s">
        <v>702</v>
      </c>
      <c r="E813" s="1570"/>
      <c r="F813" s="1570"/>
      <c r="G813" s="1690"/>
      <c r="H813" s="1721"/>
      <c r="I813" s="1766">
        <f>SUM(J813:Q813)</f>
        <v>5000</v>
      </c>
      <c r="J813" s="1728">
        <v>3758</v>
      </c>
      <c r="K813" s="1728">
        <v>1242</v>
      </c>
      <c r="L813" s="1728"/>
      <c r="M813" s="1723"/>
      <c r="N813" s="1736"/>
      <c r="P813" s="1577"/>
    </row>
    <row r="814" spans="1:16" s="1626" customFormat="1" ht="18" customHeight="1" thickBot="1" x14ac:dyDescent="0.35">
      <c r="A814" s="1528">
        <v>1001</v>
      </c>
      <c r="B814" s="1768"/>
      <c r="C814" s="1769"/>
      <c r="D814" s="1770" t="s">
        <v>745</v>
      </c>
      <c r="E814" s="1771"/>
      <c r="F814" s="1771"/>
      <c r="G814" s="1772"/>
      <c r="H814" s="1773"/>
      <c r="I814" s="1774">
        <f>SUM(J814:Q814)</f>
        <v>0</v>
      </c>
      <c r="J814" s="1774">
        <v>0</v>
      </c>
      <c r="K814" s="1774">
        <v>0</v>
      </c>
      <c r="L814" s="1775"/>
      <c r="M814" s="1776"/>
      <c r="N814" s="1777"/>
      <c r="P814" s="1577"/>
    </row>
    <row r="815" spans="1:16" s="1626" customFormat="1" ht="27" customHeight="1" thickTop="1" x14ac:dyDescent="0.3">
      <c r="A815" s="1528">
        <v>1003</v>
      </c>
      <c r="B815" s="1778"/>
      <c r="C815" s="1779"/>
      <c r="D815" s="1780" t="s">
        <v>13</v>
      </c>
      <c r="E815" s="1781"/>
      <c r="F815" s="1781"/>
      <c r="G815" s="1782"/>
      <c r="H815" s="1516"/>
      <c r="I815" s="1783"/>
      <c r="J815" s="1784"/>
      <c r="K815" s="1784"/>
      <c r="L815" s="1785"/>
      <c r="M815" s="1784"/>
      <c r="N815" s="1786"/>
      <c r="P815" s="1577"/>
    </row>
    <row r="816" spans="1:16" s="1657" customFormat="1" ht="20.100000000000001" customHeight="1" x14ac:dyDescent="0.35">
      <c r="A816" s="1528">
        <v>1004</v>
      </c>
      <c r="B816" s="1787"/>
      <c r="C816" s="1788"/>
      <c r="D816" s="1789" t="s">
        <v>239</v>
      </c>
      <c r="E816" s="1790"/>
      <c r="F816" s="1791"/>
      <c r="G816" s="1792"/>
      <c r="H816" s="1793"/>
      <c r="I816" s="1793">
        <f>SUM(J816:N816)</f>
        <v>15016162</v>
      </c>
      <c r="J816" s="1793">
        <f>J791+J787+J783+J779+J775+J771+J767+J763+J759+J755+J751+J747+J742+J729+J720+J715+J708+J699+J695+J688+J680+J676+J672+J668+J664+J659+J654+J649+J645+J640+J636+J632+J628+J624+J619+J615+J611+J587+J583+J579+J575+J571+J567+J563+J559+J555+J551+J547+J543+J539+J535+J531+J527+J522+J518+J514+J509+J505+J501+J497+J493+J488+J484+J480+J476+J471+J467+J463+J459+J455+J451+J446+J442+J438+J434+J427+J423+J419+J415+J411+J407+J403+J399+J395+J391+J387+J383+J379+J374+J369+J364+J360+J356+J352+J348+J344+J340+J298+J294+J290+J286+J258+J234+J230+J226+J222+J218+J214+J210+J205+J201+J196+J192+J188+J184+J152+J147+J143+J139+J102+J98+J94+J90+J86+J34+J30+J26+J22+J18+J14+J10</f>
        <v>501713</v>
      </c>
      <c r="K816" s="1793">
        <f>K791+K787+K783+K779+K775+K771+K767+K763+K759+K755+K751+K747+K742+K729+K720+K715+K708+K699+K695+K688+K680+K676+K672+K668+K664+K659+K654+K649+K645+K640+K636+K632+K628+K624+K619+K615+K611+K587+K583+K579+K575+K571+K567+K563+K559+K555+K551+K547+K543+K539+K535+K531+K527+K522+K518+K514+K509+K505+K501+K497+K493+K488+K484+K480+K476+K471+K467+K463+K459+K455+K451+K446+K442+K438+K434+K427+K423+K419+K415+K411+K407+K403+K399+K395+K391+K387+K383+K379+K374+K369+K364+K360+K356+K352+K348+K344+K340+K298+K294+K290+K286+K258+K234+K230+K226+K222+K218+K214+K210+K205+K201+K196+K192+K188+K184+K152+K147+K143+K139+K102+K98+K94+K90+K86+K34+K30+K26+K22+K18+K14+K10</f>
        <v>90682</v>
      </c>
      <c r="L816" s="1793">
        <f>L791+L787+L783+L779+L775+L771+L767+L763+L759+L755+L751+L747+L742+L729+L720+L715+L708+L699+L695+L688+L680+L676+L672+L668+L664+L659+L654+L649+L645+L640+L636+L632+L628+L624+L619+L615+L611+L587+L583+L579+L575+L571+L567+L563+L559+L555+L551+L547+L543+L539+L535+L531+L527+L522+L518+L514+L509+L505+L501+L497+L493+L488+L484+L480+L476+L471+L467+L463+L459+L455+L451+L446+L442+L438+L434+L427+L423+L419+L415+L411+L407+L403+L399+L395+L391+L387+L383+L379+L374+L369+L364+L360+L356+L352+L348+L344+L340+L298+L294+L290+L286+L258+L234+L230+L226+L222+L218+L214+L210+L205+L201+L196+L192+L188+L184+L152+L147+L143+L139+L102+L98+L94+L90+L86+L34+L30+L26+L22+L18+L14+L10</f>
        <v>4329397</v>
      </c>
      <c r="M816" s="1793">
        <f>M791+M787+M783+M779+M775+M771+M767+M763+M759+M755+M751+M747+M742+M729+M720+M715+M708+M699+M695+M688+M680+M676+M672+M668+M664+M659+M654+M649+M645+M640+M636+M632+M628+M624+M619+M615+M611+M587+M583+M579+M575+M571+M567+M563+M559+M555+M551+M547+M543+M539+M535+M531+M527+M522+M518+M514+M509+M505+M501+M497+M493+M488+M484+M480+M476+M471+M467+M463+M459+M455+M451+M446+M442+M438+M434+M427+M423+M419+M415+M411+M407+M403+M399+M395+M391+M387+M383+M379+M374+M369+M364+M360+M356+M352+M348+M344+M340+M298+M294+M290+M286+M258+M234+M230+M226+M222+M218+M214+M210+M205+M201+M196+M192+M188+M184+M152+M147+M143+M139+M102+M98+M94+M90+M86+M34+M30+M26+M22+M18+M14+M10</f>
        <v>35385</v>
      </c>
      <c r="N816" s="1794">
        <f>N791+N787+N783+N779+N775+N771+N767+N763+N759+N755+N751+N747+N742+N729+N720+N715+N708+N699+N695+N688+N680+N676+N672+N668+N664+N659+N654+N649+N645+N640+N636+N632+N628+N624+N619+N615+N611+N587+N583+N579+N575+N571+N567+N563+N559+N555+N551+N547+N543+N539+N535+N531+N527+N522+N518+N514+N509+N505+N501+N497+N493+N488+N484+N480+N476+N471+N467+N463+N459+N455+N451+N446+N442+N438+N434+N427+N423+N419+N415+N411+N407+N403+N399+N395+N391+N387+N383+N379+N374+N369+N364+N360+N356+N352+N348+N344+N340+N298+N294+N290+N286+N258+N234+N230+N226+N222+N218+N214+N210+N205+N201+N196+N192+N188+N184+N152+N147+N143+N139+N102+N98+N94+N90+N86+N34+N30+N26+N22+N18+N14+N10</f>
        <v>10058985</v>
      </c>
      <c r="O816" s="1538"/>
      <c r="P816" s="1577"/>
    </row>
    <row r="817" spans="1:16" s="1657" customFormat="1" ht="20.100000000000001" customHeight="1" x14ac:dyDescent="0.35">
      <c r="A817" s="1528">
        <v>1005</v>
      </c>
      <c r="B817" s="1787"/>
      <c r="C817" s="1788"/>
      <c r="D817" s="1761" t="s">
        <v>702</v>
      </c>
      <c r="E817" s="1790"/>
      <c r="F817" s="1791"/>
      <c r="G817" s="1795"/>
      <c r="H817" s="1793"/>
      <c r="I817" s="1796">
        <f>SUM(J817:N817)</f>
        <v>15401367</v>
      </c>
      <c r="J817" s="1796">
        <f>J792+J788+J784+J780+J776+J772+J768+J764+J760+J756+J752+J748+J743+J730+J721+J716+J709+J700+J696+J689+J681+J677+J673+J669+J665+J660+J655+J650+J646+J641+J637+J633+J629+J625+J620+J616+J612+J588+J584+J580+J576+J572+J568+J564+J560+J556+J552+J548+J544+J540+J536+J532+J528+J523+J519+J515+J510+J506+J502+J498+J494+J489+J485+J481+J477+J472+J468+J464+J460+J456+J452+J447+J443+J439+J435+J428+J424+J420+J416+J412+J408+J404+J400+J396+J392+J388+J384+J380+J375+J370+J365+J361+J357+J353+J349+J345+J341+J299+J295+J291+J287+J259+J235+J231+J227+J223+J219+J215+J211+J206+J202+J197+J193+J189+J185+J153+J148+J144+J140+J103+J99+J95+J91+J87+J35+J31+J27+J23+J19+J15+J11+J795+J798+J801+J737+J733+J726+J703+J684+J431+J804+J807+J810+J813</f>
        <v>513139</v>
      </c>
      <c r="K817" s="1796">
        <f>K792+K788+K784+K780+K776+K772+K768+K764+K760+K756+K752+K748+K743+K730+K721+K716+K709+K700+K696+K689+K681+K677+K673+K669+K665+K660+K655+K650+K646+K641+K637+K633+K629+K625+K620+K616+K612+K588+K584+K580+K576+K572+K568+K564+K560+K556+K552+K548+K544+K540+K536+K532+K528+K523+K519+K515+K510+K506+K502+K498+K494+K489+K485+K481+K477+K472+K468+K464+K460+K456+K452+K447+K443+K439+K435+K428+K424+K420+K416+K412+K408+K404+K400+K396+K392+K388+K384+K380+K375+K370+K365+K361+K357+K353+K349+K345+K341+K299+K295+K291+K287+K259+K235+K231+K227+K223+K219+K215+K211+K206+K202+K197+K193+K189+K185+K153+K148+K144+K140+K103+K99+K95+K91+K87+K35+K31+K27+K23+K19+K15+K11+K795+K798+K801+K737+K733+K726+K703+K684+K431+K804+K807+K810+K813</f>
        <v>94199</v>
      </c>
      <c r="L817" s="1796">
        <f>L792+L788+L784+L780+L776+L772+L768+L764+L760+L756+L752+L748+L743+L730+L721+L716+L709+L700+L696+L689+L681+L677+L673+L669+L665+L660+L655+L650+L646+L641+L637+L633+L629+L625+L620+L616+L612+L588+L584+L580+L576+L572+L568+L564+L560+L556+L552+L548+L544+L540+L536+L532+L528+L523+L519+L515+L510+L506+L502+L498+L494+L489+L485+L481+L477+L472+L468+L464+L460+L456+L452+L447+L443+L439+L435+L428+L424+L420+L416+L412+L408+L404+L400+L396+L392+L388+L384+L380+L375+L370+L365+L361+L357+L353+L349+L345+L341+L299+L295+L291+L287+L259+L235+L231+L227+L223+L219+L215+L211+L206+L202+L197+L193+L189+L185+L153+L148+L144+L140+L103+L99+L95+L91+L87+L35+L31+L27+L23+L19+L15+L11+L795+L798+L801+L737+L733+L726+L703+L684+L431+L804+L807+L810+L813</f>
        <v>4466864</v>
      </c>
      <c r="M817" s="1796">
        <f>M792+M788+M784+M780+M776+M772+M768+M764+M760+M756+M752+M748+M743+M730+M721+M716+M709+M700+M696+M689+M681+M677+M673+M669+M665+M660+M655+M650+M646+M641+M637+M633+M629+M625+M620+M616+M612+M588+M584+M580+M576+M572+M568+M564+M560+M556+M552+M548+M544+M540+M536+M532+M528+M523+M519+M515+M510+M506+M502+M498+M494+M489+M485+M481+M477+M472+M468+M464+M460+M456+M452+M447+M443+M439+M435+M428+M424+M420+M416+M412+M408+M404+M400+M396+M392+M388+M384+M380+M375+M370+M365+M361+M357+M353+M349+M345+M341+M299+M295+M291+M287+M259+M235+M231+M227+M223+M219+M215+M211+M206+M202+M197+M193+M189+M185+M153+M148+M144+M140+M103+M99+M95+M91+M87+M35+M31+M27+M23+M19+M15+M11+M795+M798+M801+M737+M733+M726+M703+M684+M431+M804+M807+M810+M813</f>
        <v>47385</v>
      </c>
      <c r="N817" s="1797">
        <f>N792+N788+N784+N780+N776+N772+N768+N764+N760+N756+N752+N748+N743+N730+N721+N716+N709+N700+N696+N689+N681+N677+N673+N669+N665+N660+N655+N650+N646+N641+N637+N633+N629+N625+N620+N616+N612+N588+N584+N580+N576+N572+N568+N564+N560+N556+N552+N548+N544+N540+N536+N532+N528+N523+N519+N515+N510+N506+N502+N498+N494+N489+N485+N481+N477+N472+N468+N464+N460+N456+N452+N447+N443+N439+N435+N428+N424+N420+N416+N412+N408+N404+N400+N396+N392+N388+N384+N380+N375+N370+N365+N361+N357+N353+N349+N345+N341+N299+N295+N291+N287+N259+N235+N231+N227+N223+N219+N215+N211+N206+N202+N197+N193+N189+N185+N153+N148+N144+N140+N103+N99+N95+N91+N87+N35+N31+N27+N23+N19+N15+N11+N795+N798+N801+N737+N733+N726+N703+N684+N431+N804+N807+N810+N813</f>
        <v>10279780</v>
      </c>
      <c r="O817" s="1538"/>
      <c r="P817" s="1577"/>
    </row>
    <row r="818" spans="1:16" s="1657" customFormat="1" ht="20.100000000000001" customHeight="1" thickBot="1" x14ac:dyDescent="0.4">
      <c r="A818" s="1528">
        <v>1006</v>
      </c>
      <c r="B818" s="1666"/>
      <c r="C818" s="1798"/>
      <c r="D818" s="1584" t="s">
        <v>745</v>
      </c>
      <c r="E818" s="1799"/>
      <c r="F818" s="1800"/>
      <c r="G818" s="1801"/>
      <c r="H818" s="1802"/>
      <c r="I818" s="1803">
        <f>SUM(J818:N818)</f>
        <v>7129432</v>
      </c>
      <c r="J818" s="1803">
        <f>J793+J789+J785+J781+J777+J773+J769+J765+J761+J757+J753+J749+J744+J731+J722+J717+J710+J701+J697+J690+J682+J678+J674+J670+J666+J661+J656+J651+J647+J638+J634+J630+J626+J621+J617+J613+J589+J585+J581+J577+J573+J569+J565+J561+J557+J553+J549+J545+J541+J537+J533+J529+J524+J520+J516+J511+J507+J503+J499+J495+J490+J486+J482+J478+J473+J469+J465+J461+J457+J453+J448+J444+J440+J436+J429+J425+J421+J417+J413+J409+J405+J401+J397+J393+J389+J385+J381+J376+J371+J366+J362+J358+J354+J350+J346+J342+J300+J296+J292+J288+J260+J236+J232+J228+J224+J220+J216+J212+J207+J203+J198+J194+J190+J186+J154+J149+J145+J141+J104+J100+J96+J92+J88+J36+J32+J28+J24+J20+J16+J12+J734+J642+J432+J738+J685+J704+J796+J727+J799+J802+J805+J808+J811+J814</f>
        <v>189403</v>
      </c>
      <c r="K818" s="1803">
        <f>K793+K789+K785+K781+K777+K773+K769+K765+K761+K757+K753+K749+K744+K731+K722+K717+K710+K701+K697+K690+K682+K678+K674+K670+K666+K661+K656+K651+K647+K638+K634+K630+K626+K621+K617+K613+K589+K585+K581+K577+K573+K569+K565+K561+K557+K553+K549+K545+K541+K537+K533+K529+K524+K520+K516+K511+K507+K503+K499+K495+K490+K486+K482+K478+K473+K469+K465+K461+K457+K453+K448+K444+K440+K436+K429+K425+K421+K417+K413+K409+K405+K401+K397+K393+K389+K385+K381+K376+K371+K366+K362+K358+K354+K350+K346+K342+K300+K296+K292+K288+K260+K236+K232+K228+K224+K220+K216+K212+K207+K203+K198+K194+K190+K186+K154+K149+K145+K141+K104+K100+K96+K92+K88+K36+K32+K28+K24+K20+K16+K12+K734+K642+K432+K738+K685+K704+K796+K727+K799+K802+K805+K808+K811+K814+K275</f>
        <v>25727</v>
      </c>
      <c r="L818" s="1803">
        <f>L793+L789+L785+L781+L777+L773+L769+L765+L761+L757+L753+L749+L744+L731+L722+L717+L710+L701+L697+L690+L682+L678+L674+L670+L666+L661+L656+L651+L647+L638+L634+L630+L626+L621+L617+L613+L589+L585+L581+L577+L573+L569+L565+L561+L557+L553+L549+L545+L541+L537+L533+L529+L524+L520+L516+L511+L507+L503+L499+L495+L490+L486+L482+L478+L473+L469+L465+L461+L457+L453+L448+L444+L440+L436+L429+L425+L421+L417+L413+L409+L405+L401+L397+L393+L389+L385+L381+L376+L371+L366+L362+L358+L354+L350+L346+L342+L300+L296+L292+L288+L260+L236+L232+L228+L224+L220+L216+L212+L207+L203+L198+L194+L190+L186+L154+L149+L145+L141+L104+L100+L96+L92+L88+L36+L32+L28+L24+L20+L16+L12+L734+L642+L432+L738+L685+L704+L796+L727+L799+L802+L805+L808+L811+L814</f>
        <v>1508496</v>
      </c>
      <c r="M818" s="1803">
        <f>M793+M789+M785+M781+M777+M773+M769+M765+M761+M757+M753+M749+M744+M731+M722+M717+M710+M701+M697+M690+M682+M678+M674+M670+M666+M661+M656+M651+M647+M638+M634+M630+M626+M621+M617+M613+M589+M585+M581+M577+M573+M569+M565+M561+M557+M553+M549+M545+M541+M537+M533+M529+M524+M520+M516+M511+M507+M503+M499+M495+M490+M486+M482+M478+M473+M469+M465+M461+M457+M453+M448+M444+M440+M436+M429+M425+M421+M417+M413+M409+M405+M401+M397+M393+M389+M385+M381+M376+M371+M366+M362+M358+M354+M350+M346+M342+M300+M296+M292+M288+M260+M236+M232+M228+M224+M220+M216+M212+M207+M203+M198+M194+M190+M186+M154+M149+M145+M141+M104+M100+M96+M92+M88+M36+M32+M28+M24+M20+M16+M12+M734+M642+M432+M738+M685+M704+M796+M727+M799+M802+M805+M808+M811+M814</f>
        <v>11336</v>
      </c>
      <c r="N818" s="1804">
        <f>N793+N789+N785+N781+N777+N773+N769+N765+N761+N757+N753+N749+N744+N731+N722+N717+N710+N701+N697+N690+N682+N678+N674+N670+N666+N661+N656+N651+N647+N638+N634+N630+N626+N621+N617+N613+N589+N585+N581+N577+N573+N569+N565+N561+N557+N553+N549+N545+N541+N537+N533+N529+N524+N520+N516+N511+N507+N503+N499+N495+N490+N486+N482+N478+N473+N469+N465+N461+N457+N453+N448+N444+N440+N436+N429+N425+N421+N417+N413+N409+N405+N401+N397+N393+N389+N385+N381+N376+N371+N366+N362+N358+N354+N350+N346+N342+N300+N296+N292+N288+N260+N236+N232+N228+N224+N220+N216+N212+N207+N203+N198+N194+N190+N186+N154+N149+N145+N141+N104+N100+N96+N92+N88+N36+N32+N28+N24+N20+N16+N12+N734+N642+N432+N738+N685+N704+N796+N727+N799+N802+N805+N808+N811+N814</f>
        <v>5394470</v>
      </c>
      <c r="O818" s="1538"/>
      <c r="P818" s="1577"/>
    </row>
    <row r="819" spans="1:16" s="1657" customFormat="1" ht="22.15" customHeight="1" thickTop="1" x14ac:dyDescent="0.35">
      <c r="A819" s="1528">
        <v>1008</v>
      </c>
      <c r="B819" s="1805"/>
      <c r="C819" s="1806"/>
      <c r="D819" s="1807" t="s">
        <v>92</v>
      </c>
      <c r="E819" s="1808"/>
      <c r="F819" s="1808"/>
      <c r="G819" s="1809"/>
      <c r="H819" s="1810"/>
      <c r="I819" s="1811"/>
      <c r="J819" s="1811"/>
      <c r="K819" s="1811"/>
      <c r="L819" s="1811"/>
      <c r="M819" s="1811"/>
      <c r="N819" s="1812"/>
      <c r="O819" s="1538"/>
      <c r="P819" s="1577"/>
    </row>
    <row r="820" spans="1:16" s="1657" customFormat="1" ht="18" customHeight="1" x14ac:dyDescent="0.35">
      <c r="A820" s="1528">
        <v>1009</v>
      </c>
      <c r="B820" s="1813"/>
      <c r="C820" s="1814"/>
      <c r="D820" s="1740" t="s">
        <v>239</v>
      </c>
      <c r="E820" s="1815"/>
      <c r="F820" s="1815"/>
      <c r="G820" s="1816"/>
      <c r="H820" s="1817"/>
      <c r="I820" s="1818">
        <f>SUM(J820:N820)</f>
        <v>12828183</v>
      </c>
      <c r="J820" s="1582">
        <f>J791+J779+J672+J645+J587+J583+J579+J575+J567+J563+J559+J555+J551+J547+J543+J539+J535+J531+J527+J522+J518+J514+J509+J505+J501+J497+J493+J484+J480+J476+J471+J467+J463+J455+J415+J407+J403+J399+J395+J387+J383+J364+J360+J356+J344+J340+J302+J294+J290+J222+J218+J214+J210+J10+J434</f>
        <v>478585</v>
      </c>
      <c r="K820" s="1582">
        <f>K791+K779+K672+K645+K587+K583+K579+K575+K567+K563+K559+K555+K551+K547+K543+K539+K535+K531+K527+K522+K518+K514+K509+K505+K501+K497+K493+K484+K480+K476+K471+K467+K463+K455+K415+K407+K403+K399+K395+K387+K383+K364+K360+K356+K344+K340+K302+K294+K290+K222+K218+K214+K210+K10+K434</f>
        <v>82138</v>
      </c>
      <c r="L820" s="1582">
        <f>L791+L779+L672+L645+L587+L583+L579+L575+L567+L563+L559+L555+L551+L547+L543+L539+L535+L531+L527+L522+L518+L514+L509+L505+L501+L497+L493+L484+L480+L476+L471+L467+L463+L455+L415+L407+L403+L399+L395+L387+L383+L364+L360+L356+L344+L340+L302+L294+L290+L222+L218+L214+L210+L10+L434</f>
        <v>3297968</v>
      </c>
      <c r="M820" s="1582">
        <f>M791+M779+M672+M645+M587+M583+M579+M575+M567+M563+M559+M555+M551+M547+M543+M539+M535+M531+M527+M522+M518+M514+M509+M505+M501+M497+M493+M484+M480+M476+M471+M467+M463+M455+M415+M407+M403+M399+M395+M387+M383+M364+M360+M356+M344+M340+M302+M294+M290+M222+M218+M214+M210+M10+M434</f>
        <v>15175</v>
      </c>
      <c r="N820" s="1583">
        <f>N791+N779+N672+N645+N587+N583+N579+N575+N567+N563+N559+N555+N551+N547+N543+N539+N535+N531+N527+N522+N518+N514+N509+N505+N501+N497+N493+N484+N480+N476+N471+N467+N463+N455+N415+N407+N403+N399+N395+N387+N383+N364+N360+N356+N344+N340+N302+N294+N290+N222+N218+N214+N210+N10+N434</f>
        <v>8954317</v>
      </c>
      <c r="O820" s="1819"/>
      <c r="P820" s="1577"/>
    </row>
    <row r="821" spans="1:16" s="1657" customFormat="1" ht="18" customHeight="1" x14ac:dyDescent="0.35">
      <c r="A821" s="1528">
        <v>1010</v>
      </c>
      <c r="B821" s="1813"/>
      <c r="C821" s="1814"/>
      <c r="D821" s="1735" t="s">
        <v>702</v>
      </c>
      <c r="E821" s="1815"/>
      <c r="F821" s="1815"/>
      <c r="G821" s="1816"/>
      <c r="H821" s="1817"/>
      <c r="I821" s="1820">
        <f>SUM(J821:N821)</f>
        <v>12941258</v>
      </c>
      <c r="J821" s="1564">
        <f t="shared" ref="J821:N822" si="5">J792+J780+J673+J646+J588+J584+J580+J576+J568+J564+J560+J556+J552+J548+J544+J540+J536+J532+J528+J523+J519+J515+J510+J506+J502+J498+J494+J485+J481+J477+J472+J468+J464+J456+J416+J408+J404+J400+J396+J388+J384+J365+J361+J357+J345+J341+J303+J295+J291+J223+J219+J215+J211+J11+J435+J798+J810</f>
        <v>478585</v>
      </c>
      <c r="K821" s="1564">
        <f t="shared" si="5"/>
        <v>82138</v>
      </c>
      <c r="L821" s="1564">
        <f t="shared" si="5"/>
        <v>3316655</v>
      </c>
      <c r="M821" s="1564">
        <f t="shared" si="5"/>
        <v>16675</v>
      </c>
      <c r="N821" s="1565">
        <f t="shared" si="5"/>
        <v>9047205</v>
      </c>
      <c r="O821" s="1819"/>
      <c r="P821" s="1577"/>
    </row>
    <row r="822" spans="1:16" s="1657" customFormat="1" ht="18" customHeight="1" x14ac:dyDescent="0.35">
      <c r="A822" s="1528">
        <v>1011</v>
      </c>
      <c r="B822" s="1813"/>
      <c r="C822" s="1814"/>
      <c r="D822" s="1584" t="s">
        <v>745</v>
      </c>
      <c r="E822" s="1821"/>
      <c r="F822" s="1821"/>
      <c r="G822" s="1822"/>
      <c r="H822" s="1817"/>
      <c r="I822" s="1585">
        <f>SUM(J822:Q822)</f>
        <v>5984144</v>
      </c>
      <c r="J822" s="1586">
        <f t="shared" si="5"/>
        <v>178740</v>
      </c>
      <c r="K822" s="1586">
        <f t="shared" si="5"/>
        <v>20521</v>
      </c>
      <c r="L822" s="1586">
        <f t="shared" si="5"/>
        <v>1100109</v>
      </c>
      <c r="M822" s="1586">
        <f t="shared" si="5"/>
        <v>6411</v>
      </c>
      <c r="N822" s="1652">
        <f t="shared" si="5"/>
        <v>4678363</v>
      </c>
      <c r="O822" s="1819"/>
      <c r="P822" s="1577"/>
    </row>
    <row r="823" spans="1:16" s="1657" customFormat="1" ht="22.15" customHeight="1" x14ac:dyDescent="0.35">
      <c r="A823" s="1528">
        <v>1013</v>
      </c>
      <c r="B823" s="1813"/>
      <c r="C823" s="1814"/>
      <c r="D823" s="1823" t="s">
        <v>93</v>
      </c>
      <c r="E823" s="1815"/>
      <c r="F823" s="1815"/>
      <c r="G823" s="1824"/>
      <c r="H823" s="1817"/>
      <c r="I823" s="1818"/>
      <c r="J823" s="1582"/>
      <c r="K823" s="1582"/>
      <c r="L823" s="1582"/>
      <c r="M823" s="1582"/>
      <c r="N823" s="1583"/>
      <c r="O823" s="1819"/>
      <c r="P823" s="1577"/>
    </row>
    <row r="824" spans="1:16" s="1657" customFormat="1" ht="18" customHeight="1" x14ac:dyDescent="0.35">
      <c r="A824" s="1528">
        <v>1014</v>
      </c>
      <c r="B824" s="1825"/>
      <c r="C824" s="1826"/>
      <c r="D824" s="1827" t="s">
        <v>239</v>
      </c>
      <c r="E824" s="1815"/>
      <c r="F824" s="1815"/>
      <c r="G824" s="1828"/>
      <c r="H824" s="1829"/>
      <c r="I824" s="1830">
        <f>SUM(J824:N824)</f>
        <v>2187979</v>
      </c>
      <c r="J824" s="1831">
        <f>J783+J775+J771+J767+J763+J759+J729+J751+J747+J742+J720+J715+J708+J699+J695+J688+J680+J676+J668+J664+J659+J654+J649+J640+J636+J632+J628+J624+J619+J615+J611+J571+J488+J459+J451+J446+J442+J438+J427+J423+J419+J411+J391+J379+J374+J369+J352+J348+J335+J331+J327+J323+J319+J315+J311+J307+J286+J258+J234+J230+J226+J205+J201+J196+J192+J188+J184+J152+J147+J143+J139+J102+J98+J94+J90+J86+J34+J30+J26+J22+J18+J14+J755+J787</f>
        <v>23128</v>
      </c>
      <c r="K824" s="1831">
        <f>K783+K775+K771+K767+K763+K759+K729+K751+K747+K742+K720+K715+K708+K699+K695+K688+K680+K676+K668+K664+K659+K654+K649+K640+K636+K632+K628+K624+K619+K615+K611+K571+K488+K459+K451+K446+K442+K438+K427+K423+K419+K411+K391+K379+K374+K369+K352+K348+K335+K331+K327+K323+K319+K315+K311+K307+K286+K258+K234+K230+K226+K205+K201+K196+K192+K188+K184+K152+K147+K143+K139+K102+K98+K94+K90+K86+K34+K30+K26+K22+K18+K14+K755+K787</f>
        <v>8544</v>
      </c>
      <c r="L824" s="1831">
        <f>L783+L775+L771+L767+L763+L759+L729+L751+L747+L742+L720+L715+L708+L699+L695+L688+L680+L676+L668+L664+L659+L654+L649+L640+L636+L632+L628+L624+L619+L615+L611+L571+L488+L459+L451+L446+L442+L438+L427+L423+L419+L411+L391+L379+L374+L369+L352+L348+L335+L331+L327+L323+L319+L315+L311+L307+L286+L258+L234+L230+L226+L205+L201+L196+L192+L188+L184+L152+L147+L143+L139+L102+L98+L94+L90+L86+L34+L30+L26+L22+L18+L14+L755+L787</f>
        <v>1031429</v>
      </c>
      <c r="M824" s="1831">
        <f>M783+M775+M771+M767+M763+M759+M729+M751+M747+M742+M720+M715+M708+M699+M695+M688+M680+M676+M668+M664+M659+M654+M649+M640+M636+M632+M628+M624+M619+M615+M611+M571+M488+M459+M451+M446+M442+M438+M427+M423+M419+M411+M391+M379+M374+M369+M352+M348+M335+M331+M327+M323+M319+M315+M311+M307+M286+M258+M234+M230+M226+M205+M201+M196+M192+M188+M184+M152+M147+M143+M139+M102+M98+M94+M90+M86+M34+M30+M26+M22+M18+M14+M755+M787</f>
        <v>20210</v>
      </c>
      <c r="N824" s="1832">
        <f>N783+N775+N771+N767+N763+N759+N729+N751+N747+N742+N720+N715+N708+N699+N695+N688+N680+N676+N668+N664+N659+N654+N649+N640+N636+N632+N628+N624+N619+N615+N611+N571+N488+N459+N451+N446+N442+N438+N427+N423+N419+N411+N391+N379+N374+N369+N352+N348+N335+N331+N327+N323+N319+N315+N311+N307+N286+N258+N234+N230+N226+N205+N201+N196+N192+N188+N184+N152+N147+N143+N139+N102+N98+N94+N90+N86+N34+N30+N26+N22+N18+N14+N755+N787</f>
        <v>1104668</v>
      </c>
      <c r="O824" s="1538"/>
      <c r="P824" s="1577"/>
    </row>
    <row r="825" spans="1:16" s="1657" customFormat="1" ht="18" customHeight="1" x14ac:dyDescent="0.35">
      <c r="A825" s="1528">
        <v>1015</v>
      </c>
      <c r="B825" s="1825"/>
      <c r="C825" s="1826"/>
      <c r="D825" s="1735" t="s">
        <v>702</v>
      </c>
      <c r="E825" s="1815"/>
      <c r="F825" s="1815"/>
      <c r="G825" s="1828"/>
      <c r="H825" s="1833"/>
      <c r="I825" s="1834">
        <f>SUM(J825:N825)</f>
        <v>2460109</v>
      </c>
      <c r="J825" s="1835">
        <f>J784+J776+J772+J768+J764+J760+J730+J752+J748+J743+J721+J716+J709+J700+J696+J689+J681+J677+J669+J665+J660+J655+J650+J641+J637+J633+J629+J625+J620+J616+J612+J572+J489+J460+J452+J447+J443+J439+J428+J424+J420+J412+J392+J380+J375+J370+J353+J349+J336+J332+J328+J324+J320+J316+J312+J308+J287+J259+J235+J231+J227+J206+J202+J197+J193+J189+J185+J153+J148+J144+J140+J103+J99+J95+J91+J87+J35+J31+J27+J23+J19+J15+J756+J788+J801+J795+J737+J733+J726+J703+J684+J431+J804+J807+J813</f>
        <v>34554</v>
      </c>
      <c r="K825" s="1835">
        <f>K784+K776+K772+K768+K764+K760+K730+K752+K748+K743+K721+K716+K709+K700+K696+K689+K681+K677+K669+K665+K660+K655+K650+K641+K637+K633+K629+K625+K620+K616+K612+K572+K489+K460+K452+K447+K443+K439+K428+K424+K420+K412+K392+K380+K375+K370+K353+K349+K336+K332+K328+K324+K320+K316+K312+K308+K287+K259+K235+K231+K227+K206+K202+K197+K193+K189+K185+K153+K148+K144+K140+K103+K99+K95+K91+K87+K35+K31+K27+K23+K19+K15+K756+K788+K801+K795+K737+K733+K726+K703+K684+K431+K804+K807+K813</f>
        <v>12061</v>
      </c>
      <c r="L825" s="1835">
        <f>L784+L776+L772+L768+L764+L760+L730+L752+L748+L743+L721+L716+L709+L700+L696+L689+L681+L677+L669+L665+L660+L655+L650+L641+L637+L633+L629+L625+L620+L616+L612+L572+L489+L460+L452+L447+L443+L439+L428+L424+L420+L412+L392+L380+L375+L370+L353+L349+L336+L332+L328+L324+L320+L316+L312+L308+L287+L259+L235+L231+L227+L206+L202+L197+L193+L189+L185+L153+L148+L144+L140+L103+L99+L95+L91+L87+L35+L31+L27+L23+L19+L15+L756+L788+L801+L795+L737+L733+L726+L703+L684+L431+L804+L807+L813</f>
        <v>1150209</v>
      </c>
      <c r="M825" s="1835">
        <f>M784+M776+M772+M768+M764+M760+M730+M752+M748+M743+M721+M716+M709+M700+M696+M689+M681+M677+M669+M665+M660+M655+M650+M641+M637+M633+M629+M625+M620+M616+M612+M572+M489+M460+M452+M447+M443+M439+M428+M424+M420+M412+M392+M380+M375+M370+M353+M349+M336+M332+M328+M324+M320+M316+M312+M308+M287+M259+M235+M231+M227+M206+M202+M197+M193+M189+M185+M153+M148+M144+M140+M103+M99+M95+M91+M87+M35+M31+M27+M23+M19+M15+M756+M788+M801+M795+M737+M733+M726+M703+M684+M431+M804+M807+M813</f>
        <v>30710</v>
      </c>
      <c r="N825" s="1836">
        <f>N784+N776+N772+N768+N764+N760+N730+N752+N748+N743+N721+N716+N709+N700+N696+N689+N681+N677+N669+N665+N660+N655+N650+N641+N637+N633+N629+N625+N620+N616+N612+N572+N489+N460+N452+N447+N443+N439+N428+N424+N420+N412+N392+N380+N375+N370+N353+N349+N336+N332+N328+N324+N320+N316+N312+N308+N287+N259+N235+N231+N227+N206+N202+N197+N193+N189+N185+N153+N148+N144+N140+N103+N99+N95+N91+N87+N35+N31+N27+N23+N19+N15+N756+N788+N801+N795+N737+N733+N726+N703+N684+N431+N804+N807+N813</f>
        <v>1232575</v>
      </c>
      <c r="O825" s="1538"/>
      <c r="P825" s="1577"/>
    </row>
    <row r="826" spans="1:16" s="1657" customFormat="1" ht="18" customHeight="1" thickBot="1" x14ac:dyDescent="0.4">
      <c r="A826" s="1528">
        <v>1016</v>
      </c>
      <c r="B826" s="1837"/>
      <c r="C826" s="1838"/>
      <c r="D826" s="1839" t="s">
        <v>745</v>
      </c>
      <c r="E826" s="1840"/>
      <c r="F826" s="1840"/>
      <c r="G826" s="1841"/>
      <c r="H826" s="1842"/>
      <c r="I826" s="1843">
        <f>SUM(J826:Q826)</f>
        <v>1145288</v>
      </c>
      <c r="J826" s="1844">
        <f>J785+J777+J773+J769+J765+J761+J731+J753+J749+J744+J722+J717+J710+J701+J697+J690+J682+J678+J670+J666+J661+J656+J651+J638+J634+J630+J626+J621+J617+J613+J573+J490+J461+J453+J448+J444+J440+J429+J425+J421+J413+J393+J381+J376+J371+J354+J350+J337+J333+J329+J325+J321+J317+J313+J309+J288+J260+J236+J232+J228+J207+J203+J198+J194+J190+J186+J154+J149+J145+J141+J104+J100+J96+J92+J88+J36+J32+J28+J24+J20+J16+J757+J789+J734+J642+J432+J738+J685+J704+J796+J727+J802+J805+J808+J814</f>
        <v>10663</v>
      </c>
      <c r="K826" s="1844">
        <f>K785+K777+K773+K769+K765+K761+K731+K753+K749+K744+K722+K717+K710+K701+K697+K690+K682+K678+K670+K666+K661+K656+K651+K638+K634+K630+K626+K621+K617+K613+K573+K490+K461+K453+K448+K444+K440+K429+K425+K421+K413+K393+K381+K376+K371+K354+K350+K337+K333+K329+K325+K321+K317+K313+K309+K288+K260+K236+K232+K228+K207+K203+K198+K194+K190+K186+K154+K149+K145+K141+K104+K100+K96+K92+K88+K36+K32+K28+K24+K20+K16+K757+K789+K734+K642+K432+K738+K685+K704+K796+K727+K802+K805+K808+K814</f>
        <v>5206</v>
      </c>
      <c r="L826" s="1844">
        <f>L785+L777+L773+L769+L765+L761+L731+L753+L749+L744+L722+L717+L710+L701+L697+L690+L682+L678+L670+L666+L661+L656+L651+L638+L634+L630+L626+L621+L617+L613+L573+L490+L461+L453+L448+L444+L440+L429+L425+L421+L413+L393+L381+L376+L371+L354+L350+L337+L333+L329+L325+L321+L317+L313+L309+L288+L260+L236+L232+L228+L207+L203+L198+L194+L190+L186+L154+L149+L145+L141+L104+L100+L96+L92+L88+L36+L32+L28+L24+L20+L16+L757+L789+L734+L642+L432+L738+L685+L704+L796+L727+L802+L805+L808+L814</f>
        <v>408387</v>
      </c>
      <c r="M826" s="1844">
        <f>M785+M777+M773+M769+M765+M761+M731+M753+M749+M744+M722+M717+M710+M701+M697+M690+M682+M678+M670+M666+M661+M656+M651+M638+M634+M630+M626+M621+M617+M613+M573+M490+M461+M453+M448+M444+M440+M429+M425+M421+M413+M393+M381+M376+M371+M354+M350+M337+M333+M329+M325+M321+M317+M313+M309+M288+M260+M236+M232+M228+M207+M203+M198+M194+M190+M186+M154+M149+M145+M141+M104+M100+M96+M92+M88+M36+M32+M28+M24+M20+M16+M757+M789+M734+M642+M432+M738+M685+M704+M796+M727+M802+M805+M808+M814</f>
        <v>4925</v>
      </c>
      <c r="N826" s="1845">
        <f>N785+N777+N773+N769+N765+N761+N731+N753+N749+N744+N722+N717+N710+N701+N697+N690+N682+N678+N670+N666+N661+N656+N651+N638+N634+N630+N626+N621+N617+N613+N573+N490+N461+N453+N448+N444+N440+N429+N425+N421+N413+N393+N381+N376+N371+N354+N350+N337+N333+N329+N325+N321+N317+N313+N309+N288+N260+N236+N232+N228+N207+N203+N198+N194+N190+N186+N154+N149+N145+N141+N104+N100+N96+N92+N88+N36+N32+N28+N24+N20+N16+N757+N789+N734+N642+N432+N738+N685+N704+N796+N727+N802+N805+N808+N814</f>
        <v>716107</v>
      </c>
      <c r="O826" s="1538"/>
      <c r="P826" s="1577"/>
    </row>
    <row r="827" spans="1:16" ht="18" customHeight="1" x14ac:dyDescent="0.3">
      <c r="A827" s="1846"/>
      <c r="B827" s="1847" t="s">
        <v>25</v>
      </c>
      <c r="C827" s="1847"/>
      <c r="D827" s="1847"/>
      <c r="E827" s="1848"/>
      <c r="F827" s="1848"/>
      <c r="G827" s="1848"/>
      <c r="H827" s="1849"/>
      <c r="I827" s="1850"/>
      <c r="J827" s="1851"/>
      <c r="K827" s="1851"/>
      <c r="L827" s="1851"/>
      <c r="M827" s="1848"/>
      <c r="N827" s="1851"/>
    </row>
    <row r="828" spans="1:16" ht="18" customHeight="1" x14ac:dyDescent="0.3">
      <c r="A828" s="1846"/>
      <c r="B828" s="1852" t="s">
        <v>26</v>
      </c>
      <c r="C828" s="1852"/>
      <c r="D828" s="1852"/>
      <c r="E828" s="1851"/>
      <c r="F828" s="1851"/>
      <c r="G828" s="1851"/>
      <c r="H828" s="1849"/>
      <c r="I828" s="1853"/>
      <c r="J828" s="1851"/>
      <c r="K828" s="1851"/>
      <c r="L828" s="1851"/>
      <c r="M828" s="1851"/>
      <c r="N828" s="1851"/>
    </row>
    <row r="829" spans="1:16" ht="18" customHeight="1" x14ac:dyDescent="0.3">
      <c r="A829" s="1846"/>
      <c r="B829" s="1854" t="s">
        <v>27</v>
      </c>
      <c r="C829" s="1854"/>
      <c r="D829" s="1854"/>
      <c r="E829" s="1851"/>
      <c r="F829" s="1851"/>
      <c r="G829" s="1851"/>
      <c r="H829" s="1849"/>
      <c r="I829" s="1853"/>
      <c r="J829" s="1851"/>
      <c r="K829" s="1851"/>
      <c r="L829" s="1851"/>
      <c r="M829" s="1851"/>
      <c r="N829" s="1851"/>
    </row>
    <row r="830" spans="1:16" ht="18" customHeight="1" x14ac:dyDescent="0.3">
      <c r="I830" s="1509"/>
    </row>
    <row r="831" spans="1:16" ht="18" customHeight="1" x14ac:dyDescent="0.35"/>
    <row r="832" spans="1:16" ht="18" customHeight="1" x14ac:dyDescent="0.35"/>
    <row r="833" spans="1:15" s="1857" customFormat="1" ht="18" customHeight="1" x14ac:dyDescent="0.35">
      <c r="A833" s="1528"/>
      <c r="B833" s="1566"/>
      <c r="C833" s="1855"/>
      <c r="D833" s="1856"/>
      <c r="E833" s="1509"/>
      <c r="F833" s="1509"/>
      <c r="G833" s="1509"/>
      <c r="H833" s="1566"/>
      <c r="J833" s="1509"/>
      <c r="K833" s="1509"/>
      <c r="L833" s="1509"/>
      <c r="M833" s="1509"/>
      <c r="N833" s="1509"/>
      <c r="O833" s="1509"/>
    </row>
    <row r="834" spans="1:15" s="1857" customFormat="1" ht="18" customHeight="1" x14ac:dyDescent="0.35">
      <c r="A834" s="1528"/>
      <c r="B834" s="1566"/>
      <c r="C834" s="1855"/>
      <c r="D834" s="1856"/>
      <c r="E834" s="1509"/>
      <c r="F834" s="1509"/>
      <c r="G834" s="1509"/>
      <c r="H834" s="1566"/>
      <c r="J834" s="1509"/>
      <c r="K834" s="1509"/>
      <c r="L834" s="1509"/>
      <c r="M834" s="1509"/>
      <c r="N834" s="1509"/>
      <c r="O834" s="1509"/>
    </row>
    <row r="835" spans="1:15" s="1857" customFormat="1" ht="18" customHeight="1" x14ac:dyDescent="0.35">
      <c r="A835" s="1528"/>
      <c r="B835" s="1566"/>
      <c r="C835" s="1855"/>
      <c r="D835" s="1856"/>
      <c r="E835" s="1509"/>
      <c r="F835" s="1509"/>
      <c r="G835" s="1509"/>
      <c r="H835" s="1566"/>
      <c r="J835" s="1509"/>
      <c r="K835" s="1509"/>
      <c r="L835" s="1509"/>
      <c r="M835" s="1509"/>
      <c r="N835" s="1509"/>
      <c r="O835" s="1509"/>
    </row>
    <row r="836" spans="1:15" s="1857" customFormat="1" ht="18" customHeight="1" x14ac:dyDescent="0.35">
      <c r="A836" s="1528"/>
      <c r="B836" s="1566"/>
      <c r="C836" s="1855"/>
      <c r="D836" s="1856"/>
      <c r="E836" s="1509"/>
      <c r="F836" s="1509"/>
      <c r="G836" s="1509"/>
      <c r="H836" s="1566"/>
      <c r="J836" s="1509"/>
      <c r="K836" s="1509"/>
      <c r="L836" s="1509"/>
      <c r="M836" s="1509"/>
      <c r="N836" s="1509"/>
      <c r="O836" s="1509"/>
    </row>
    <row r="837" spans="1:15" s="1857" customFormat="1" ht="18" customHeight="1" x14ac:dyDescent="0.35">
      <c r="A837" s="1528"/>
      <c r="B837" s="1566"/>
      <c r="C837" s="1855"/>
      <c r="D837" s="1856"/>
      <c r="E837" s="1509"/>
      <c r="F837" s="1509"/>
      <c r="G837" s="1509"/>
      <c r="H837" s="1566"/>
      <c r="J837" s="1509"/>
      <c r="K837" s="1509"/>
      <c r="L837" s="1509"/>
      <c r="M837" s="1509"/>
      <c r="N837" s="1509"/>
      <c r="O837" s="1509"/>
    </row>
    <row r="838" spans="1:15" s="1857" customFormat="1" ht="18" customHeight="1" x14ac:dyDescent="0.35">
      <c r="A838" s="1528"/>
      <c r="B838" s="1566"/>
      <c r="C838" s="1855"/>
      <c r="D838" s="1858"/>
      <c r="E838" s="1509"/>
      <c r="F838" s="1509"/>
      <c r="G838" s="1509"/>
      <c r="H838" s="1566"/>
      <c r="J838" s="1509"/>
      <c r="K838" s="1509"/>
      <c r="L838" s="1509"/>
      <c r="M838" s="1509"/>
      <c r="N838" s="1509"/>
      <c r="O838" s="1509"/>
    </row>
    <row r="839" spans="1:15" s="1857" customFormat="1" ht="18" customHeight="1" x14ac:dyDescent="0.35">
      <c r="A839" s="1528"/>
      <c r="B839" s="1566"/>
      <c r="C839" s="1855"/>
      <c r="D839" s="1858"/>
      <c r="E839" s="1509"/>
      <c r="F839" s="1509"/>
      <c r="G839" s="1509"/>
      <c r="H839" s="1566"/>
      <c r="J839" s="1509"/>
      <c r="K839" s="1509"/>
      <c r="L839" s="1509"/>
      <c r="M839" s="1509"/>
      <c r="N839" s="1509"/>
      <c r="O839" s="1509"/>
    </row>
    <row r="840" spans="1:15" s="1857" customFormat="1" ht="18" customHeight="1" x14ac:dyDescent="0.35">
      <c r="A840" s="1528"/>
      <c r="B840" s="1566"/>
      <c r="C840" s="1855"/>
      <c r="D840" s="1856"/>
      <c r="E840" s="1509"/>
      <c r="F840" s="1509"/>
      <c r="G840" s="1509"/>
      <c r="H840" s="1566"/>
      <c r="J840" s="1509"/>
      <c r="K840" s="1509"/>
      <c r="L840" s="1509"/>
      <c r="M840" s="1509"/>
      <c r="N840" s="1509"/>
      <c r="O840" s="1509"/>
    </row>
    <row r="841" spans="1:15" s="1857" customFormat="1" ht="18" customHeight="1" x14ac:dyDescent="0.35">
      <c r="A841" s="1528"/>
      <c r="B841" s="1566"/>
      <c r="C841" s="1855"/>
      <c r="D841" s="1856"/>
      <c r="E841" s="1509"/>
      <c r="F841" s="1509"/>
      <c r="G841" s="1509"/>
      <c r="H841" s="1566"/>
      <c r="J841" s="1509"/>
      <c r="K841" s="1509"/>
      <c r="L841" s="1509"/>
      <c r="M841" s="1509"/>
      <c r="N841" s="1509"/>
      <c r="O841" s="1509"/>
    </row>
    <row r="842" spans="1:15" s="1857" customFormat="1" ht="18" customHeight="1" x14ac:dyDescent="0.35">
      <c r="A842" s="1528"/>
      <c r="B842" s="1566"/>
      <c r="C842" s="1855"/>
      <c r="D842" s="1856"/>
      <c r="E842" s="1509"/>
      <c r="F842" s="1509"/>
      <c r="G842" s="1509"/>
      <c r="H842" s="1566"/>
      <c r="J842" s="1509"/>
      <c r="K842" s="1509"/>
      <c r="L842" s="1509"/>
      <c r="M842" s="1509"/>
      <c r="N842" s="1509"/>
      <c r="O842" s="1509"/>
    </row>
    <row r="843" spans="1:15" s="1857" customFormat="1" ht="18" customHeight="1" x14ac:dyDescent="0.35">
      <c r="A843" s="1528"/>
      <c r="B843" s="1566"/>
      <c r="C843" s="1855"/>
      <c r="D843" s="1856"/>
      <c r="E843" s="1509"/>
      <c r="F843" s="1509"/>
      <c r="G843" s="1509"/>
      <c r="H843" s="1566"/>
      <c r="J843" s="1509"/>
      <c r="K843" s="1509"/>
      <c r="L843" s="1509"/>
      <c r="M843" s="1509"/>
      <c r="N843" s="1509"/>
      <c r="O843" s="1509"/>
    </row>
    <row r="844" spans="1:15" s="1857" customFormat="1" ht="18" customHeight="1" x14ac:dyDescent="0.35">
      <c r="A844" s="1528"/>
      <c r="B844" s="1566"/>
      <c r="C844" s="1855"/>
      <c r="D844" s="1856"/>
      <c r="E844" s="1509"/>
      <c r="F844" s="1509"/>
      <c r="G844" s="1509"/>
      <c r="H844" s="1566"/>
      <c r="J844" s="1509"/>
      <c r="K844" s="1509"/>
      <c r="L844" s="1509"/>
      <c r="M844" s="1509"/>
      <c r="N844" s="1509"/>
      <c r="O844" s="1509"/>
    </row>
    <row r="845" spans="1:15" s="1857" customFormat="1" ht="18" customHeight="1" x14ac:dyDescent="0.35">
      <c r="A845" s="1528"/>
      <c r="B845" s="1566"/>
      <c r="C845" s="1855"/>
      <c r="D845" s="1856"/>
      <c r="E845" s="1509"/>
      <c r="F845" s="1509"/>
      <c r="G845" s="1509"/>
      <c r="H845" s="1566"/>
      <c r="J845" s="1509"/>
      <c r="K845" s="1509"/>
      <c r="L845" s="1509"/>
      <c r="M845" s="1509"/>
      <c r="N845" s="1509"/>
      <c r="O845" s="1509"/>
    </row>
    <row r="846" spans="1:15" s="1857" customFormat="1" ht="18" customHeight="1" x14ac:dyDescent="0.35">
      <c r="A846" s="1528"/>
      <c r="B846" s="1566"/>
      <c r="C846" s="1855"/>
      <c r="D846" s="1856"/>
      <c r="E846" s="1509"/>
      <c r="F846" s="1509"/>
      <c r="G846" s="1509"/>
      <c r="H846" s="1566"/>
      <c r="J846" s="1509"/>
      <c r="K846" s="1509"/>
      <c r="L846" s="1509"/>
      <c r="M846" s="1509"/>
      <c r="N846" s="1509"/>
      <c r="O846" s="1509"/>
    </row>
    <row r="847" spans="1:15" s="1857" customFormat="1" ht="18" customHeight="1" x14ac:dyDescent="0.35">
      <c r="A847" s="1528"/>
      <c r="B847" s="1566"/>
      <c r="C847" s="1855"/>
      <c r="D847" s="1856"/>
      <c r="E847" s="1509"/>
      <c r="F847" s="1509"/>
      <c r="G847" s="1509"/>
      <c r="H847" s="1566"/>
      <c r="J847" s="1509"/>
      <c r="K847" s="1509"/>
      <c r="L847" s="1509"/>
      <c r="M847" s="1509"/>
      <c r="N847" s="1509"/>
      <c r="O847" s="1509"/>
    </row>
    <row r="848" spans="1:15" s="1857" customFormat="1" ht="18" customHeight="1" x14ac:dyDescent="0.35">
      <c r="A848" s="1528"/>
      <c r="B848" s="1566"/>
      <c r="C848" s="1855"/>
      <c r="D848" s="1856"/>
      <c r="E848" s="1509"/>
      <c r="F848" s="1509"/>
      <c r="G848" s="1509"/>
      <c r="H848" s="1566"/>
      <c r="J848" s="1509"/>
      <c r="K848" s="1509"/>
      <c r="L848" s="1509"/>
      <c r="M848" s="1509"/>
      <c r="N848" s="1509"/>
      <c r="O848" s="1509"/>
    </row>
    <row r="849" spans="4:14" ht="18" customHeight="1" x14ac:dyDescent="0.35"/>
    <row r="850" spans="4:14" ht="18" customHeight="1" x14ac:dyDescent="0.35"/>
    <row r="851" spans="4:14" ht="18" customHeight="1" x14ac:dyDescent="0.35"/>
    <row r="852" spans="4:14" ht="18" customHeight="1" x14ac:dyDescent="0.35"/>
    <row r="853" spans="4:14" ht="18" customHeight="1" x14ac:dyDescent="0.35"/>
    <row r="854" spans="4:14" ht="18" customHeight="1" x14ac:dyDescent="0.35"/>
    <row r="855" spans="4:14" ht="18" customHeight="1" x14ac:dyDescent="0.35"/>
    <row r="856" spans="4:14" ht="18" customHeight="1" x14ac:dyDescent="0.35"/>
    <row r="857" spans="4:14" ht="18" customHeight="1" x14ac:dyDescent="0.35"/>
    <row r="858" spans="4:14" ht="18" customHeight="1" x14ac:dyDescent="0.35"/>
    <row r="859" spans="4:14" ht="18" customHeight="1" x14ac:dyDescent="0.35"/>
    <row r="860" spans="4:14" ht="18" customHeight="1" x14ac:dyDescent="0.35"/>
    <row r="861" spans="4:14" ht="18" customHeight="1" x14ac:dyDescent="0.35"/>
    <row r="862" spans="4:14" ht="18" customHeight="1" x14ac:dyDescent="0.35"/>
    <row r="863" spans="4:14" ht="18" customHeight="1" x14ac:dyDescent="0.35"/>
    <row r="864" spans="4:14" ht="18" customHeight="1" x14ac:dyDescent="0.35">
      <c r="D864" s="1859"/>
      <c r="E864" s="1566"/>
      <c r="F864" s="1566"/>
      <c r="G864" s="1566"/>
      <c r="I864" s="1657"/>
      <c r="J864" s="1566"/>
      <c r="K864" s="1566"/>
      <c r="L864" s="1566"/>
      <c r="M864" s="1566"/>
      <c r="N864" s="1566"/>
    </row>
    <row r="865" spans="1:14" ht="18" customHeight="1" x14ac:dyDescent="0.35">
      <c r="D865" s="1859"/>
      <c r="E865" s="1566"/>
      <c r="F865" s="1566"/>
      <c r="G865" s="1566"/>
      <c r="I865" s="1657"/>
      <c r="J865" s="1566"/>
      <c r="K865" s="1566"/>
      <c r="L865" s="1566"/>
      <c r="M865" s="1566"/>
      <c r="N865" s="1566"/>
    </row>
    <row r="866" spans="1:14" ht="18" customHeight="1" x14ac:dyDescent="0.35">
      <c r="D866" s="1859"/>
      <c r="E866" s="1566"/>
      <c r="F866" s="1566"/>
      <c r="G866" s="1566"/>
      <c r="I866" s="1657"/>
      <c r="J866" s="1566"/>
      <c r="K866" s="1566"/>
      <c r="L866" s="1566"/>
      <c r="M866" s="1566"/>
      <c r="N866" s="1566"/>
    </row>
    <row r="867" spans="1:14" ht="18" customHeight="1" x14ac:dyDescent="0.35">
      <c r="D867" s="1859"/>
      <c r="E867" s="1566"/>
      <c r="F867" s="1566"/>
      <c r="G867" s="1566"/>
      <c r="I867" s="1657"/>
      <c r="J867" s="1566"/>
      <c r="K867" s="1566"/>
      <c r="L867" s="1566"/>
      <c r="M867" s="1566"/>
      <c r="N867" s="1566"/>
    </row>
    <row r="868" spans="1:14" ht="18" customHeight="1" x14ac:dyDescent="0.35"/>
    <row r="869" spans="1:14" ht="18" customHeight="1" x14ac:dyDescent="0.35"/>
    <row r="870" spans="1:14" ht="18" customHeight="1" x14ac:dyDescent="0.35"/>
    <row r="871" spans="1:14" ht="18" customHeight="1" x14ac:dyDescent="0.35"/>
    <row r="872" spans="1:14" ht="18" customHeight="1" x14ac:dyDescent="0.35"/>
    <row r="873" spans="1:14" ht="18" customHeight="1" x14ac:dyDescent="0.35">
      <c r="D873" s="1858"/>
    </row>
    <row r="874" spans="1:14" ht="18" customHeight="1" x14ac:dyDescent="0.35">
      <c r="D874" s="1858"/>
    </row>
    <row r="875" spans="1:14" s="1857" customFormat="1" ht="18" customHeight="1" x14ac:dyDescent="0.35">
      <c r="A875" s="1528"/>
      <c r="B875" s="1566"/>
      <c r="C875" s="1855"/>
      <c r="D875" s="1858"/>
      <c r="E875" s="1509"/>
      <c r="F875" s="1509"/>
      <c r="G875" s="1509"/>
      <c r="H875" s="1566"/>
      <c r="J875" s="1509"/>
      <c r="K875" s="1509"/>
      <c r="L875" s="1509"/>
      <c r="M875" s="1509"/>
      <c r="N875" s="1509"/>
    </row>
    <row r="876" spans="1:14" s="1857" customFormat="1" ht="18" customHeight="1" x14ac:dyDescent="0.35">
      <c r="A876" s="1528"/>
      <c r="B876" s="1566"/>
      <c r="C876" s="1855"/>
      <c r="D876" s="1858"/>
      <c r="E876" s="1509"/>
      <c r="F876" s="1509"/>
      <c r="G876" s="1509"/>
      <c r="H876" s="1566"/>
      <c r="J876" s="1509"/>
      <c r="K876" s="1509"/>
      <c r="L876" s="1509"/>
      <c r="M876" s="1509"/>
      <c r="N876" s="1509"/>
    </row>
    <row r="877" spans="1:14" s="1857" customFormat="1" ht="18" customHeight="1" x14ac:dyDescent="0.35">
      <c r="A877" s="1528"/>
      <c r="B877" s="1566"/>
      <c r="C877" s="1855"/>
      <c r="D877" s="1858"/>
      <c r="E877" s="1509"/>
      <c r="F877" s="1509"/>
      <c r="G877" s="1509"/>
      <c r="H877" s="1566"/>
      <c r="J877" s="1509"/>
      <c r="K877" s="1509"/>
      <c r="L877" s="1509"/>
      <c r="M877" s="1509"/>
      <c r="N877" s="1509"/>
    </row>
    <row r="878" spans="1:14" s="1857" customFormat="1" ht="18" customHeight="1" x14ac:dyDescent="0.35">
      <c r="A878" s="1528"/>
      <c r="B878" s="1566"/>
      <c r="C878" s="1855"/>
      <c r="D878" s="1858"/>
      <c r="E878" s="1509"/>
      <c r="F878" s="1509"/>
      <c r="G878" s="1509"/>
      <c r="H878" s="1566"/>
      <c r="J878" s="1509"/>
      <c r="K878" s="1509"/>
      <c r="L878" s="1509"/>
      <c r="M878" s="1509"/>
      <c r="N878" s="1509"/>
    </row>
    <row r="879" spans="1:14" s="1857" customFormat="1" ht="18" customHeight="1" x14ac:dyDescent="0.35">
      <c r="A879" s="1528"/>
      <c r="B879" s="1566"/>
      <c r="C879" s="1855"/>
      <c r="D879" s="1858"/>
      <c r="E879" s="1509"/>
      <c r="F879" s="1509"/>
      <c r="G879" s="1509"/>
      <c r="H879" s="1566"/>
      <c r="J879" s="1509"/>
      <c r="K879" s="1509"/>
      <c r="L879" s="1509"/>
      <c r="M879" s="1509"/>
      <c r="N879" s="1509"/>
    </row>
    <row r="880" spans="1:14" s="1857" customFormat="1" ht="18" customHeight="1" x14ac:dyDescent="0.35">
      <c r="A880" s="1528"/>
      <c r="B880" s="1566"/>
      <c r="C880" s="1855"/>
      <c r="D880" s="1858"/>
      <c r="E880" s="1509"/>
      <c r="F880" s="1509"/>
      <c r="G880" s="1509"/>
      <c r="H880" s="1566"/>
      <c r="J880" s="1509"/>
      <c r="K880" s="1509"/>
      <c r="L880" s="1509"/>
      <c r="M880" s="1509"/>
      <c r="N880" s="1509"/>
    </row>
    <row r="881" spans="1:14" s="1857" customFormat="1" ht="18" customHeight="1" x14ac:dyDescent="0.35">
      <c r="A881" s="1528"/>
      <c r="B881" s="1566"/>
      <c r="C881" s="1855"/>
      <c r="D881" s="1858"/>
      <c r="E881" s="1509"/>
      <c r="F881" s="1509"/>
      <c r="G881" s="1509"/>
      <c r="H881" s="1566"/>
      <c r="J881" s="1509"/>
      <c r="K881" s="1509"/>
      <c r="L881" s="1509"/>
      <c r="M881" s="1509"/>
      <c r="N881" s="1509"/>
    </row>
    <row r="882" spans="1:14" ht="18" customHeight="1" x14ac:dyDescent="0.35"/>
    <row r="883" spans="1:14" ht="18" customHeight="1" x14ac:dyDescent="0.35"/>
    <row r="884" spans="1:14" ht="18" customHeight="1" x14ac:dyDescent="0.35"/>
    <row r="885" spans="1:14" ht="18" customHeight="1" x14ac:dyDescent="0.35"/>
    <row r="886" spans="1:14" ht="18" customHeight="1" x14ac:dyDescent="0.35"/>
    <row r="887" spans="1:14" ht="18" customHeight="1" x14ac:dyDescent="0.35"/>
    <row r="888" spans="1:14" ht="18" customHeight="1" x14ac:dyDescent="0.35"/>
    <row r="889" spans="1:14" ht="18" customHeight="1" x14ac:dyDescent="0.35"/>
    <row r="890" spans="1:14" ht="18" customHeight="1" x14ac:dyDescent="0.35"/>
    <row r="891" spans="1:14" ht="18" customHeight="1" x14ac:dyDescent="0.35"/>
    <row r="892" spans="1:14" ht="18" customHeight="1" x14ac:dyDescent="0.35"/>
    <row r="893" spans="1:14" ht="18" customHeight="1" x14ac:dyDescent="0.35"/>
    <row r="894" spans="1:14" ht="18" customHeight="1" x14ac:dyDescent="0.35"/>
    <row r="895" spans="1:14" s="1857" customFormat="1" ht="18" customHeight="1" x14ac:dyDescent="0.35">
      <c r="A895" s="1528"/>
      <c r="B895" s="1566"/>
      <c r="C895" s="1855"/>
      <c r="D895" s="1858"/>
      <c r="E895" s="1509"/>
      <c r="F895" s="1509"/>
      <c r="G895" s="1509"/>
      <c r="H895" s="1566"/>
      <c r="J895" s="1509"/>
      <c r="K895" s="1509"/>
      <c r="L895" s="1509"/>
      <c r="M895" s="1509"/>
      <c r="N895" s="1509"/>
    </row>
    <row r="896" spans="1:14" ht="18" customHeight="1" x14ac:dyDescent="0.35"/>
    <row r="897" spans="1:15" s="1857" customFormat="1" ht="18" customHeight="1" x14ac:dyDescent="0.35">
      <c r="A897" s="1528"/>
      <c r="B897" s="1566"/>
      <c r="C897" s="1855"/>
      <c r="D897" s="1856"/>
      <c r="E897" s="1509"/>
      <c r="F897" s="1509"/>
      <c r="G897" s="1509"/>
      <c r="H897" s="1566"/>
      <c r="J897" s="1509"/>
      <c r="K897" s="1509"/>
      <c r="L897" s="1509"/>
      <c r="M897" s="1509"/>
      <c r="N897" s="1509"/>
      <c r="O897" s="1509"/>
    </row>
    <row r="898" spans="1:15" s="1857" customFormat="1" ht="18" customHeight="1" x14ac:dyDescent="0.35">
      <c r="A898" s="1528"/>
      <c r="B898" s="1566"/>
      <c r="C898" s="1855"/>
      <c r="D898" s="1856"/>
      <c r="E898" s="1509"/>
      <c r="F898" s="1509"/>
      <c r="G898" s="1509"/>
      <c r="H898" s="1566"/>
      <c r="J898" s="1509"/>
      <c r="K898" s="1509"/>
      <c r="L898" s="1509"/>
      <c r="M898" s="1509"/>
      <c r="N898" s="1509"/>
      <c r="O898" s="1509"/>
    </row>
    <row r="899" spans="1:15" s="1857" customFormat="1" x14ac:dyDescent="0.35">
      <c r="A899" s="1528"/>
      <c r="B899" s="1566"/>
      <c r="C899" s="1855"/>
      <c r="D899" s="1856"/>
      <c r="E899" s="1509"/>
      <c r="F899" s="1509"/>
      <c r="G899" s="1509"/>
      <c r="H899" s="1566"/>
      <c r="J899" s="1509"/>
      <c r="K899" s="1509"/>
      <c r="L899" s="1509"/>
      <c r="M899" s="1509"/>
      <c r="N899" s="1509"/>
      <c r="O899" s="1509"/>
    </row>
    <row r="900" spans="1:15" s="1857" customFormat="1" x14ac:dyDescent="0.35">
      <c r="A900" s="1528"/>
      <c r="B900" s="1566"/>
      <c r="C900" s="1855"/>
      <c r="D900" s="1856"/>
      <c r="E900" s="1509"/>
      <c r="F900" s="1509"/>
      <c r="G900" s="1509"/>
      <c r="H900" s="1566"/>
      <c r="J900" s="1509"/>
      <c r="K900" s="1509"/>
      <c r="L900" s="1509"/>
      <c r="M900" s="1509"/>
      <c r="N900" s="1509"/>
      <c r="O900" s="1509"/>
    </row>
    <row r="901" spans="1:15" s="1857" customFormat="1" x14ac:dyDescent="0.35">
      <c r="A901" s="1528"/>
      <c r="B901" s="1566"/>
      <c r="C901" s="1855"/>
      <c r="D901" s="1856"/>
      <c r="E901" s="1509"/>
      <c r="F901" s="1509"/>
      <c r="G901" s="1509"/>
      <c r="H901" s="1566"/>
      <c r="J901" s="1509"/>
      <c r="K901" s="1509"/>
      <c r="L901" s="1509"/>
      <c r="M901" s="1509"/>
      <c r="N901" s="1509"/>
      <c r="O901" s="1509"/>
    </row>
    <row r="902" spans="1:15" s="1857" customFormat="1" x14ac:dyDescent="0.35">
      <c r="A902" s="1528"/>
      <c r="B902" s="1566"/>
      <c r="C902" s="1855"/>
      <c r="D902" s="1856"/>
      <c r="E902" s="1509"/>
      <c r="F902" s="1509"/>
      <c r="G902" s="1509"/>
      <c r="H902" s="1566"/>
      <c r="J902" s="1509"/>
      <c r="K902" s="1509"/>
      <c r="L902" s="1509"/>
      <c r="M902" s="1509"/>
      <c r="N902" s="1509"/>
      <c r="O902" s="1509"/>
    </row>
    <row r="903" spans="1:15" s="1857" customFormat="1" x14ac:dyDescent="0.35">
      <c r="A903" s="1528"/>
      <c r="B903" s="1566"/>
      <c r="C903" s="1855"/>
      <c r="D903" s="1856"/>
      <c r="E903" s="1509"/>
      <c r="F903" s="1509"/>
      <c r="G903" s="1509"/>
      <c r="H903" s="1566"/>
      <c r="J903" s="1509"/>
      <c r="K903" s="1509"/>
      <c r="L903" s="1509"/>
      <c r="M903" s="1509"/>
      <c r="N903" s="1509"/>
      <c r="O903" s="1509"/>
    </row>
    <row r="904" spans="1:15" s="1857" customFormat="1" x14ac:dyDescent="0.35">
      <c r="A904" s="1528"/>
      <c r="B904" s="1566"/>
      <c r="C904" s="1855"/>
      <c r="D904" s="1856"/>
      <c r="E904" s="1509"/>
      <c r="F904" s="1509"/>
      <c r="G904" s="1509"/>
      <c r="H904" s="1566"/>
      <c r="J904" s="1509"/>
      <c r="K904" s="1509"/>
      <c r="L904" s="1509"/>
      <c r="M904" s="1509"/>
      <c r="N904" s="1509"/>
      <c r="O904" s="1509"/>
    </row>
    <row r="905" spans="1:15" s="1857" customFormat="1" x14ac:dyDescent="0.35">
      <c r="A905" s="1528"/>
      <c r="B905" s="1566"/>
      <c r="C905" s="1855"/>
      <c r="D905" s="1856"/>
      <c r="E905" s="1509"/>
      <c r="F905" s="1509"/>
      <c r="G905" s="1509"/>
      <c r="H905" s="1566"/>
      <c r="J905" s="1509"/>
      <c r="K905" s="1509"/>
      <c r="L905" s="1509"/>
      <c r="M905" s="1509"/>
      <c r="N905" s="1509"/>
      <c r="O905" s="1509"/>
    </row>
    <row r="906" spans="1:15" s="1857" customFormat="1" x14ac:dyDescent="0.35">
      <c r="A906" s="1528"/>
      <c r="B906" s="1566"/>
      <c r="C906" s="1855"/>
      <c r="D906" s="1856"/>
      <c r="E906" s="1509"/>
      <c r="F906" s="1509"/>
      <c r="G906" s="1509"/>
      <c r="H906" s="1566"/>
      <c r="J906" s="1509"/>
      <c r="K906" s="1509"/>
      <c r="L906" s="1509"/>
      <c r="M906" s="1509"/>
      <c r="N906" s="1509"/>
      <c r="O906" s="1509"/>
    </row>
    <row r="907" spans="1:15" s="1857" customFormat="1" x14ac:dyDescent="0.35">
      <c r="A907" s="1528"/>
      <c r="B907" s="1566"/>
      <c r="C907" s="1855"/>
      <c r="D907" s="1856"/>
      <c r="E907" s="1509"/>
      <c r="F907" s="1509"/>
      <c r="G907" s="1509"/>
      <c r="H907" s="1566"/>
      <c r="J907" s="1509"/>
      <c r="K907" s="1509"/>
      <c r="L907" s="1509"/>
      <c r="M907" s="1509"/>
      <c r="N907" s="1509"/>
      <c r="O907" s="1509"/>
    </row>
    <row r="908" spans="1:15" s="1857" customFormat="1" x14ac:dyDescent="0.35">
      <c r="A908" s="1528"/>
      <c r="B908" s="1566"/>
      <c r="C908" s="1855"/>
      <c r="D908" s="1856"/>
      <c r="E908" s="1509"/>
      <c r="F908" s="1509"/>
      <c r="G908" s="1509"/>
      <c r="H908" s="1566"/>
      <c r="J908" s="1509"/>
      <c r="K908" s="1509"/>
      <c r="L908" s="1509"/>
      <c r="M908" s="1509"/>
      <c r="N908" s="1509"/>
      <c r="O908" s="1509"/>
    </row>
    <row r="909" spans="1:15" s="1857" customFormat="1" x14ac:dyDescent="0.35">
      <c r="A909" s="1528"/>
      <c r="B909" s="1566"/>
      <c r="C909" s="1855"/>
      <c r="D909" s="1856"/>
      <c r="E909" s="1509"/>
      <c r="F909" s="1509"/>
      <c r="G909" s="1509"/>
      <c r="H909" s="1566"/>
      <c r="J909" s="1509"/>
      <c r="K909" s="1509"/>
      <c r="L909" s="1509"/>
      <c r="M909" s="1509"/>
      <c r="N909" s="1509"/>
      <c r="O909" s="1509"/>
    </row>
    <row r="910" spans="1:15" s="1857" customFormat="1" x14ac:dyDescent="0.35">
      <c r="A910" s="1528"/>
      <c r="B910" s="1566"/>
      <c r="C910" s="1855"/>
      <c r="D910" s="1856"/>
      <c r="E910" s="1509"/>
      <c r="F910" s="1509"/>
      <c r="G910" s="1509"/>
      <c r="H910" s="1566"/>
      <c r="J910" s="1509"/>
      <c r="K910" s="1509"/>
      <c r="L910" s="1509"/>
      <c r="M910" s="1509"/>
      <c r="N910" s="1509"/>
      <c r="O910" s="1509"/>
    </row>
    <row r="911" spans="1:15" s="1857" customFormat="1" x14ac:dyDescent="0.35">
      <c r="A911" s="1528"/>
      <c r="B911" s="1566"/>
      <c r="C911" s="1855"/>
      <c r="D911" s="1856"/>
      <c r="E911" s="1509"/>
      <c r="F911" s="1509"/>
      <c r="G911" s="1509"/>
      <c r="H911" s="1566"/>
      <c r="J911" s="1509"/>
      <c r="K911" s="1509"/>
      <c r="L911" s="1509"/>
      <c r="M911" s="1509"/>
      <c r="N911" s="1509"/>
      <c r="O911" s="1509"/>
    </row>
    <row r="912" spans="1:15" s="1857" customFormat="1" x14ac:dyDescent="0.35">
      <c r="A912" s="1528"/>
      <c r="B912" s="1566"/>
      <c r="C912" s="1855"/>
      <c r="D912" s="1856"/>
      <c r="E912" s="1509"/>
      <c r="F912" s="1509"/>
      <c r="G912" s="1509"/>
      <c r="H912" s="1566"/>
      <c r="J912" s="1509"/>
      <c r="K912" s="1509"/>
      <c r="L912" s="1509"/>
      <c r="M912" s="1509"/>
      <c r="N912" s="1509"/>
      <c r="O912" s="1509"/>
    </row>
    <row r="913" spans="1:15" s="1857" customFormat="1" x14ac:dyDescent="0.35">
      <c r="A913" s="1528"/>
      <c r="B913" s="1566"/>
      <c r="C913" s="1855"/>
      <c r="D913" s="1856"/>
      <c r="E913" s="1509"/>
      <c r="F913" s="1509"/>
      <c r="G913" s="1509"/>
      <c r="H913" s="1566"/>
      <c r="J913" s="1509"/>
      <c r="K913" s="1509"/>
      <c r="L913" s="1509"/>
      <c r="M913" s="1509"/>
      <c r="N913" s="1509"/>
      <c r="O913" s="1509"/>
    </row>
    <row r="914" spans="1:15" s="1857" customFormat="1" x14ac:dyDescent="0.35">
      <c r="A914" s="1528"/>
      <c r="B914" s="1566"/>
      <c r="C914" s="1855"/>
      <c r="D914" s="1856"/>
      <c r="E914" s="1509"/>
      <c r="F914" s="1509"/>
      <c r="G914" s="1509"/>
      <c r="H914" s="1566"/>
      <c r="J914" s="1509"/>
      <c r="K914" s="1509"/>
      <c r="L914" s="1509"/>
      <c r="M914" s="1509"/>
      <c r="N914" s="1509"/>
      <c r="O914" s="1509"/>
    </row>
    <row r="915" spans="1:15" s="1857" customFormat="1" x14ac:dyDescent="0.35">
      <c r="A915" s="1528"/>
      <c r="B915" s="1566"/>
      <c r="C915" s="1855"/>
      <c r="D915" s="1856"/>
      <c r="E915" s="1509"/>
      <c r="F915" s="1509"/>
      <c r="G915" s="1509"/>
      <c r="H915" s="1566"/>
      <c r="J915" s="1509"/>
      <c r="K915" s="1509"/>
      <c r="L915" s="1509"/>
      <c r="M915" s="1509"/>
      <c r="N915" s="1509"/>
      <c r="O915" s="1509"/>
    </row>
    <row r="916" spans="1:15" s="1857" customFormat="1" x14ac:dyDescent="0.35">
      <c r="A916" s="1528"/>
      <c r="B916" s="1566"/>
      <c r="C916" s="1855"/>
      <c r="D916" s="1856"/>
      <c r="E916" s="1509"/>
      <c r="F916" s="1509"/>
      <c r="G916" s="1509"/>
      <c r="H916" s="1566"/>
      <c r="J916" s="1509"/>
      <c r="K916" s="1509"/>
      <c r="L916" s="1509"/>
      <c r="M916" s="1509"/>
      <c r="N916" s="1509"/>
      <c r="O916" s="1509"/>
    </row>
    <row r="917" spans="1:15" s="1857" customFormat="1" x14ac:dyDescent="0.35">
      <c r="A917" s="1528"/>
      <c r="B917" s="1566"/>
      <c r="C917" s="1855"/>
      <c r="D917" s="1856"/>
      <c r="E917" s="1509"/>
      <c r="F917" s="1509"/>
      <c r="G917" s="1509"/>
      <c r="H917" s="1566"/>
      <c r="J917" s="1509"/>
      <c r="K917" s="1509"/>
      <c r="L917" s="1509"/>
      <c r="M917" s="1509"/>
      <c r="N917" s="1509"/>
      <c r="O917" s="1509"/>
    </row>
    <row r="918" spans="1:15" s="1857" customFormat="1" x14ac:dyDescent="0.35">
      <c r="A918" s="1528"/>
      <c r="B918" s="1566"/>
      <c r="C918" s="1855"/>
      <c r="D918" s="1856"/>
      <c r="E918" s="1509"/>
      <c r="F918" s="1509"/>
      <c r="G918" s="1509"/>
      <c r="H918" s="1566"/>
      <c r="J918" s="1509"/>
      <c r="K918" s="1509"/>
      <c r="L918" s="1509"/>
      <c r="M918" s="1509"/>
      <c r="N918" s="1509"/>
      <c r="O918" s="1509"/>
    </row>
    <row r="919" spans="1:15" s="1857" customFormat="1" x14ac:dyDescent="0.35">
      <c r="A919" s="1528"/>
      <c r="B919" s="1566"/>
      <c r="C919" s="1855"/>
      <c r="D919" s="1856"/>
      <c r="E919" s="1509"/>
      <c r="F919" s="1509"/>
      <c r="G919" s="1509"/>
      <c r="H919" s="1566"/>
      <c r="J919" s="1509"/>
      <c r="K919" s="1509"/>
      <c r="L919" s="1509"/>
      <c r="M919" s="1509"/>
      <c r="N919" s="1509"/>
      <c r="O919" s="1509"/>
    </row>
    <row r="920" spans="1:15" s="1857" customFormat="1" x14ac:dyDescent="0.35">
      <c r="A920" s="1528"/>
      <c r="B920" s="1566"/>
      <c r="C920" s="1855"/>
      <c r="D920" s="1856"/>
      <c r="E920" s="1509"/>
      <c r="F920" s="1509"/>
      <c r="G920" s="1509"/>
      <c r="H920" s="1566"/>
      <c r="J920" s="1509"/>
      <c r="K920" s="1509"/>
      <c r="L920" s="1509"/>
      <c r="M920" s="1509"/>
      <c r="N920" s="1509"/>
      <c r="O920" s="1509"/>
    </row>
    <row r="921" spans="1:15" s="1857" customFormat="1" x14ac:dyDescent="0.35">
      <c r="A921" s="1528"/>
      <c r="B921" s="1566"/>
      <c r="C921" s="1855"/>
      <c r="D921" s="1856"/>
      <c r="E921" s="1509"/>
      <c r="F921" s="1509"/>
      <c r="G921" s="1509"/>
      <c r="H921" s="1566"/>
      <c r="J921" s="1509"/>
      <c r="K921" s="1509"/>
      <c r="L921" s="1509"/>
      <c r="M921" s="1509"/>
      <c r="N921" s="1509"/>
      <c r="O921" s="1509"/>
    </row>
    <row r="922" spans="1:15" s="1857" customFormat="1" x14ac:dyDescent="0.35">
      <c r="A922" s="1528"/>
      <c r="B922" s="1566"/>
      <c r="C922" s="1855"/>
      <c r="D922" s="1856"/>
      <c r="E922" s="1509"/>
      <c r="F922" s="1509"/>
      <c r="G922" s="1509"/>
      <c r="H922" s="1566"/>
      <c r="J922" s="1509"/>
      <c r="K922" s="1509"/>
      <c r="L922" s="1509"/>
      <c r="M922" s="1509"/>
      <c r="N922" s="1509"/>
      <c r="O922" s="1509"/>
    </row>
    <row r="923" spans="1:15" s="1857" customFormat="1" x14ac:dyDescent="0.35">
      <c r="A923" s="1528"/>
      <c r="B923" s="1566"/>
      <c r="C923" s="1855"/>
      <c r="D923" s="1856"/>
      <c r="E923" s="1509"/>
      <c r="F923" s="1509"/>
      <c r="G923" s="1509"/>
      <c r="H923" s="1566"/>
      <c r="J923" s="1509"/>
      <c r="K923" s="1509"/>
      <c r="L923" s="1509"/>
      <c r="M923" s="1509"/>
      <c r="N923" s="1509"/>
      <c r="O923" s="1509"/>
    </row>
    <row r="924" spans="1:15" s="1857" customFormat="1" x14ac:dyDescent="0.35">
      <c r="A924" s="1528"/>
      <c r="B924" s="1566"/>
      <c r="C924" s="1855"/>
      <c r="D924" s="1856"/>
      <c r="E924" s="1509"/>
      <c r="F924" s="1509"/>
      <c r="G924" s="1509"/>
      <c r="H924" s="1566"/>
      <c r="J924" s="1509"/>
      <c r="K924" s="1509"/>
      <c r="L924" s="1509"/>
      <c r="M924" s="1509"/>
      <c r="N924" s="1509"/>
      <c r="O924" s="1509"/>
    </row>
    <row r="925" spans="1:15" s="1857" customFormat="1" x14ac:dyDescent="0.35">
      <c r="A925" s="1528"/>
      <c r="B925" s="1566"/>
      <c r="C925" s="1855"/>
      <c r="D925" s="1856"/>
      <c r="E925" s="1509"/>
      <c r="F925" s="1509"/>
      <c r="G925" s="1509"/>
      <c r="H925" s="1566"/>
      <c r="J925" s="1509"/>
      <c r="K925" s="1509"/>
      <c r="L925" s="1509"/>
      <c r="M925" s="1509"/>
      <c r="N925" s="1509"/>
      <c r="O925" s="1509"/>
    </row>
    <row r="926" spans="1:15" s="1857" customFormat="1" x14ac:dyDescent="0.35">
      <c r="A926" s="1528"/>
      <c r="B926" s="1566"/>
      <c r="C926" s="1855"/>
      <c r="D926" s="1856"/>
      <c r="E926" s="1509"/>
      <c r="F926" s="1509"/>
      <c r="G926" s="1509"/>
      <c r="H926" s="1566"/>
      <c r="J926" s="1509"/>
      <c r="K926" s="1509"/>
      <c r="L926" s="1509"/>
      <c r="M926" s="1509"/>
      <c r="N926" s="1509"/>
      <c r="O926" s="1509"/>
    </row>
    <row r="927" spans="1:15" s="1857" customFormat="1" x14ac:dyDescent="0.35">
      <c r="A927" s="1528"/>
      <c r="B927" s="1566"/>
      <c r="C927" s="1855"/>
      <c r="D927" s="1856"/>
      <c r="E927" s="1509"/>
      <c r="F927" s="1509"/>
      <c r="G927" s="1509"/>
      <c r="H927" s="1566"/>
      <c r="J927" s="1509"/>
      <c r="K927" s="1509"/>
      <c r="L927" s="1509"/>
      <c r="M927" s="1509"/>
      <c r="N927" s="1509"/>
      <c r="O927" s="1509"/>
    </row>
    <row r="928" spans="1:15" s="1857" customFormat="1" x14ac:dyDescent="0.35">
      <c r="A928" s="1528"/>
      <c r="B928" s="1566"/>
      <c r="C928" s="1855"/>
      <c r="D928" s="1856"/>
      <c r="E928" s="1509"/>
      <c r="F928" s="1509"/>
      <c r="G928" s="1509"/>
      <c r="H928" s="1566"/>
      <c r="J928" s="1509"/>
      <c r="K928" s="1509"/>
      <c r="L928" s="1509"/>
      <c r="M928" s="1509"/>
      <c r="N928" s="1509"/>
      <c r="O928" s="1509"/>
    </row>
    <row r="929" spans="1:15" s="1857" customFormat="1" x14ac:dyDescent="0.35">
      <c r="A929" s="1528"/>
      <c r="B929" s="1566"/>
      <c r="C929" s="1855"/>
      <c r="D929" s="1856"/>
      <c r="E929" s="1509"/>
      <c r="F929" s="1509"/>
      <c r="G929" s="1509"/>
      <c r="H929" s="1566"/>
      <c r="J929" s="1509"/>
      <c r="K929" s="1509"/>
      <c r="L929" s="1509"/>
      <c r="M929" s="1509"/>
      <c r="N929" s="1509"/>
      <c r="O929" s="1509"/>
    </row>
    <row r="930" spans="1:15" s="1857" customFormat="1" x14ac:dyDescent="0.35">
      <c r="A930" s="1528"/>
      <c r="B930" s="1566"/>
      <c r="C930" s="1855"/>
      <c r="D930" s="1856"/>
      <c r="E930" s="1509"/>
      <c r="F930" s="1509"/>
      <c r="G930" s="1509"/>
      <c r="H930" s="1566"/>
      <c r="J930" s="1509"/>
      <c r="K930" s="1509"/>
      <c r="L930" s="1509"/>
      <c r="M930" s="1509"/>
      <c r="N930" s="1509"/>
      <c r="O930" s="1509"/>
    </row>
    <row r="931" spans="1:15" s="1857" customFormat="1" x14ac:dyDescent="0.35">
      <c r="A931" s="1528"/>
      <c r="B931" s="1566"/>
      <c r="C931" s="1855"/>
      <c r="D931" s="1856"/>
      <c r="E931" s="1509"/>
      <c r="F931" s="1509"/>
      <c r="G931" s="1509"/>
      <c r="H931" s="1566"/>
      <c r="J931" s="1509"/>
      <c r="K931" s="1509"/>
      <c r="L931" s="1509"/>
      <c r="M931" s="1509"/>
      <c r="N931" s="1509"/>
      <c r="O931" s="1509"/>
    </row>
    <row r="932" spans="1:15" s="1857" customFormat="1" x14ac:dyDescent="0.35">
      <c r="A932" s="1528"/>
      <c r="B932" s="1566"/>
      <c r="C932" s="1855"/>
      <c r="D932" s="1856"/>
      <c r="E932" s="1509"/>
      <c r="F932" s="1509"/>
      <c r="G932" s="1509"/>
      <c r="H932" s="1566"/>
      <c r="J932" s="1509"/>
      <c r="K932" s="1509"/>
      <c r="L932" s="1509"/>
      <c r="M932" s="1509"/>
      <c r="N932" s="1509"/>
      <c r="O932" s="1509"/>
    </row>
    <row r="933" spans="1:15" s="1857" customFormat="1" x14ac:dyDescent="0.35">
      <c r="A933" s="1528"/>
      <c r="B933" s="1566"/>
      <c r="C933" s="1855"/>
      <c r="D933" s="1856"/>
      <c r="E933" s="1509"/>
      <c r="F933" s="1509"/>
      <c r="G933" s="1509"/>
      <c r="H933" s="1566"/>
      <c r="J933" s="1509"/>
      <c r="K933" s="1509"/>
      <c r="L933" s="1509"/>
      <c r="M933" s="1509"/>
      <c r="N933" s="1509"/>
      <c r="O933" s="1509"/>
    </row>
    <row r="934" spans="1:15" s="1857" customFormat="1" x14ac:dyDescent="0.35">
      <c r="A934" s="1528"/>
      <c r="B934" s="1566"/>
      <c r="C934" s="1855"/>
      <c r="D934" s="1856"/>
      <c r="E934" s="1509"/>
      <c r="F934" s="1509"/>
      <c r="G934" s="1509"/>
      <c r="H934" s="1566"/>
      <c r="J934" s="1509"/>
      <c r="K934" s="1509"/>
      <c r="L934" s="1509"/>
      <c r="M934" s="1509"/>
      <c r="N934" s="1509"/>
      <c r="O934" s="1509"/>
    </row>
    <row r="935" spans="1:15" s="1857" customFormat="1" x14ac:dyDescent="0.35">
      <c r="A935" s="1528"/>
      <c r="B935" s="1566"/>
      <c r="C935" s="1855"/>
      <c r="D935" s="1856"/>
      <c r="E935" s="1509"/>
      <c r="F935" s="1509"/>
      <c r="G935" s="1509"/>
      <c r="H935" s="1566"/>
      <c r="J935" s="1509"/>
      <c r="K935" s="1509"/>
      <c r="L935" s="1509"/>
      <c r="M935" s="1509"/>
      <c r="N935" s="1509"/>
      <c r="O935" s="1509"/>
    </row>
    <row r="936" spans="1:15" s="1857" customFormat="1" x14ac:dyDescent="0.35">
      <c r="A936" s="1528"/>
      <c r="B936" s="1566"/>
      <c r="C936" s="1855"/>
      <c r="D936" s="1856"/>
      <c r="E936" s="1509"/>
      <c r="F936" s="1509"/>
      <c r="G936" s="1509"/>
      <c r="H936" s="1566"/>
      <c r="J936" s="1509"/>
      <c r="K936" s="1509"/>
      <c r="L936" s="1509"/>
      <c r="M936" s="1509"/>
      <c r="N936" s="1509"/>
      <c r="O936" s="1509"/>
    </row>
    <row r="937" spans="1:15" s="1857" customFormat="1" x14ac:dyDescent="0.35">
      <c r="A937" s="1528"/>
      <c r="B937" s="1566"/>
      <c r="C937" s="1855"/>
      <c r="D937" s="1856"/>
      <c r="E937" s="1509"/>
      <c r="F937" s="1509"/>
      <c r="G937" s="1509"/>
      <c r="H937" s="1566"/>
      <c r="J937" s="1509"/>
      <c r="K937" s="1509"/>
      <c r="L937" s="1509"/>
      <c r="M937" s="1509"/>
      <c r="N937" s="1509"/>
      <c r="O937" s="1509"/>
    </row>
    <row r="938" spans="1:15" s="1857" customFormat="1" x14ac:dyDescent="0.35">
      <c r="A938" s="1528"/>
      <c r="B938" s="1566"/>
      <c r="C938" s="1855"/>
      <c r="D938" s="1856"/>
      <c r="E938" s="1509"/>
      <c r="F938" s="1509"/>
      <c r="G938" s="1509"/>
      <c r="H938" s="1566"/>
      <c r="J938" s="1509"/>
      <c r="K938" s="1509"/>
      <c r="L938" s="1509"/>
      <c r="M938" s="1509"/>
      <c r="N938" s="1509"/>
      <c r="O938" s="1509"/>
    </row>
    <row r="939" spans="1:15" s="1857" customFormat="1" x14ac:dyDescent="0.35">
      <c r="A939" s="1528"/>
      <c r="B939" s="1566"/>
      <c r="C939" s="1855"/>
      <c r="D939" s="1856"/>
      <c r="E939" s="1509"/>
      <c r="F939" s="1509"/>
      <c r="G939" s="1509"/>
      <c r="H939" s="1566"/>
      <c r="J939" s="1509"/>
      <c r="K939" s="1509"/>
      <c r="L939" s="1509"/>
      <c r="M939" s="1509"/>
      <c r="N939" s="1509"/>
      <c r="O939" s="1509"/>
    </row>
    <row r="940" spans="1:15" s="1857" customFormat="1" x14ac:dyDescent="0.35">
      <c r="A940" s="1528"/>
      <c r="B940" s="1566"/>
      <c r="C940" s="1855"/>
      <c r="D940" s="1856"/>
      <c r="E940" s="1509"/>
      <c r="F940" s="1509"/>
      <c r="G940" s="1509"/>
      <c r="H940" s="1566"/>
      <c r="J940" s="1509"/>
      <c r="K940" s="1509"/>
      <c r="L940" s="1509"/>
      <c r="M940" s="1509"/>
      <c r="N940" s="1509"/>
      <c r="O940" s="1509"/>
    </row>
    <row r="941" spans="1:15" s="1857" customFormat="1" x14ac:dyDescent="0.35">
      <c r="A941" s="1528"/>
      <c r="B941" s="1566"/>
      <c r="C941" s="1855"/>
      <c r="D941" s="1856"/>
      <c r="E941" s="1509"/>
      <c r="F941" s="1509"/>
      <c r="G941" s="1509"/>
      <c r="H941" s="1566"/>
      <c r="J941" s="1509"/>
      <c r="K941" s="1509"/>
      <c r="L941" s="1509"/>
      <c r="M941" s="1509"/>
      <c r="N941" s="1509"/>
      <c r="O941" s="1509"/>
    </row>
    <row r="942" spans="1:15" s="1857" customFormat="1" x14ac:dyDescent="0.35">
      <c r="A942" s="1528"/>
      <c r="B942" s="1566"/>
      <c r="C942" s="1855"/>
      <c r="D942" s="1856"/>
      <c r="E942" s="1509"/>
      <c r="F942" s="1509"/>
      <c r="G942" s="1509"/>
      <c r="H942" s="1566"/>
      <c r="J942" s="1509"/>
      <c r="K942" s="1509"/>
      <c r="L942" s="1509"/>
      <c r="M942" s="1509"/>
      <c r="N942" s="1509"/>
      <c r="O942" s="1509"/>
    </row>
    <row r="943" spans="1:15" s="1857" customFormat="1" x14ac:dyDescent="0.35">
      <c r="A943" s="1528"/>
      <c r="B943" s="1566"/>
      <c r="C943" s="1855"/>
      <c r="D943" s="1856"/>
      <c r="E943" s="1509"/>
      <c r="F943" s="1509"/>
      <c r="G943" s="1509"/>
      <c r="H943" s="1566"/>
      <c r="J943" s="1509"/>
      <c r="K943" s="1509"/>
      <c r="L943" s="1509"/>
      <c r="M943" s="1509"/>
      <c r="N943" s="1509"/>
      <c r="O943" s="1509"/>
    </row>
    <row r="944" spans="1:15" s="1857" customFormat="1" x14ac:dyDescent="0.35">
      <c r="A944" s="1528"/>
      <c r="B944" s="1566"/>
      <c r="C944" s="1855"/>
      <c r="D944" s="1856"/>
      <c r="E944" s="1509"/>
      <c r="F944" s="1509"/>
      <c r="G944" s="1509"/>
      <c r="H944" s="1566"/>
      <c r="J944" s="1509"/>
      <c r="K944" s="1509"/>
      <c r="L944" s="1509"/>
      <c r="M944" s="1509"/>
      <c r="N944" s="1509"/>
      <c r="O944" s="1509"/>
    </row>
    <row r="945" spans="1:15" s="1857" customFormat="1" x14ac:dyDescent="0.35">
      <c r="A945" s="1528"/>
      <c r="B945" s="1566"/>
      <c r="C945" s="1855"/>
      <c r="D945" s="1856"/>
      <c r="E945" s="1509"/>
      <c r="F945" s="1509"/>
      <c r="G945" s="1509"/>
      <c r="H945" s="1566"/>
      <c r="J945" s="1509"/>
      <c r="K945" s="1509"/>
      <c r="L945" s="1509"/>
      <c r="M945" s="1509"/>
      <c r="N945" s="1509"/>
      <c r="O945" s="1509"/>
    </row>
    <row r="946" spans="1:15" s="1857" customFormat="1" x14ac:dyDescent="0.35">
      <c r="A946" s="1528"/>
      <c r="B946" s="1566"/>
      <c r="C946" s="1855"/>
      <c r="D946" s="1856"/>
      <c r="E946" s="1509"/>
      <c r="F946" s="1509"/>
      <c r="G946" s="1509"/>
      <c r="H946" s="1566"/>
      <c r="J946" s="1509"/>
      <c r="K946" s="1509"/>
      <c r="L946" s="1509"/>
      <c r="M946" s="1509"/>
      <c r="N946" s="1509"/>
      <c r="O946" s="1509"/>
    </row>
    <row r="947" spans="1:15" s="1857" customFormat="1" x14ac:dyDescent="0.35">
      <c r="A947" s="1528"/>
      <c r="B947" s="1566"/>
      <c r="C947" s="1855"/>
      <c r="D947" s="1856"/>
      <c r="E947" s="1509"/>
      <c r="F947" s="1509"/>
      <c r="G947" s="1509"/>
      <c r="H947" s="1566"/>
      <c r="J947" s="1509"/>
      <c r="K947" s="1509"/>
      <c r="L947" s="1509"/>
      <c r="M947" s="1509"/>
      <c r="N947" s="1509"/>
      <c r="O947" s="1509"/>
    </row>
    <row r="948" spans="1:15" s="1857" customFormat="1" x14ac:dyDescent="0.35">
      <c r="A948" s="1528"/>
      <c r="B948" s="1566"/>
      <c r="C948" s="1855"/>
      <c r="D948" s="1856"/>
      <c r="E948" s="1509"/>
      <c r="F948" s="1509"/>
      <c r="G948" s="1509"/>
      <c r="H948" s="1566"/>
      <c r="J948" s="1509"/>
      <c r="K948" s="1509"/>
      <c r="L948" s="1509"/>
      <c r="M948" s="1509"/>
      <c r="N948" s="1509"/>
      <c r="O948" s="1509"/>
    </row>
    <row r="949" spans="1:15" s="1857" customFormat="1" x14ac:dyDescent="0.35">
      <c r="A949" s="1528"/>
      <c r="B949" s="1566"/>
      <c r="C949" s="1855"/>
      <c r="D949" s="1856"/>
      <c r="E949" s="1509"/>
      <c r="F949" s="1509"/>
      <c r="G949" s="1509"/>
      <c r="H949" s="1566"/>
      <c r="J949" s="1509"/>
      <c r="K949" s="1509"/>
      <c r="L949" s="1509"/>
      <c r="M949" s="1509"/>
      <c r="N949" s="1509"/>
      <c r="O949" s="1509"/>
    </row>
  </sheetData>
  <mergeCells count="18">
    <mergeCell ref="D815:G815"/>
    <mergeCell ref="B829:D829"/>
    <mergeCell ref="I6:I7"/>
    <mergeCell ref="J6:N6"/>
    <mergeCell ref="E6:E7"/>
    <mergeCell ref="B6:B7"/>
    <mergeCell ref="C6:C7"/>
    <mergeCell ref="G6:G7"/>
    <mergeCell ref="D6:D7"/>
    <mergeCell ref="F6:F7"/>
    <mergeCell ref="H6:H7"/>
    <mergeCell ref="B827:D827"/>
    <mergeCell ref="D125:E125"/>
    <mergeCell ref="B1:D1"/>
    <mergeCell ref="G1:I1"/>
    <mergeCell ref="B2:N2"/>
    <mergeCell ref="B3:N3"/>
    <mergeCell ref="M4:N4"/>
  </mergeCells>
  <printOptions horizontalCentered="1"/>
  <pageMargins left="0.19685039370078741" right="0.19685039370078741" top="0.59055118110236227" bottom="0.59055118110236227" header="0.51181102362204722" footer="0.51181102362204722"/>
  <pageSetup paperSize="9" scale="66" fitToHeight="0" orientation="landscape"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Q415"/>
  <sheetViews>
    <sheetView view="pageBreakPreview" topLeftCell="A400" zoomScaleNormal="100" zoomScaleSheetLayoutView="100" workbookViewId="0">
      <selection activeCell="R414" sqref="R414"/>
    </sheetView>
  </sheetViews>
  <sheetFormatPr defaultColWidth="9.28515625" defaultRowHeight="15" x14ac:dyDescent="0.3"/>
  <cols>
    <col min="1" max="1" width="3.7109375" style="168" customWidth="1"/>
    <col min="2" max="2" width="5.7109375" style="169" customWidth="1"/>
    <col min="3" max="3" width="5.7109375" style="170" customWidth="1"/>
    <col min="4" max="4" width="59.7109375" style="171" customWidth="1"/>
    <col min="5" max="7" width="10.7109375" style="204" customWidth="1"/>
    <col min="8" max="8" width="6.7109375" style="172" customWidth="1"/>
    <col min="9" max="11" width="14.7109375" style="204" customWidth="1"/>
    <col min="12" max="12" width="15.7109375" style="204" customWidth="1"/>
    <col min="13" max="13" width="13.7109375" style="204" customWidth="1"/>
    <col min="14" max="16384" width="9.28515625" style="56"/>
  </cols>
  <sheetData>
    <row r="1" spans="1:251" s="16" customFormat="1" ht="18" customHeight="1" x14ac:dyDescent="0.3">
      <c r="A1" s="166"/>
      <c r="B1" s="1346" t="s">
        <v>758</v>
      </c>
      <c r="C1" s="1346"/>
      <c r="D1" s="1346"/>
      <c r="E1" s="367"/>
      <c r="F1" s="367"/>
      <c r="G1" s="367"/>
      <c r="H1" s="167"/>
      <c r="I1" s="1347"/>
      <c r="J1" s="1347"/>
      <c r="K1" s="1347"/>
      <c r="L1" s="1347"/>
      <c r="M1" s="1347"/>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row>
    <row r="2" spans="1:251" s="16" customFormat="1" ht="18" customHeight="1" x14ac:dyDescent="0.35">
      <c r="A2" s="168"/>
      <c r="B2" s="1348" t="s">
        <v>14</v>
      </c>
      <c r="C2" s="1348"/>
      <c r="D2" s="1348"/>
      <c r="E2" s="1348"/>
      <c r="F2" s="1348"/>
      <c r="G2" s="1348"/>
      <c r="H2" s="1348"/>
      <c r="I2" s="1348"/>
      <c r="J2" s="1348"/>
      <c r="K2" s="1348"/>
      <c r="L2" s="1348"/>
      <c r="M2" s="1348"/>
    </row>
    <row r="3" spans="1:251" s="16" customFormat="1" ht="18" customHeight="1" x14ac:dyDescent="0.3">
      <c r="A3" s="168"/>
      <c r="B3" s="1349" t="s">
        <v>766</v>
      </c>
      <c r="C3" s="1349"/>
      <c r="D3" s="1349"/>
      <c r="E3" s="1349"/>
      <c r="F3" s="1349"/>
      <c r="G3" s="1349"/>
      <c r="H3" s="1349"/>
      <c r="I3" s="1349"/>
      <c r="J3" s="1349"/>
      <c r="K3" s="1349"/>
      <c r="L3" s="1349"/>
      <c r="M3" s="1349"/>
    </row>
    <row r="4" spans="1:251" ht="18" customHeight="1" x14ac:dyDescent="0.3">
      <c r="M4" s="368" t="s">
        <v>0</v>
      </c>
    </row>
    <row r="5" spans="1:251" s="9" customFormat="1" ht="18" customHeight="1" thickBot="1" x14ac:dyDescent="0.25">
      <c r="A5" s="168"/>
      <c r="B5" s="173" t="s">
        <v>1</v>
      </c>
      <c r="C5" s="174" t="s">
        <v>3</v>
      </c>
      <c r="D5" s="174" t="s">
        <v>2</v>
      </c>
      <c r="E5" s="174" t="s">
        <v>4</v>
      </c>
      <c r="F5" s="174" t="s">
        <v>5</v>
      </c>
      <c r="G5" s="174" t="s">
        <v>15</v>
      </c>
      <c r="H5" s="174" t="s">
        <v>16</v>
      </c>
      <c r="I5" s="174" t="s">
        <v>17</v>
      </c>
      <c r="J5" s="174" t="s">
        <v>32</v>
      </c>
      <c r="K5" s="174" t="s">
        <v>28</v>
      </c>
      <c r="L5" s="174" t="s">
        <v>23</v>
      </c>
      <c r="M5" s="174" t="s">
        <v>33</v>
      </c>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row>
    <row r="6" spans="1:251" ht="30" customHeight="1" x14ac:dyDescent="0.3">
      <c r="B6" s="1356" t="s">
        <v>18</v>
      </c>
      <c r="C6" s="1359" t="s">
        <v>19</v>
      </c>
      <c r="D6" s="1362" t="s">
        <v>6</v>
      </c>
      <c r="E6" s="1338" t="s">
        <v>21</v>
      </c>
      <c r="F6" s="1338" t="s">
        <v>627</v>
      </c>
      <c r="G6" s="1335" t="s">
        <v>679</v>
      </c>
      <c r="H6" s="1368" t="s">
        <v>232</v>
      </c>
      <c r="I6" s="1350" t="s">
        <v>508</v>
      </c>
      <c r="J6" s="1351"/>
      <c r="K6" s="1351"/>
      <c r="L6" s="1352"/>
      <c r="M6" s="1353" t="s">
        <v>509</v>
      </c>
    </row>
    <row r="7" spans="1:251" ht="45.75" customHeight="1" x14ac:dyDescent="0.3">
      <c r="B7" s="1357"/>
      <c r="C7" s="1360"/>
      <c r="D7" s="1363"/>
      <c r="E7" s="1339"/>
      <c r="F7" s="1339"/>
      <c r="G7" s="1336"/>
      <c r="H7" s="1369"/>
      <c r="I7" s="172" t="s">
        <v>35</v>
      </c>
      <c r="J7" s="1365" t="s">
        <v>120</v>
      </c>
      <c r="K7" s="1365"/>
      <c r="L7" s="1366" t="s">
        <v>96</v>
      </c>
      <c r="M7" s="1354"/>
    </row>
    <row r="8" spans="1:251" ht="53.25" customHeight="1" thickBot="1" x14ac:dyDescent="0.35">
      <c r="B8" s="1358"/>
      <c r="C8" s="1361"/>
      <c r="D8" s="1364"/>
      <c r="E8" s="1340"/>
      <c r="F8" s="1340"/>
      <c r="G8" s="1337"/>
      <c r="H8" s="1370"/>
      <c r="I8" s="175" t="s">
        <v>38</v>
      </c>
      <c r="J8" s="176" t="s">
        <v>181</v>
      </c>
      <c r="K8" s="176" t="s">
        <v>121</v>
      </c>
      <c r="L8" s="1367"/>
      <c r="M8" s="1355"/>
    </row>
    <row r="9" spans="1:251" ht="23.25" customHeight="1" x14ac:dyDescent="0.3">
      <c r="A9" s="177">
        <v>1</v>
      </c>
      <c r="B9" s="178">
        <v>18</v>
      </c>
      <c r="C9" s="79" t="s">
        <v>29</v>
      </c>
      <c r="D9" s="179"/>
      <c r="E9" s="180"/>
      <c r="F9" s="181"/>
      <c r="G9" s="182"/>
      <c r="H9" s="183"/>
      <c r="I9" s="184"/>
      <c r="J9" s="185"/>
      <c r="K9" s="185"/>
      <c r="L9" s="186"/>
      <c r="M9" s="187"/>
    </row>
    <row r="10" spans="1:251" ht="32.25" customHeight="1" x14ac:dyDescent="0.3">
      <c r="A10" s="177">
        <v>2</v>
      </c>
      <c r="B10" s="188"/>
      <c r="C10" s="165">
        <v>1</v>
      </c>
      <c r="D10" s="369" t="s">
        <v>339</v>
      </c>
      <c r="E10" s="189">
        <f>F10+G10+L12+M11</f>
        <v>54906</v>
      </c>
      <c r="F10" s="190">
        <f>5652+4318+8001+4020+1207</f>
        <v>23198</v>
      </c>
      <c r="G10" s="370">
        <v>11176</v>
      </c>
      <c r="H10" s="371" t="s">
        <v>23</v>
      </c>
      <c r="I10" s="191"/>
      <c r="J10" s="192"/>
      <c r="K10" s="192"/>
      <c r="L10" s="193"/>
      <c r="M10" s="194"/>
    </row>
    <row r="11" spans="1:251" ht="18" customHeight="1" x14ac:dyDescent="0.3">
      <c r="A11" s="177">
        <v>3</v>
      </c>
      <c r="B11" s="188"/>
      <c r="C11" s="165"/>
      <c r="D11" s="280" t="s">
        <v>239</v>
      </c>
      <c r="E11" s="189"/>
      <c r="F11" s="190"/>
      <c r="G11" s="370"/>
      <c r="H11" s="371"/>
      <c r="I11" s="191"/>
      <c r="J11" s="1220">
        <f>10000+10532</f>
        <v>20532</v>
      </c>
      <c r="K11" s="192"/>
      <c r="L11" s="1221">
        <f t="shared" ref="L11:L51" si="0">SUM(I11:K11)</f>
        <v>20532</v>
      </c>
      <c r="M11" s="194"/>
    </row>
    <row r="12" spans="1:251" ht="18" customHeight="1" x14ac:dyDescent="0.3">
      <c r="A12" s="177">
        <v>4</v>
      </c>
      <c r="B12" s="188"/>
      <c r="C12" s="165"/>
      <c r="D12" s="372" t="s">
        <v>702</v>
      </c>
      <c r="E12" s="189"/>
      <c r="F12" s="190"/>
      <c r="G12" s="370"/>
      <c r="H12" s="371"/>
      <c r="I12" s="191"/>
      <c r="J12" s="192">
        <v>20532</v>
      </c>
      <c r="K12" s="192"/>
      <c r="L12" s="193">
        <f t="shared" si="0"/>
        <v>20532</v>
      </c>
      <c r="M12" s="194"/>
    </row>
    <row r="13" spans="1:251" ht="18" customHeight="1" x14ac:dyDescent="0.3">
      <c r="A13" s="177">
        <v>5</v>
      </c>
      <c r="B13" s="188"/>
      <c r="C13" s="165"/>
      <c r="D13" s="275" t="s">
        <v>745</v>
      </c>
      <c r="E13" s="189"/>
      <c r="F13" s="190"/>
      <c r="G13" s="370"/>
      <c r="H13" s="371"/>
      <c r="I13" s="295"/>
      <c r="J13" s="296">
        <v>381</v>
      </c>
      <c r="K13" s="296"/>
      <c r="L13" s="297">
        <f t="shared" si="0"/>
        <v>381</v>
      </c>
      <c r="M13" s="194"/>
    </row>
    <row r="14" spans="1:251" ht="32.25" customHeight="1" x14ac:dyDescent="0.3">
      <c r="A14" s="177">
        <v>7</v>
      </c>
      <c r="B14" s="188"/>
      <c r="C14" s="165">
        <v>2</v>
      </c>
      <c r="D14" s="369" t="s">
        <v>490</v>
      </c>
      <c r="E14" s="189">
        <f>F14+G14+L16+M15</f>
        <v>1000</v>
      </c>
      <c r="F14" s="190"/>
      <c r="G14" s="370"/>
      <c r="H14" s="371" t="s">
        <v>23</v>
      </c>
      <c r="I14" s="191"/>
      <c r="J14" s="192"/>
      <c r="K14" s="192"/>
      <c r="L14" s="193"/>
      <c r="M14" s="194"/>
    </row>
    <row r="15" spans="1:251" ht="18" customHeight="1" x14ac:dyDescent="0.3">
      <c r="A15" s="177">
        <v>8</v>
      </c>
      <c r="B15" s="188"/>
      <c r="C15" s="165"/>
      <c r="D15" s="280" t="s">
        <v>239</v>
      </c>
      <c r="E15" s="189"/>
      <c r="F15" s="190"/>
      <c r="G15" s="370"/>
      <c r="H15" s="371"/>
      <c r="I15" s="191"/>
      <c r="J15" s="1220">
        <v>1000</v>
      </c>
      <c r="K15" s="1220"/>
      <c r="L15" s="1221">
        <f t="shared" si="0"/>
        <v>1000</v>
      </c>
      <c r="M15" s="194"/>
    </row>
    <row r="16" spans="1:251" ht="18" customHeight="1" x14ac:dyDescent="0.3">
      <c r="A16" s="177">
        <v>9</v>
      </c>
      <c r="B16" s="188"/>
      <c r="C16" s="165"/>
      <c r="D16" s="372" t="s">
        <v>702</v>
      </c>
      <c r="E16" s="189"/>
      <c r="F16" s="190"/>
      <c r="G16" s="370"/>
      <c r="H16" s="371"/>
      <c r="I16" s="191"/>
      <c r="J16" s="192">
        <v>1000</v>
      </c>
      <c r="K16" s="192"/>
      <c r="L16" s="193">
        <f t="shared" si="0"/>
        <v>1000</v>
      </c>
      <c r="M16" s="194"/>
    </row>
    <row r="17" spans="1:13" ht="18" customHeight="1" x14ac:dyDescent="0.3">
      <c r="A17" s="177">
        <v>10</v>
      </c>
      <c r="B17" s="188"/>
      <c r="C17" s="165"/>
      <c r="D17" s="275" t="s">
        <v>745</v>
      </c>
      <c r="E17" s="189"/>
      <c r="F17" s="190"/>
      <c r="G17" s="370"/>
      <c r="H17" s="371"/>
      <c r="I17" s="295"/>
      <c r="J17" s="296"/>
      <c r="K17" s="296"/>
      <c r="L17" s="297">
        <f t="shared" si="0"/>
        <v>0</v>
      </c>
      <c r="M17" s="194"/>
    </row>
    <row r="18" spans="1:13" ht="22.35" customHeight="1" x14ac:dyDescent="0.3">
      <c r="A18" s="177">
        <v>12</v>
      </c>
      <c r="B18" s="188"/>
      <c r="C18" s="195">
        <v>100</v>
      </c>
      <c r="D18" s="373" t="s">
        <v>451</v>
      </c>
      <c r="E18" s="189">
        <f>F18+G18+L20+M19</f>
        <v>5000</v>
      </c>
      <c r="F18" s="190"/>
      <c r="G18" s="370"/>
      <c r="H18" s="371" t="s">
        <v>23</v>
      </c>
      <c r="I18" s="191"/>
      <c r="J18" s="192"/>
      <c r="K18" s="192"/>
      <c r="L18" s="193"/>
      <c r="M18" s="194"/>
    </row>
    <row r="19" spans="1:13" ht="18" customHeight="1" x14ac:dyDescent="0.3">
      <c r="A19" s="177">
        <v>13</v>
      </c>
      <c r="B19" s="188"/>
      <c r="C19" s="195"/>
      <c r="D19" s="280" t="s">
        <v>239</v>
      </c>
      <c r="E19" s="189"/>
      <c r="F19" s="190"/>
      <c r="G19" s="370"/>
      <c r="H19" s="371"/>
      <c r="I19" s="191"/>
      <c r="J19" s="1220">
        <v>5000</v>
      </c>
      <c r="K19" s="1220"/>
      <c r="L19" s="1221">
        <f t="shared" si="0"/>
        <v>5000</v>
      </c>
      <c r="M19" s="194"/>
    </row>
    <row r="20" spans="1:13" ht="18" customHeight="1" x14ac:dyDescent="0.3">
      <c r="A20" s="177">
        <v>14</v>
      </c>
      <c r="B20" s="188"/>
      <c r="C20" s="195"/>
      <c r="D20" s="372" t="s">
        <v>702</v>
      </c>
      <c r="E20" s="189"/>
      <c r="F20" s="190"/>
      <c r="G20" s="370"/>
      <c r="H20" s="371"/>
      <c r="I20" s="191"/>
      <c r="J20" s="192">
        <v>5000</v>
      </c>
      <c r="K20" s="192"/>
      <c r="L20" s="193">
        <f t="shared" si="0"/>
        <v>5000</v>
      </c>
      <c r="M20" s="194"/>
    </row>
    <row r="21" spans="1:13" ht="18" customHeight="1" x14ac:dyDescent="0.3">
      <c r="A21" s="177">
        <v>15</v>
      </c>
      <c r="B21" s="188"/>
      <c r="C21" s="195"/>
      <c r="D21" s="275" t="s">
        <v>745</v>
      </c>
      <c r="E21" s="189"/>
      <c r="F21" s="190"/>
      <c r="G21" s="370"/>
      <c r="H21" s="371"/>
      <c r="I21" s="295"/>
      <c r="J21" s="296"/>
      <c r="K21" s="296"/>
      <c r="L21" s="297">
        <f t="shared" si="0"/>
        <v>0</v>
      </c>
      <c r="M21" s="194"/>
    </row>
    <row r="22" spans="1:13" ht="22.5" customHeight="1" x14ac:dyDescent="0.3">
      <c r="A22" s="177">
        <v>17</v>
      </c>
      <c r="B22" s="188"/>
      <c r="C22" s="195">
        <v>173</v>
      </c>
      <c r="D22" s="373" t="s">
        <v>521</v>
      </c>
      <c r="E22" s="189">
        <f>F22+G22+L24+M23</f>
        <v>107442</v>
      </c>
      <c r="F22" s="190"/>
      <c r="G22" s="370"/>
      <c r="H22" s="371" t="s">
        <v>23</v>
      </c>
      <c r="I22" s="191"/>
      <c r="J22" s="192"/>
      <c r="K22" s="192"/>
      <c r="L22" s="193"/>
      <c r="M22" s="194"/>
    </row>
    <row r="23" spans="1:13" ht="18" customHeight="1" x14ac:dyDescent="0.3">
      <c r="A23" s="177">
        <v>18</v>
      </c>
      <c r="B23" s="188"/>
      <c r="C23" s="195"/>
      <c r="D23" s="280" t="s">
        <v>239</v>
      </c>
      <c r="E23" s="189"/>
      <c r="F23" s="190"/>
      <c r="G23" s="370"/>
      <c r="H23" s="371"/>
      <c r="I23" s="191"/>
      <c r="J23" s="1220">
        <v>19812</v>
      </c>
      <c r="K23" s="1220"/>
      <c r="L23" s="1221">
        <f t="shared" si="0"/>
        <v>19812</v>
      </c>
      <c r="M23" s="194">
        <v>87630</v>
      </c>
    </row>
    <row r="24" spans="1:13" ht="18" customHeight="1" x14ac:dyDescent="0.3">
      <c r="A24" s="177">
        <v>19</v>
      </c>
      <c r="B24" s="188"/>
      <c r="C24" s="195"/>
      <c r="D24" s="372" t="s">
        <v>702</v>
      </c>
      <c r="E24" s="189"/>
      <c r="F24" s="190"/>
      <c r="G24" s="370"/>
      <c r="H24" s="371"/>
      <c r="I24" s="191"/>
      <c r="J24" s="192">
        <v>19812</v>
      </c>
      <c r="K24" s="192"/>
      <c r="L24" s="193">
        <f t="shared" si="0"/>
        <v>19812</v>
      </c>
      <c r="M24" s="194"/>
    </row>
    <row r="25" spans="1:13" ht="18" customHeight="1" x14ac:dyDescent="0.3">
      <c r="A25" s="177">
        <v>20</v>
      </c>
      <c r="B25" s="188"/>
      <c r="C25" s="195"/>
      <c r="D25" s="275" t="s">
        <v>745</v>
      </c>
      <c r="E25" s="189"/>
      <c r="F25" s="190"/>
      <c r="G25" s="370"/>
      <c r="H25" s="371"/>
      <c r="I25" s="295"/>
      <c r="J25" s="296"/>
      <c r="K25" s="296"/>
      <c r="L25" s="297">
        <f t="shared" si="0"/>
        <v>0</v>
      </c>
      <c r="M25" s="194"/>
    </row>
    <row r="26" spans="1:13" ht="22.15" customHeight="1" x14ac:dyDescent="0.3">
      <c r="A26" s="177">
        <v>22</v>
      </c>
      <c r="B26" s="188"/>
      <c r="C26" s="195">
        <v>3</v>
      </c>
      <c r="D26" s="374" t="s">
        <v>315</v>
      </c>
      <c r="E26" s="189">
        <f t="shared" ref="E26:E31" si="1">F26+G26+L26+M26</f>
        <v>3820</v>
      </c>
      <c r="F26" s="190">
        <f>3210+110+100+100+100+100+100</f>
        <v>3820</v>
      </c>
      <c r="G26" s="370"/>
      <c r="H26" s="371" t="s">
        <v>24</v>
      </c>
      <c r="I26" s="191"/>
      <c r="J26" s="192"/>
      <c r="K26" s="192"/>
      <c r="L26" s="193"/>
      <c r="M26" s="194"/>
    </row>
    <row r="27" spans="1:13" ht="22.15" customHeight="1" x14ac:dyDescent="0.3">
      <c r="A27" s="177">
        <v>23</v>
      </c>
      <c r="B27" s="188"/>
      <c r="C27" s="195">
        <v>4</v>
      </c>
      <c r="D27" s="374" t="s">
        <v>316</v>
      </c>
      <c r="E27" s="189">
        <f t="shared" si="1"/>
        <v>203670</v>
      </c>
      <c r="F27" s="190">
        <f>84090+35890+22900+22900+22900+14990</f>
        <v>203670</v>
      </c>
      <c r="G27" s="370"/>
      <c r="H27" s="371" t="s">
        <v>24</v>
      </c>
      <c r="I27" s="191"/>
      <c r="J27" s="192"/>
      <c r="K27" s="192"/>
      <c r="L27" s="193"/>
      <c r="M27" s="194"/>
    </row>
    <row r="28" spans="1:13" ht="22.15" customHeight="1" x14ac:dyDescent="0.3">
      <c r="A28" s="177">
        <v>24</v>
      </c>
      <c r="B28" s="188"/>
      <c r="C28" s="195">
        <v>5</v>
      </c>
      <c r="D28" s="374" t="s">
        <v>317</v>
      </c>
      <c r="E28" s="189">
        <f t="shared" si="1"/>
        <v>5600</v>
      </c>
      <c r="F28" s="190">
        <f>100+1500+2000+1000+1000</f>
        <v>5600</v>
      </c>
      <c r="G28" s="370"/>
      <c r="H28" s="371" t="s">
        <v>24</v>
      </c>
      <c r="I28" s="191"/>
      <c r="J28" s="192"/>
      <c r="K28" s="192"/>
      <c r="L28" s="193"/>
      <c r="M28" s="194"/>
    </row>
    <row r="29" spans="1:13" ht="18" customHeight="1" x14ac:dyDescent="0.3">
      <c r="A29" s="177">
        <v>25</v>
      </c>
      <c r="B29" s="188"/>
      <c r="C29" s="195"/>
      <c r="D29" s="372" t="s">
        <v>702</v>
      </c>
      <c r="E29" s="189"/>
      <c r="F29" s="190"/>
      <c r="G29" s="370"/>
      <c r="H29" s="371"/>
      <c r="I29" s="191"/>
      <c r="J29" s="192">
        <v>2000</v>
      </c>
      <c r="K29" s="192"/>
      <c r="L29" s="193">
        <f>SUM(I29:K29)</f>
        <v>2000</v>
      </c>
      <c r="M29" s="194"/>
    </row>
    <row r="30" spans="1:13" ht="18" customHeight="1" x14ac:dyDescent="0.3">
      <c r="A30" s="177">
        <v>26</v>
      </c>
      <c r="B30" s="188"/>
      <c r="C30" s="195"/>
      <c r="D30" s="275" t="s">
        <v>745</v>
      </c>
      <c r="E30" s="189"/>
      <c r="F30" s="190"/>
      <c r="G30" s="370"/>
      <c r="H30" s="371"/>
      <c r="I30" s="191"/>
      <c r="J30" s="296"/>
      <c r="K30" s="192"/>
      <c r="L30" s="193">
        <f>SUM(I30:K30)</f>
        <v>0</v>
      </c>
      <c r="M30" s="194"/>
    </row>
    <row r="31" spans="1:13" ht="22.15" customHeight="1" x14ac:dyDescent="0.3">
      <c r="A31" s="177">
        <v>28</v>
      </c>
      <c r="B31" s="188"/>
      <c r="C31" s="195">
        <v>6</v>
      </c>
      <c r="D31" s="374" t="s">
        <v>318</v>
      </c>
      <c r="E31" s="189">
        <f t="shared" si="1"/>
        <v>574100</v>
      </c>
      <c r="F31" s="190">
        <f>82900+195200+98000+99000+99000</f>
        <v>574100</v>
      </c>
      <c r="G31" s="370"/>
      <c r="H31" s="371" t="s">
        <v>24</v>
      </c>
      <c r="I31" s="191"/>
      <c r="J31" s="192"/>
      <c r="K31" s="192"/>
      <c r="L31" s="193"/>
      <c r="M31" s="194"/>
    </row>
    <row r="32" spans="1:13" ht="18" customHeight="1" x14ac:dyDescent="0.3">
      <c r="A32" s="177">
        <v>29</v>
      </c>
      <c r="B32" s="188"/>
      <c r="C32" s="195"/>
      <c r="D32" s="372" t="s">
        <v>702</v>
      </c>
      <c r="E32" s="189"/>
      <c r="F32" s="190"/>
      <c r="G32" s="370"/>
      <c r="H32" s="371"/>
      <c r="I32" s="191"/>
      <c r="J32" s="192">
        <v>198000</v>
      </c>
      <c r="K32" s="192"/>
      <c r="L32" s="193">
        <f>SUM(I32:K32)</f>
        <v>198000</v>
      </c>
      <c r="M32" s="194"/>
    </row>
    <row r="33" spans="1:251" ht="18" customHeight="1" x14ac:dyDescent="0.3">
      <c r="A33" s="177">
        <v>30</v>
      </c>
      <c r="B33" s="188"/>
      <c r="C33" s="195"/>
      <c r="D33" s="275" t="s">
        <v>745</v>
      </c>
      <c r="E33" s="189"/>
      <c r="F33" s="190"/>
      <c r="G33" s="370"/>
      <c r="H33" s="371"/>
      <c r="I33" s="191"/>
      <c r="J33" s="296"/>
      <c r="K33" s="192"/>
      <c r="L33" s="193">
        <f t="shared" si="0"/>
        <v>0</v>
      </c>
      <c r="M33" s="194"/>
    </row>
    <row r="34" spans="1:251" ht="22.15" customHeight="1" x14ac:dyDescent="0.3">
      <c r="A34" s="177">
        <v>32</v>
      </c>
      <c r="B34" s="188"/>
      <c r="C34" s="195">
        <v>7</v>
      </c>
      <c r="D34" s="373" t="s">
        <v>289</v>
      </c>
      <c r="E34" s="189">
        <f>F34+G34+L35+M35</f>
        <v>141721</v>
      </c>
      <c r="F34" s="190">
        <f>8127+11064+7643+7255+1255+30618</f>
        <v>65962</v>
      </c>
      <c r="G34" s="370">
        <v>20661</v>
      </c>
      <c r="H34" s="371" t="s">
        <v>24</v>
      </c>
      <c r="I34" s="191"/>
      <c r="J34" s="192"/>
      <c r="K34" s="192"/>
      <c r="L34" s="193"/>
      <c r="M34" s="194"/>
    </row>
    <row r="35" spans="1:251" ht="18" customHeight="1" x14ac:dyDescent="0.3">
      <c r="A35" s="177">
        <v>33</v>
      </c>
      <c r="B35" s="188"/>
      <c r="C35" s="195"/>
      <c r="D35" s="280" t="s">
        <v>239</v>
      </c>
      <c r="E35" s="189"/>
      <c r="F35" s="190"/>
      <c r="G35" s="370"/>
      <c r="H35" s="371"/>
      <c r="I35" s="1222">
        <v>7071</v>
      </c>
      <c r="J35" s="1220">
        <v>48027</v>
      </c>
      <c r="K35" s="1220"/>
      <c r="L35" s="1221">
        <f t="shared" si="0"/>
        <v>55098</v>
      </c>
      <c r="M35" s="194"/>
    </row>
    <row r="36" spans="1:251" ht="18" customHeight="1" x14ac:dyDescent="0.3">
      <c r="A36" s="177">
        <v>34</v>
      </c>
      <c r="B36" s="188"/>
      <c r="C36" s="195"/>
      <c r="D36" s="372" t="s">
        <v>702</v>
      </c>
      <c r="E36" s="189"/>
      <c r="F36" s="190"/>
      <c r="G36" s="370"/>
      <c r="H36" s="371"/>
      <c r="I36" s="191">
        <v>21973</v>
      </c>
      <c r="J36" s="192">
        <v>41027</v>
      </c>
      <c r="K36" s="192"/>
      <c r="L36" s="193">
        <f t="shared" si="0"/>
        <v>63000</v>
      </c>
      <c r="M36" s="194"/>
    </row>
    <row r="37" spans="1:251" ht="18" customHeight="1" x14ac:dyDescent="0.3">
      <c r="A37" s="177">
        <v>35</v>
      </c>
      <c r="B37" s="188"/>
      <c r="C37" s="195"/>
      <c r="D37" s="275" t="s">
        <v>745</v>
      </c>
      <c r="E37" s="189"/>
      <c r="F37" s="190"/>
      <c r="G37" s="370"/>
      <c r="H37" s="371"/>
      <c r="I37" s="295">
        <v>6588</v>
      </c>
      <c r="J37" s="296">
        <v>50</v>
      </c>
      <c r="K37" s="192"/>
      <c r="L37" s="193">
        <f t="shared" si="0"/>
        <v>6638</v>
      </c>
      <c r="M37" s="194"/>
    </row>
    <row r="38" spans="1:251" ht="32.25" customHeight="1" x14ac:dyDescent="0.3">
      <c r="A38" s="177">
        <v>37</v>
      </c>
      <c r="B38" s="188"/>
      <c r="C38" s="165">
        <v>8</v>
      </c>
      <c r="D38" s="369" t="s">
        <v>628</v>
      </c>
      <c r="E38" s="189">
        <f>F38+G38+L40+M39</f>
        <v>96598</v>
      </c>
      <c r="F38" s="190">
        <f>9028+6276+15308</f>
        <v>30612</v>
      </c>
      <c r="G38" s="370"/>
      <c r="H38" s="371" t="s">
        <v>24</v>
      </c>
      <c r="I38" s="191"/>
      <c r="J38" s="192"/>
      <c r="K38" s="192"/>
      <c r="L38" s="193"/>
      <c r="M38" s="194"/>
    </row>
    <row r="39" spans="1:251" ht="18" customHeight="1" x14ac:dyDescent="0.3">
      <c r="A39" s="177">
        <v>38</v>
      </c>
      <c r="B39" s="188"/>
      <c r="C39" s="165"/>
      <c r="D39" s="280" t="s">
        <v>239</v>
      </c>
      <c r="E39" s="189"/>
      <c r="F39" s="190"/>
      <c r="G39" s="370"/>
      <c r="H39" s="371"/>
      <c r="I39" s="1222">
        <v>114</v>
      </c>
      <c r="J39" s="1220">
        <f>10000+9172</f>
        <v>19172</v>
      </c>
      <c r="K39" s="1220"/>
      <c r="L39" s="1221">
        <f t="shared" si="0"/>
        <v>19286</v>
      </c>
      <c r="M39" s="194"/>
    </row>
    <row r="40" spans="1:251" ht="18" customHeight="1" x14ac:dyDescent="0.3">
      <c r="A40" s="177">
        <v>39</v>
      </c>
      <c r="B40" s="188"/>
      <c r="C40" s="165"/>
      <c r="D40" s="372" t="s">
        <v>702</v>
      </c>
      <c r="E40" s="189"/>
      <c r="F40" s="190"/>
      <c r="G40" s="370"/>
      <c r="H40" s="371"/>
      <c r="I40" s="191">
        <v>114</v>
      </c>
      <c r="J40" s="192">
        <v>65872</v>
      </c>
      <c r="K40" s="192"/>
      <c r="L40" s="193">
        <f t="shared" si="0"/>
        <v>65986</v>
      </c>
      <c r="M40" s="194"/>
    </row>
    <row r="41" spans="1:251" ht="18" customHeight="1" x14ac:dyDescent="0.3">
      <c r="A41" s="177">
        <v>40</v>
      </c>
      <c r="B41" s="188"/>
      <c r="C41" s="165"/>
      <c r="D41" s="275" t="s">
        <v>745</v>
      </c>
      <c r="E41" s="189"/>
      <c r="F41" s="190"/>
      <c r="G41" s="370"/>
      <c r="H41" s="371"/>
      <c r="I41" s="295"/>
      <c r="J41" s="296">
        <v>1825</v>
      </c>
      <c r="K41" s="296"/>
      <c r="L41" s="297">
        <f t="shared" si="0"/>
        <v>1825</v>
      </c>
      <c r="M41" s="194"/>
    </row>
    <row r="42" spans="1:251" ht="49.5" x14ac:dyDescent="0.3">
      <c r="A42" s="177">
        <v>43</v>
      </c>
      <c r="B42" s="188"/>
      <c r="C42" s="165">
        <v>9</v>
      </c>
      <c r="D42" s="373" t="s">
        <v>629</v>
      </c>
      <c r="E42" s="189">
        <f>F42+G42</f>
        <v>30726</v>
      </c>
      <c r="F42" s="190">
        <f>26363+4363</f>
        <v>30726</v>
      </c>
      <c r="G42" s="370"/>
      <c r="H42" s="371" t="s">
        <v>24</v>
      </c>
      <c r="I42" s="191"/>
      <c r="J42" s="192"/>
      <c r="K42" s="192"/>
      <c r="L42" s="193"/>
      <c r="M42" s="194"/>
    </row>
    <row r="43" spans="1:251" ht="22.15" customHeight="1" x14ac:dyDescent="0.3">
      <c r="A43" s="177">
        <v>44</v>
      </c>
      <c r="B43" s="188"/>
      <c r="C43" s="195">
        <v>10</v>
      </c>
      <c r="D43" s="373" t="s">
        <v>340</v>
      </c>
      <c r="E43" s="189">
        <f>F43+G43</f>
        <v>13045</v>
      </c>
      <c r="F43" s="190">
        <f>9652+980</f>
        <v>10632</v>
      </c>
      <c r="G43" s="370">
        <v>2413</v>
      </c>
      <c r="H43" s="371" t="s">
        <v>24</v>
      </c>
      <c r="I43" s="191"/>
      <c r="J43" s="192"/>
      <c r="K43" s="192"/>
      <c r="L43" s="193"/>
      <c r="M43" s="194"/>
    </row>
    <row r="44" spans="1:251" ht="22.15" customHeight="1" x14ac:dyDescent="0.3">
      <c r="A44" s="177">
        <v>45</v>
      </c>
      <c r="B44" s="188"/>
      <c r="C44" s="195">
        <v>27</v>
      </c>
      <c r="D44" s="373" t="s">
        <v>360</v>
      </c>
      <c r="E44" s="189">
        <f>F44+G44+L46+M45</f>
        <v>4496</v>
      </c>
      <c r="F44" s="190">
        <v>2473</v>
      </c>
      <c r="G44" s="370">
        <v>264</v>
      </c>
      <c r="H44" s="371" t="s">
        <v>24</v>
      </c>
      <c r="I44" s="191"/>
      <c r="J44" s="192"/>
      <c r="K44" s="192"/>
      <c r="L44" s="193"/>
      <c r="M44" s="194"/>
    </row>
    <row r="45" spans="1:251" ht="18" customHeight="1" x14ac:dyDescent="0.3">
      <c r="A45" s="177">
        <v>46</v>
      </c>
      <c r="B45" s="188"/>
      <c r="C45" s="195"/>
      <c r="D45" s="280" t="s">
        <v>239</v>
      </c>
      <c r="E45" s="189"/>
      <c r="F45" s="190"/>
      <c r="G45" s="370"/>
      <c r="H45" s="371"/>
      <c r="I45" s="1222">
        <v>736</v>
      </c>
      <c r="J45" s="1220">
        <v>1023</v>
      </c>
      <c r="K45" s="1220"/>
      <c r="L45" s="1221">
        <f t="shared" si="0"/>
        <v>1759</v>
      </c>
      <c r="M45" s="194"/>
    </row>
    <row r="46" spans="1:251" ht="18" customHeight="1" x14ac:dyDescent="0.3">
      <c r="A46" s="177">
        <v>47</v>
      </c>
      <c r="B46" s="188"/>
      <c r="C46" s="195"/>
      <c r="D46" s="372" t="s">
        <v>702</v>
      </c>
      <c r="E46" s="189"/>
      <c r="F46" s="190"/>
      <c r="G46" s="370"/>
      <c r="H46" s="371"/>
      <c r="I46" s="191">
        <v>736</v>
      </c>
      <c r="J46" s="192">
        <v>1023</v>
      </c>
      <c r="K46" s="192"/>
      <c r="L46" s="193">
        <f t="shared" si="0"/>
        <v>1759</v>
      </c>
      <c r="M46" s="194"/>
    </row>
    <row r="47" spans="1:251" ht="18" customHeight="1" x14ac:dyDescent="0.3">
      <c r="A47" s="177">
        <v>48</v>
      </c>
      <c r="B47" s="188"/>
      <c r="C47" s="195"/>
      <c r="D47" s="275" t="s">
        <v>745</v>
      </c>
      <c r="E47" s="189"/>
      <c r="F47" s="190"/>
      <c r="G47" s="370"/>
      <c r="H47" s="371"/>
      <c r="I47" s="295"/>
      <c r="J47" s="296"/>
      <c r="K47" s="296"/>
      <c r="L47" s="297">
        <f t="shared" si="0"/>
        <v>0</v>
      </c>
      <c r="M47" s="194"/>
    </row>
    <row r="48" spans="1:251" ht="84.75" customHeight="1" x14ac:dyDescent="0.3">
      <c r="A48" s="177">
        <v>50</v>
      </c>
      <c r="B48" s="188"/>
      <c r="C48" s="165">
        <v>30</v>
      </c>
      <c r="D48" s="369" t="s">
        <v>688</v>
      </c>
      <c r="E48" s="189">
        <f>F48+G48+L50+M49</f>
        <v>6298</v>
      </c>
      <c r="F48" s="190">
        <v>65</v>
      </c>
      <c r="G48" s="370">
        <v>862</v>
      </c>
      <c r="H48" s="371" t="s">
        <v>24</v>
      </c>
      <c r="I48" s="375"/>
      <c r="J48" s="189"/>
      <c r="K48" s="189"/>
      <c r="L48" s="193"/>
      <c r="M48" s="194"/>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c r="AY48" s="376"/>
      <c r="AZ48" s="376"/>
      <c r="BA48" s="376"/>
      <c r="BB48" s="376"/>
      <c r="BC48" s="376"/>
      <c r="BD48" s="376"/>
      <c r="BE48" s="376"/>
      <c r="BF48" s="376"/>
      <c r="BG48" s="376"/>
      <c r="BH48" s="376"/>
      <c r="BI48" s="376"/>
      <c r="BJ48" s="376"/>
      <c r="BK48" s="376"/>
      <c r="BL48" s="376"/>
      <c r="BM48" s="376"/>
      <c r="BN48" s="376"/>
      <c r="BO48" s="376"/>
      <c r="BP48" s="376"/>
      <c r="BQ48" s="376"/>
      <c r="BR48" s="376"/>
      <c r="BS48" s="376"/>
      <c r="BT48" s="376"/>
      <c r="BU48" s="376"/>
      <c r="BV48" s="376"/>
      <c r="BW48" s="376"/>
      <c r="BX48" s="376"/>
      <c r="BY48" s="376"/>
      <c r="BZ48" s="376"/>
      <c r="CA48" s="376"/>
      <c r="CB48" s="376"/>
      <c r="CC48" s="376"/>
      <c r="CD48" s="376"/>
      <c r="CE48" s="376"/>
      <c r="CF48" s="376"/>
      <c r="CG48" s="376"/>
      <c r="CH48" s="376"/>
      <c r="CI48" s="376"/>
      <c r="CJ48" s="376"/>
      <c r="CK48" s="376"/>
      <c r="CL48" s="376"/>
      <c r="CM48" s="376"/>
      <c r="CN48" s="376"/>
      <c r="CO48" s="376"/>
      <c r="CP48" s="376"/>
      <c r="CQ48" s="376"/>
      <c r="CR48" s="376"/>
      <c r="CS48" s="376"/>
      <c r="CT48" s="376"/>
      <c r="CU48" s="376"/>
      <c r="CV48" s="376"/>
      <c r="CW48" s="376"/>
      <c r="CX48" s="376"/>
      <c r="CY48" s="376"/>
      <c r="CZ48" s="376"/>
      <c r="DA48" s="376"/>
      <c r="DB48" s="376"/>
      <c r="DC48" s="376"/>
      <c r="DD48" s="376"/>
      <c r="DE48" s="376"/>
      <c r="DF48" s="376"/>
      <c r="DG48" s="376"/>
      <c r="DH48" s="376"/>
      <c r="DI48" s="376"/>
      <c r="DJ48" s="376"/>
      <c r="DK48" s="376"/>
      <c r="DL48" s="376"/>
      <c r="DM48" s="376"/>
      <c r="DN48" s="376"/>
      <c r="DO48" s="376"/>
      <c r="DP48" s="376"/>
      <c r="DQ48" s="376"/>
      <c r="DR48" s="376"/>
      <c r="DS48" s="376"/>
      <c r="DT48" s="376"/>
      <c r="DU48" s="376"/>
      <c r="DV48" s="376"/>
      <c r="DW48" s="376"/>
      <c r="DX48" s="376"/>
      <c r="DY48" s="376"/>
      <c r="DZ48" s="376"/>
      <c r="EA48" s="376"/>
      <c r="EB48" s="376"/>
      <c r="EC48" s="376"/>
      <c r="ED48" s="376"/>
      <c r="EE48" s="376"/>
      <c r="EF48" s="376"/>
      <c r="EG48" s="376"/>
      <c r="EH48" s="376"/>
      <c r="EI48" s="376"/>
      <c r="EJ48" s="376"/>
      <c r="EK48" s="376"/>
      <c r="EL48" s="376"/>
      <c r="EM48" s="376"/>
      <c r="EN48" s="376"/>
      <c r="EO48" s="376"/>
      <c r="EP48" s="376"/>
      <c r="EQ48" s="376"/>
      <c r="ER48" s="376"/>
      <c r="ES48" s="376"/>
      <c r="ET48" s="376"/>
      <c r="EU48" s="376"/>
      <c r="EV48" s="376"/>
      <c r="EW48" s="376"/>
      <c r="EX48" s="376"/>
      <c r="EY48" s="376"/>
      <c r="EZ48" s="376"/>
      <c r="FA48" s="376"/>
      <c r="FB48" s="376"/>
      <c r="FC48" s="376"/>
      <c r="FD48" s="376"/>
      <c r="FE48" s="376"/>
      <c r="FF48" s="376"/>
      <c r="FG48" s="376"/>
      <c r="FH48" s="376"/>
      <c r="FI48" s="376"/>
      <c r="FJ48" s="376"/>
      <c r="FK48" s="376"/>
      <c r="FL48" s="376"/>
      <c r="FM48" s="376"/>
      <c r="FN48" s="376"/>
      <c r="FO48" s="376"/>
      <c r="FP48" s="376"/>
      <c r="FQ48" s="376"/>
      <c r="FR48" s="376"/>
      <c r="FS48" s="376"/>
      <c r="FT48" s="376"/>
      <c r="FU48" s="376"/>
      <c r="FV48" s="376"/>
      <c r="FW48" s="376"/>
      <c r="FX48" s="376"/>
      <c r="FY48" s="376"/>
      <c r="FZ48" s="376"/>
      <c r="GA48" s="376"/>
      <c r="GB48" s="376"/>
      <c r="GC48" s="376"/>
      <c r="GD48" s="376"/>
      <c r="GE48" s="376"/>
      <c r="GF48" s="376"/>
      <c r="GG48" s="376"/>
      <c r="GH48" s="376"/>
      <c r="GI48" s="376"/>
      <c r="GJ48" s="376"/>
      <c r="GK48" s="376"/>
      <c r="GL48" s="376"/>
      <c r="GM48" s="376"/>
      <c r="GN48" s="376"/>
      <c r="GO48" s="376"/>
      <c r="GP48" s="376"/>
      <c r="GQ48" s="376"/>
      <c r="GR48" s="376"/>
      <c r="GS48" s="376"/>
      <c r="GT48" s="376"/>
      <c r="GU48" s="376"/>
      <c r="GV48" s="376"/>
      <c r="GW48" s="376"/>
      <c r="GX48" s="376"/>
      <c r="GY48" s="376"/>
      <c r="GZ48" s="376"/>
      <c r="HA48" s="376"/>
      <c r="HB48" s="376"/>
      <c r="HC48" s="376"/>
      <c r="HD48" s="376"/>
      <c r="HE48" s="376"/>
      <c r="HF48" s="376"/>
      <c r="HG48" s="376"/>
      <c r="HH48" s="376"/>
      <c r="HI48" s="376"/>
      <c r="HJ48" s="376"/>
      <c r="HK48" s="376"/>
      <c r="HL48" s="376"/>
      <c r="HM48" s="376"/>
      <c r="HN48" s="376"/>
      <c r="HO48" s="376"/>
      <c r="HP48" s="376"/>
      <c r="HQ48" s="376"/>
      <c r="HR48" s="376"/>
      <c r="HS48" s="376"/>
      <c r="HT48" s="376"/>
      <c r="HU48" s="376"/>
      <c r="HV48" s="376"/>
      <c r="HW48" s="376"/>
      <c r="HX48" s="376"/>
      <c r="HY48" s="376"/>
      <c r="HZ48" s="376"/>
      <c r="IA48" s="376"/>
      <c r="IB48" s="376"/>
      <c r="IC48" s="376"/>
      <c r="ID48" s="376"/>
      <c r="IE48" s="376"/>
      <c r="IF48" s="376"/>
      <c r="IG48" s="376"/>
      <c r="IH48" s="376"/>
      <c r="II48" s="376"/>
      <c r="IJ48" s="376"/>
      <c r="IK48" s="376"/>
      <c r="IL48" s="376"/>
      <c r="IM48" s="376"/>
      <c r="IN48" s="376"/>
      <c r="IO48" s="376"/>
      <c r="IP48" s="376"/>
      <c r="IQ48" s="376"/>
    </row>
    <row r="49" spans="1:251" ht="18" customHeight="1" x14ac:dyDescent="0.3">
      <c r="A49" s="177">
        <v>51</v>
      </c>
      <c r="B49" s="188"/>
      <c r="C49" s="165"/>
      <c r="D49" s="280" t="s">
        <v>239</v>
      </c>
      <c r="E49" s="189"/>
      <c r="F49" s="190"/>
      <c r="G49" s="370"/>
      <c r="H49" s="371"/>
      <c r="I49" s="1223"/>
      <c r="J49" s="1224">
        <v>5371</v>
      </c>
      <c r="K49" s="1224"/>
      <c r="L49" s="1221">
        <f t="shared" si="0"/>
        <v>5371</v>
      </c>
      <c r="M49" s="194"/>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76"/>
      <c r="AY49" s="376"/>
      <c r="AZ49" s="376"/>
      <c r="BA49" s="376"/>
      <c r="BB49" s="376"/>
      <c r="BC49" s="376"/>
      <c r="BD49" s="376"/>
      <c r="BE49" s="376"/>
      <c r="BF49" s="376"/>
      <c r="BG49" s="376"/>
      <c r="BH49" s="376"/>
      <c r="BI49" s="376"/>
      <c r="BJ49" s="376"/>
      <c r="BK49" s="376"/>
      <c r="BL49" s="376"/>
      <c r="BM49" s="376"/>
      <c r="BN49" s="376"/>
      <c r="BO49" s="376"/>
      <c r="BP49" s="376"/>
      <c r="BQ49" s="376"/>
      <c r="BR49" s="376"/>
      <c r="BS49" s="376"/>
      <c r="BT49" s="376"/>
      <c r="BU49" s="376"/>
      <c r="BV49" s="376"/>
      <c r="BW49" s="376"/>
      <c r="BX49" s="376"/>
      <c r="BY49" s="376"/>
      <c r="BZ49" s="376"/>
      <c r="CA49" s="376"/>
      <c r="CB49" s="376"/>
      <c r="CC49" s="376"/>
      <c r="CD49" s="376"/>
      <c r="CE49" s="376"/>
      <c r="CF49" s="376"/>
      <c r="CG49" s="376"/>
      <c r="CH49" s="376"/>
      <c r="CI49" s="376"/>
      <c r="CJ49" s="376"/>
      <c r="CK49" s="376"/>
      <c r="CL49" s="376"/>
      <c r="CM49" s="376"/>
      <c r="CN49" s="376"/>
      <c r="CO49" s="376"/>
      <c r="CP49" s="376"/>
      <c r="CQ49" s="376"/>
      <c r="CR49" s="376"/>
      <c r="CS49" s="376"/>
      <c r="CT49" s="376"/>
      <c r="CU49" s="376"/>
      <c r="CV49" s="376"/>
      <c r="CW49" s="376"/>
      <c r="CX49" s="376"/>
      <c r="CY49" s="376"/>
      <c r="CZ49" s="376"/>
      <c r="DA49" s="376"/>
      <c r="DB49" s="376"/>
      <c r="DC49" s="376"/>
      <c r="DD49" s="376"/>
      <c r="DE49" s="376"/>
      <c r="DF49" s="376"/>
      <c r="DG49" s="376"/>
      <c r="DH49" s="376"/>
      <c r="DI49" s="376"/>
      <c r="DJ49" s="376"/>
      <c r="DK49" s="376"/>
      <c r="DL49" s="376"/>
      <c r="DM49" s="376"/>
      <c r="DN49" s="376"/>
      <c r="DO49" s="376"/>
      <c r="DP49" s="376"/>
      <c r="DQ49" s="376"/>
      <c r="DR49" s="376"/>
      <c r="DS49" s="376"/>
      <c r="DT49" s="376"/>
      <c r="DU49" s="376"/>
      <c r="DV49" s="376"/>
      <c r="DW49" s="376"/>
      <c r="DX49" s="376"/>
      <c r="DY49" s="376"/>
      <c r="DZ49" s="376"/>
      <c r="EA49" s="376"/>
      <c r="EB49" s="376"/>
      <c r="EC49" s="376"/>
      <c r="ED49" s="376"/>
      <c r="EE49" s="376"/>
      <c r="EF49" s="376"/>
      <c r="EG49" s="376"/>
      <c r="EH49" s="376"/>
      <c r="EI49" s="376"/>
      <c r="EJ49" s="376"/>
      <c r="EK49" s="376"/>
      <c r="EL49" s="376"/>
      <c r="EM49" s="376"/>
      <c r="EN49" s="376"/>
      <c r="EO49" s="376"/>
      <c r="EP49" s="376"/>
      <c r="EQ49" s="376"/>
      <c r="ER49" s="376"/>
      <c r="ES49" s="376"/>
      <c r="ET49" s="376"/>
      <c r="EU49" s="376"/>
      <c r="EV49" s="376"/>
      <c r="EW49" s="376"/>
      <c r="EX49" s="376"/>
      <c r="EY49" s="376"/>
      <c r="EZ49" s="376"/>
      <c r="FA49" s="376"/>
      <c r="FB49" s="376"/>
      <c r="FC49" s="376"/>
      <c r="FD49" s="376"/>
      <c r="FE49" s="376"/>
      <c r="FF49" s="376"/>
      <c r="FG49" s="376"/>
      <c r="FH49" s="376"/>
      <c r="FI49" s="376"/>
      <c r="FJ49" s="376"/>
      <c r="FK49" s="376"/>
      <c r="FL49" s="376"/>
      <c r="FM49" s="376"/>
      <c r="FN49" s="376"/>
      <c r="FO49" s="376"/>
      <c r="FP49" s="376"/>
      <c r="FQ49" s="376"/>
      <c r="FR49" s="376"/>
      <c r="FS49" s="376"/>
      <c r="FT49" s="376"/>
      <c r="FU49" s="376"/>
      <c r="FV49" s="376"/>
      <c r="FW49" s="376"/>
      <c r="FX49" s="376"/>
      <c r="FY49" s="376"/>
      <c r="FZ49" s="376"/>
      <c r="GA49" s="376"/>
      <c r="GB49" s="376"/>
      <c r="GC49" s="376"/>
      <c r="GD49" s="376"/>
      <c r="GE49" s="376"/>
      <c r="GF49" s="376"/>
      <c r="GG49" s="376"/>
      <c r="GH49" s="376"/>
      <c r="GI49" s="376"/>
      <c r="GJ49" s="376"/>
      <c r="GK49" s="376"/>
      <c r="GL49" s="376"/>
      <c r="GM49" s="376"/>
      <c r="GN49" s="376"/>
      <c r="GO49" s="376"/>
      <c r="GP49" s="376"/>
      <c r="GQ49" s="376"/>
      <c r="GR49" s="376"/>
      <c r="GS49" s="376"/>
      <c r="GT49" s="376"/>
      <c r="GU49" s="376"/>
      <c r="GV49" s="376"/>
      <c r="GW49" s="376"/>
      <c r="GX49" s="376"/>
      <c r="GY49" s="376"/>
      <c r="GZ49" s="376"/>
      <c r="HA49" s="376"/>
      <c r="HB49" s="376"/>
      <c r="HC49" s="376"/>
      <c r="HD49" s="376"/>
      <c r="HE49" s="376"/>
      <c r="HF49" s="376"/>
      <c r="HG49" s="376"/>
      <c r="HH49" s="376"/>
      <c r="HI49" s="376"/>
      <c r="HJ49" s="376"/>
      <c r="HK49" s="376"/>
      <c r="HL49" s="376"/>
      <c r="HM49" s="376"/>
      <c r="HN49" s="376"/>
      <c r="HO49" s="376"/>
      <c r="HP49" s="376"/>
      <c r="HQ49" s="376"/>
      <c r="HR49" s="376"/>
      <c r="HS49" s="376"/>
      <c r="HT49" s="376"/>
      <c r="HU49" s="376"/>
      <c r="HV49" s="376"/>
      <c r="HW49" s="376"/>
      <c r="HX49" s="376"/>
      <c r="HY49" s="376"/>
      <c r="HZ49" s="376"/>
      <c r="IA49" s="376"/>
      <c r="IB49" s="376"/>
      <c r="IC49" s="376"/>
      <c r="ID49" s="376"/>
      <c r="IE49" s="376"/>
      <c r="IF49" s="376"/>
      <c r="IG49" s="376"/>
      <c r="IH49" s="376"/>
      <c r="II49" s="376"/>
      <c r="IJ49" s="376"/>
      <c r="IK49" s="376"/>
      <c r="IL49" s="376"/>
      <c r="IM49" s="376"/>
      <c r="IN49" s="376"/>
      <c r="IO49" s="376"/>
      <c r="IP49" s="376"/>
      <c r="IQ49" s="376"/>
    </row>
    <row r="50" spans="1:251" ht="18" customHeight="1" x14ac:dyDescent="0.3">
      <c r="A50" s="177">
        <v>52</v>
      </c>
      <c r="B50" s="188"/>
      <c r="C50" s="165"/>
      <c r="D50" s="372" t="s">
        <v>702</v>
      </c>
      <c r="E50" s="189"/>
      <c r="F50" s="190"/>
      <c r="G50" s="370"/>
      <c r="H50" s="371"/>
      <c r="I50" s="375"/>
      <c r="J50" s="189">
        <v>5371</v>
      </c>
      <c r="K50" s="189"/>
      <c r="L50" s="193">
        <f t="shared" si="0"/>
        <v>5371</v>
      </c>
      <c r="M50" s="197"/>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6"/>
      <c r="BR50" s="376"/>
      <c r="BS50" s="376"/>
      <c r="BT50" s="376"/>
      <c r="BU50" s="376"/>
      <c r="BV50" s="376"/>
      <c r="BW50" s="376"/>
      <c r="BX50" s="376"/>
      <c r="BY50" s="376"/>
      <c r="BZ50" s="376"/>
      <c r="CA50" s="376"/>
      <c r="CB50" s="376"/>
      <c r="CC50" s="376"/>
      <c r="CD50" s="376"/>
      <c r="CE50" s="376"/>
      <c r="CF50" s="376"/>
      <c r="CG50" s="376"/>
      <c r="CH50" s="376"/>
      <c r="CI50" s="376"/>
      <c r="CJ50" s="376"/>
      <c r="CK50" s="376"/>
      <c r="CL50" s="376"/>
      <c r="CM50" s="376"/>
      <c r="CN50" s="376"/>
      <c r="CO50" s="376"/>
      <c r="CP50" s="376"/>
      <c r="CQ50" s="376"/>
      <c r="CR50" s="376"/>
      <c r="CS50" s="376"/>
      <c r="CT50" s="376"/>
      <c r="CU50" s="376"/>
      <c r="CV50" s="376"/>
      <c r="CW50" s="376"/>
      <c r="CX50" s="376"/>
      <c r="CY50" s="376"/>
      <c r="CZ50" s="376"/>
      <c r="DA50" s="376"/>
      <c r="DB50" s="376"/>
      <c r="DC50" s="376"/>
      <c r="DD50" s="376"/>
      <c r="DE50" s="376"/>
      <c r="DF50" s="376"/>
      <c r="DG50" s="376"/>
      <c r="DH50" s="376"/>
      <c r="DI50" s="376"/>
      <c r="DJ50" s="376"/>
      <c r="DK50" s="376"/>
      <c r="DL50" s="376"/>
      <c r="DM50" s="376"/>
      <c r="DN50" s="376"/>
      <c r="DO50" s="376"/>
      <c r="DP50" s="376"/>
      <c r="DQ50" s="376"/>
      <c r="DR50" s="376"/>
      <c r="DS50" s="376"/>
      <c r="DT50" s="376"/>
      <c r="DU50" s="376"/>
      <c r="DV50" s="376"/>
      <c r="DW50" s="376"/>
      <c r="DX50" s="376"/>
      <c r="DY50" s="376"/>
      <c r="DZ50" s="376"/>
      <c r="EA50" s="376"/>
      <c r="EB50" s="376"/>
      <c r="EC50" s="376"/>
      <c r="ED50" s="376"/>
      <c r="EE50" s="376"/>
      <c r="EF50" s="376"/>
      <c r="EG50" s="376"/>
      <c r="EH50" s="376"/>
      <c r="EI50" s="376"/>
      <c r="EJ50" s="376"/>
      <c r="EK50" s="376"/>
      <c r="EL50" s="376"/>
      <c r="EM50" s="376"/>
      <c r="EN50" s="376"/>
      <c r="EO50" s="376"/>
      <c r="EP50" s="376"/>
      <c r="EQ50" s="376"/>
      <c r="ER50" s="376"/>
      <c r="ES50" s="376"/>
      <c r="ET50" s="376"/>
      <c r="EU50" s="376"/>
      <c r="EV50" s="376"/>
      <c r="EW50" s="376"/>
      <c r="EX50" s="376"/>
      <c r="EY50" s="376"/>
      <c r="EZ50" s="376"/>
      <c r="FA50" s="376"/>
      <c r="FB50" s="376"/>
      <c r="FC50" s="376"/>
      <c r="FD50" s="376"/>
      <c r="FE50" s="376"/>
      <c r="FF50" s="376"/>
      <c r="FG50" s="376"/>
      <c r="FH50" s="376"/>
      <c r="FI50" s="376"/>
      <c r="FJ50" s="376"/>
      <c r="FK50" s="376"/>
      <c r="FL50" s="376"/>
      <c r="FM50" s="376"/>
      <c r="FN50" s="376"/>
      <c r="FO50" s="376"/>
      <c r="FP50" s="376"/>
      <c r="FQ50" s="376"/>
      <c r="FR50" s="376"/>
      <c r="FS50" s="376"/>
      <c r="FT50" s="376"/>
      <c r="FU50" s="376"/>
      <c r="FV50" s="376"/>
      <c r="FW50" s="376"/>
      <c r="FX50" s="376"/>
      <c r="FY50" s="376"/>
      <c r="FZ50" s="376"/>
      <c r="GA50" s="376"/>
      <c r="GB50" s="376"/>
      <c r="GC50" s="376"/>
      <c r="GD50" s="376"/>
      <c r="GE50" s="376"/>
      <c r="GF50" s="376"/>
      <c r="GG50" s="376"/>
      <c r="GH50" s="376"/>
      <c r="GI50" s="376"/>
      <c r="GJ50" s="376"/>
      <c r="GK50" s="376"/>
      <c r="GL50" s="376"/>
      <c r="GM50" s="376"/>
      <c r="GN50" s="376"/>
      <c r="GO50" s="376"/>
      <c r="GP50" s="376"/>
      <c r="GQ50" s="376"/>
      <c r="GR50" s="376"/>
      <c r="GS50" s="376"/>
      <c r="GT50" s="376"/>
      <c r="GU50" s="376"/>
      <c r="GV50" s="376"/>
      <c r="GW50" s="376"/>
      <c r="GX50" s="376"/>
      <c r="GY50" s="376"/>
      <c r="GZ50" s="376"/>
      <c r="HA50" s="376"/>
      <c r="HB50" s="376"/>
      <c r="HC50" s="376"/>
      <c r="HD50" s="376"/>
      <c r="HE50" s="376"/>
      <c r="HF50" s="376"/>
      <c r="HG50" s="376"/>
      <c r="HH50" s="376"/>
      <c r="HI50" s="376"/>
      <c r="HJ50" s="376"/>
      <c r="HK50" s="376"/>
      <c r="HL50" s="376"/>
      <c r="HM50" s="376"/>
      <c r="HN50" s="376"/>
      <c r="HO50" s="376"/>
      <c r="HP50" s="376"/>
      <c r="HQ50" s="376"/>
      <c r="HR50" s="376"/>
      <c r="HS50" s="376"/>
      <c r="HT50" s="376"/>
      <c r="HU50" s="376"/>
      <c r="HV50" s="376"/>
      <c r="HW50" s="376"/>
      <c r="HX50" s="376"/>
      <c r="HY50" s="376"/>
      <c r="HZ50" s="376"/>
      <c r="IA50" s="376"/>
      <c r="IB50" s="376"/>
      <c r="IC50" s="376"/>
      <c r="ID50" s="376"/>
      <c r="IE50" s="376"/>
      <c r="IF50" s="376"/>
      <c r="IG50" s="376"/>
      <c r="IH50" s="376"/>
      <c r="II50" s="376"/>
      <c r="IJ50" s="376"/>
      <c r="IK50" s="376"/>
      <c r="IL50" s="376"/>
      <c r="IM50" s="376"/>
      <c r="IN50" s="376"/>
      <c r="IO50" s="376"/>
      <c r="IP50" s="376"/>
      <c r="IQ50" s="376"/>
    </row>
    <row r="51" spans="1:251" ht="18" customHeight="1" x14ac:dyDescent="0.3">
      <c r="A51" s="177">
        <v>53</v>
      </c>
      <c r="B51" s="188"/>
      <c r="C51" s="165"/>
      <c r="D51" s="275" t="s">
        <v>745</v>
      </c>
      <c r="E51" s="189"/>
      <c r="F51" s="190"/>
      <c r="G51" s="370"/>
      <c r="H51" s="371"/>
      <c r="I51" s="375"/>
      <c r="J51" s="189">
        <v>149</v>
      </c>
      <c r="K51" s="189"/>
      <c r="L51" s="193">
        <f t="shared" si="0"/>
        <v>149</v>
      </c>
      <c r="M51" s="197"/>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6"/>
      <c r="BR51" s="376"/>
      <c r="BS51" s="376"/>
      <c r="BT51" s="376"/>
      <c r="BU51" s="376"/>
      <c r="BV51" s="376"/>
      <c r="BW51" s="376"/>
      <c r="BX51" s="376"/>
      <c r="BY51" s="376"/>
      <c r="BZ51" s="376"/>
      <c r="CA51" s="376"/>
      <c r="CB51" s="376"/>
      <c r="CC51" s="376"/>
      <c r="CD51" s="376"/>
      <c r="CE51" s="376"/>
      <c r="CF51" s="376"/>
      <c r="CG51" s="376"/>
      <c r="CH51" s="376"/>
      <c r="CI51" s="376"/>
      <c r="CJ51" s="376"/>
      <c r="CK51" s="376"/>
      <c r="CL51" s="376"/>
      <c r="CM51" s="376"/>
      <c r="CN51" s="376"/>
      <c r="CO51" s="376"/>
      <c r="CP51" s="376"/>
      <c r="CQ51" s="376"/>
      <c r="CR51" s="376"/>
      <c r="CS51" s="376"/>
      <c r="CT51" s="376"/>
      <c r="CU51" s="376"/>
      <c r="CV51" s="376"/>
      <c r="CW51" s="376"/>
      <c r="CX51" s="376"/>
      <c r="CY51" s="376"/>
      <c r="CZ51" s="376"/>
      <c r="DA51" s="376"/>
      <c r="DB51" s="376"/>
      <c r="DC51" s="376"/>
      <c r="DD51" s="376"/>
      <c r="DE51" s="376"/>
      <c r="DF51" s="376"/>
      <c r="DG51" s="376"/>
      <c r="DH51" s="376"/>
      <c r="DI51" s="376"/>
      <c r="DJ51" s="376"/>
      <c r="DK51" s="376"/>
      <c r="DL51" s="376"/>
      <c r="DM51" s="376"/>
      <c r="DN51" s="376"/>
      <c r="DO51" s="376"/>
      <c r="DP51" s="376"/>
      <c r="DQ51" s="376"/>
      <c r="DR51" s="376"/>
      <c r="DS51" s="376"/>
      <c r="DT51" s="376"/>
      <c r="DU51" s="376"/>
      <c r="DV51" s="376"/>
      <c r="DW51" s="376"/>
      <c r="DX51" s="376"/>
      <c r="DY51" s="376"/>
      <c r="DZ51" s="376"/>
      <c r="EA51" s="376"/>
      <c r="EB51" s="376"/>
      <c r="EC51" s="376"/>
      <c r="ED51" s="376"/>
      <c r="EE51" s="376"/>
      <c r="EF51" s="376"/>
      <c r="EG51" s="376"/>
      <c r="EH51" s="376"/>
      <c r="EI51" s="376"/>
      <c r="EJ51" s="376"/>
      <c r="EK51" s="376"/>
      <c r="EL51" s="376"/>
      <c r="EM51" s="376"/>
      <c r="EN51" s="376"/>
      <c r="EO51" s="376"/>
      <c r="EP51" s="376"/>
      <c r="EQ51" s="376"/>
      <c r="ER51" s="376"/>
      <c r="ES51" s="376"/>
      <c r="ET51" s="376"/>
      <c r="EU51" s="376"/>
      <c r="EV51" s="376"/>
      <c r="EW51" s="376"/>
      <c r="EX51" s="376"/>
      <c r="EY51" s="376"/>
      <c r="EZ51" s="376"/>
      <c r="FA51" s="376"/>
      <c r="FB51" s="376"/>
      <c r="FC51" s="376"/>
      <c r="FD51" s="376"/>
      <c r="FE51" s="376"/>
      <c r="FF51" s="376"/>
      <c r="FG51" s="376"/>
      <c r="FH51" s="376"/>
      <c r="FI51" s="376"/>
      <c r="FJ51" s="376"/>
      <c r="FK51" s="376"/>
      <c r="FL51" s="376"/>
      <c r="FM51" s="376"/>
      <c r="FN51" s="376"/>
      <c r="FO51" s="376"/>
      <c r="FP51" s="376"/>
      <c r="FQ51" s="376"/>
      <c r="FR51" s="376"/>
      <c r="FS51" s="376"/>
      <c r="FT51" s="376"/>
      <c r="FU51" s="376"/>
      <c r="FV51" s="376"/>
      <c r="FW51" s="376"/>
      <c r="FX51" s="376"/>
      <c r="FY51" s="376"/>
      <c r="FZ51" s="376"/>
      <c r="GA51" s="376"/>
      <c r="GB51" s="376"/>
      <c r="GC51" s="376"/>
      <c r="GD51" s="376"/>
      <c r="GE51" s="376"/>
      <c r="GF51" s="376"/>
      <c r="GG51" s="376"/>
      <c r="GH51" s="376"/>
      <c r="GI51" s="376"/>
      <c r="GJ51" s="376"/>
      <c r="GK51" s="376"/>
      <c r="GL51" s="376"/>
      <c r="GM51" s="376"/>
      <c r="GN51" s="376"/>
      <c r="GO51" s="376"/>
      <c r="GP51" s="376"/>
      <c r="GQ51" s="376"/>
      <c r="GR51" s="376"/>
      <c r="GS51" s="376"/>
      <c r="GT51" s="376"/>
      <c r="GU51" s="376"/>
      <c r="GV51" s="376"/>
      <c r="GW51" s="376"/>
      <c r="GX51" s="376"/>
      <c r="GY51" s="376"/>
      <c r="GZ51" s="376"/>
      <c r="HA51" s="376"/>
      <c r="HB51" s="376"/>
      <c r="HC51" s="376"/>
      <c r="HD51" s="376"/>
      <c r="HE51" s="376"/>
      <c r="HF51" s="376"/>
      <c r="HG51" s="376"/>
      <c r="HH51" s="376"/>
      <c r="HI51" s="376"/>
      <c r="HJ51" s="376"/>
      <c r="HK51" s="376"/>
      <c r="HL51" s="376"/>
      <c r="HM51" s="376"/>
      <c r="HN51" s="376"/>
      <c r="HO51" s="376"/>
      <c r="HP51" s="376"/>
      <c r="HQ51" s="376"/>
      <c r="HR51" s="376"/>
      <c r="HS51" s="376"/>
      <c r="HT51" s="376"/>
      <c r="HU51" s="376"/>
      <c r="HV51" s="376"/>
      <c r="HW51" s="376"/>
      <c r="HX51" s="376"/>
      <c r="HY51" s="376"/>
      <c r="HZ51" s="376"/>
      <c r="IA51" s="376"/>
      <c r="IB51" s="376"/>
      <c r="IC51" s="376"/>
      <c r="ID51" s="376"/>
      <c r="IE51" s="376"/>
      <c r="IF51" s="376"/>
      <c r="IG51" s="376"/>
      <c r="IH51" s="376"/>
      <c r="II51" s="376"/>
      <c r="IJ51" s="376"/>
      <c r="IK51" s="376"/>
      <c r="IL51" s="376"/>
      <c r="IM51" s="376"/>
      <c r="IN51" s="376"/>
      <c r="IO51" s="376"/>
      <c r="IP51" s="376"/>
      <c r="IQ51" s="376"/>
    </row>
    <row r="52" spans="1:251" ht="22.15" customHeight="1" x14ac:dyDescent="0.3">
      <c r="A52" s="177">
        <v>55</v>
      </c>
      <c r="B52" s="188"/>
      <c r="C52" s="195">
        <v>31</v>
      </c>
      <c r="D52" s="373" t="s">
        <v>491</v>
      </c>
      <c r="E52" s="189">
        <f>F52+G52</f>
        <v>3359</v>
      </c>
      <c r="F52" s="190">
        <v>3359</v>
      </c>
      <c r="G52" s="370"/>
      <c r="H52" s="371" t="s">
        <v>24</v>
      </c>
      <c r="I52" s="375"/>
      <c r="J52" s="189"/>
      <c r="K52" s="189"/>
      <c r="L52" s="193"/>
      <c r="M52" s="197"/>
    </row>
    <row r="53" spans="1:251" ht="22.15" customHeight="1" x14ac:dyDescent="0.35">
      <c r="A53" s="177">
        <v>56</v>
      </c>
      <c r="B53" s="188"/>
      <c r="C53" s="195">
        <v>37</v>
      </c>
      <c r="D53" s="377" t="s">
        <v>370</v>
      </c>
      <c r="E53" s="189">
        <f>F53+G53+L55+M54</f>
        <v>18120</v>
      </c>
      <c r="F53" s="190">
        <v>850</v>
      </c>
      <c r="G53" s="198">
        <v>5112</v>
      </c>
      <c r="H53" s="199" t="s">
        <v>24</v>
      </c>
      <c r="I53" s="189"/>
      <c r="J53" s="189"/>
      <c r="K53" s="189"/>
      <c r="L53" s="200"/>
      <c r="M53" s="197"/>
    </row>
    <row r="54" spans="1:251" ht="18" customHeight="1" x14ac:dyDescent="0.3">
      <c r="A54" s="177">
        <v>57</v>
      </c>
      <c r="B54" s="188"/>
      <c r="C54" s="165"/>
      <c r="D54" s="378" t="s">
        <v>239</v>
      </c>
      <c r="E54" s="189"/>
      <c r="F54" s="190"/>
      <c r="G54" s="198"/>
      <c r="H54" s="199"/>
      <c r="I54" s="1224"/>
      <c r="J54" s="382">
        <f>J62+J66+J70+J58+J74+J78+J82+J86+J90</f>
        <v>4194</v>
      </c>
      <c r="K54" s="382">
        <f>K62+K66+K70+K58+K74+K78+K82+K86+K90</f>
        <v>350</v>
      </c>
      <c r="L54" s="383">
        <f t="shared" ref="L54:L166" si="2">SUM(I54:K54)</f>
        <v>4544</v>
      </c>
      <c r="M54" s="197"/>
    </row>
    <row r="55" spans="1:251" ht="18" customHeight="1" x14ac:dyDescent="0.3">
      <c r="A55" s="177">
        <v>58</v>
      </c>
      <c r="B55" s="188"/>
      <c r="C55" s="165"/>
      <c r="D55" s="372" t="s">
        <v>702</v>
      </c>
      <c r="E55" s="189"/>
      <c r="F55" s="190"/>
      <c r="G55" s="198"/>
      <c r="H55" s="199"/>
      <c r="I55" s="189"/>
      <c r="J55" s="379">
        <f>J63+J67+J71+J59+J75+J79+J83+J87+J91+J94+J97+J100+J103+J106+J109+J112</f>
        <v>9758</v>
      </c>
      <c r="K55" s="379">
        <f>K63+K67+K71+K59+K75+K79+K83+K87+K91+K94+K97+K100+K103+K106+K109+K112</f>
        <v>2400</v>
      </c>
      <c r="L55" s="202">
        <f>SUM(I55:K55)</f>
        <v>12158</v>
      </c>
      <c r="M55" s="197"/>
    </row>
    <row r="56" spans="1:251" ht="18" customHeight="1" x14ac:dyDescent="0.3">
      <c r="A56" s="177">
        <v>59</v>
      </c>
      <c r="B56" s="188"/>
      <c r="C56" s="165"/>
      <c r="D56" s="275" t="s">
        <v>745</v>
      </c>
      <c r="E56" s="189"/>
      <c r="F56" s="190"/>
      <c r="G56" s="198"/>
      <c r="H56" s="199"/>
      <c r="I56" s="380"/>
      <c r="J56" s="380">
        <f>J64+J68+J72+J60+J76+J80+J84+J88+J92+J95+J98+J101+J104+J107+J110+J113</f>
        <v>800</v>
      </c>
      <c r="K56" s="380">
        <f>K64+K68+K72+K60+K76+K80+K84+K88+K92+K95+K98+K101+K104+K107+K110+K113</f>
        <v>200</v>
      </c>
      <c r="L56" s="203">
        <f t="shared" si="2"/>
        <v>1000</v>
      </c>
      <c r="M56" s="197"/>
    </row>
    <row r="57" spans="1:251" ht="33.75" customHeight="1" x14ac:dyDescent="0.3">
      <c r="A57" s="177">
        <v>61</v>
      </c>
      <c r="B57" s="188"/>
      <c r="C57" s="165"/>
      <c r="D57" s="381" t="s">
        <v>471</v>
      </c>
      <c r="E57" s="380">
        <f>F57+G57+L59</f>
        <v>150</v>
      </c>
      <c r="F57" s="190"/>
      <c r="G57" s="198"/>
      <c r="H57" s="199"/>
      <c r="I57" s="189"/>
      <c r="J57" s="382"/>
      <c r="K57" s="382"/>
      <c r="L57" s="383"/>
      <c r="M57" s="197"/>
    </row>
    <row r="58" spans="1:251" ht="18" customHeight="1" x14ac:dyDescent="0.3">
      <c r="A58" s="177">
        <v>62</v>
      </c>
      <c r="B58" s="188"/>
      <c r="C58" s="165"/>
      <c r="D58" s="384" t="s">
        <v>239</v>
      </c>
      <c r="E58" s="189"/>
      <c r="F58" s="190"/>
      <c r="G58" s="198"/>
      <c r="H58" s="199"/>
      <c r="I58" s="189"/>
      <c r="J58" s="382"/>
      <c r="K58" s="380">
        <v>150</v>
      </c>
      <c r="L58" s="203">
        <f t="shared" si="2"/>
        <v>150</v>
      </c>
      <c r="M58" s="197"/>
    </row>
    <row r="59" spans="1:251" ht="18" customHeight="1" x14ac:dyDescent="0.3">
      <c r="A59" s="177">
        <v>63</v>
      </c>
      <c r="B59" s="188"/>
      <c r="C59" s="165"/>
      <c r="D59" s="385" t="s">
        <v>702</v>
      </c>
      <c r="E59" s="189"/>
      <c r="F59" s="190"/>
      <c r="G59" s="198"/>
      <c r="H59" s="199"/>
      <c r="I59" s="189"/>
      <c r="J59" s="382"/>
      <c r="K59" s="380">
        <v>150</v>
      </c>
      <c r="L59" s="203">
        <f t="shared" si="2"/>
        <v>150</v>
      </c>
      <c r="M59" s="197"/>
    </row>
    <row r="60" spans="1:251" ht="18" customHeight="1" x14ac:dyDescent="0.3">
      <c r="A60" s="177">
        <v>64</v>
      </c>
      <c r="B60" s="188"/>
      <c r="C60" s="165"/>
      <c r="D60" s="385" t="s">
        <v>745</v>
      </c>
      <c r="E60" s="189"/>
      <c r="F60" s="190"/>
      <c r="G60" s="198"/>
      <c r="H60" s="199"/>
      <c r="I60" s="189"/>
      <c r="J60" s="382"/>
      <c r="K60" s="380"/>
      <c r="L60" s="203">
        <f t="shared" si="2"/>
        <v>0</v>
      </c>
      <c r="M60" s="197"/>
    </row>
    <row r="61" spans="1:251" ht="22.15" customHeight="1" x14ac:dyDescent="0.3">
      <c r="A61" s="177">
        <v>66</v>
      </c>
      <c r="B61" s="188"/>
      <c r="C61" s="165"/>
      <c r="D61" s="386" t="s">
        <v>668</v>
      </c>
      <c r="E61" s="380">
        <f>F61+G61+L63</f>
        <v>100</v>
      </c>
      <c r="F61" s="190"/>
      <c r="G61" s="198"/>
      <c r="H61" s="199"/>
      <c r="I61" s="189"/>
      <c r="J61" s="189"/>
      <c r="K61" s="189"/>
      <c r="L61" s="200"/>
      <c r="M61" s="197"/>
    </row>
    <row r="62" spans="1:251" ht="18" customHeight="1" x14ac:dyDescent="0.3">
      <c r="A62" s="177">
        <v>67</v>
      </c>
      <c r="B62" s="188"/>
      <c r="C62" s="165"/>
      <c r="D62" s="384" t="s">
        <v>239</v>
      </c>
      <c r="E62" s="189"/>
      <c r="F62" s="190"/>
      <c r="G62" s="198"/>
      <c r="H62" s="199"/>
      <c r="I62" s="189"/>
      <c r="J62" s="380">
        <v>100</v>
      </c>
      <c r="K62" s="380"/>
      <c r="L62" s="203">
        <f t="shared" si="2"/>
        <v>100</v>
      </c>
      <c r="M62" s="197"/>
    </row>
    <row r="63" spans="1:251" ht="18" customHeight="1" x14ac:dyDescent="0.3">
      <c r="A63" s="177">
        <v>68</v>
      </c>
      <c r="B63" s="188"/>
      <c r="C63" s="165"/>
      <c r="D63" s="385" t="s">
        <v>702</v>
      </c>
      <c r="E63" s="189"/>
      <c r="F63" s="190"/>
      <c r="G63" s="198"/>
      <c r="H63" s="199"/>
      <c r="I63" s="189"/>
      <c r="J63" s="380">
        <v>100</v>
      </c>
      <c r="K63" s="380"/>
      <c r="L63" s="203">
        <f t="shared" si="2"/>
        <v>100</v>
      </c>
      <c r="M63" s="197"/>
    </row>
    <row r="64" spans="1:251" ht="18" customHeight="1" x14ac:dyDescent="0.3">
      <c r="A64" s="177">
        <v>69</v>
      </c>
      <c r="B64" s="188"/>
      <c r="C64" s="165"/>
      <c r="D64" s="385" t="s">
        <v>745</v>
      </c>
      <c r="E64" s="189"/>
      <c r="F64" s="190"/>
      <c r="G64" s="198"/>
      <c r="H64" s="199"/>
      <c r="I64" s="189"/>
      <c r="J64" s="380"/>
      <c r="K64" s="380"/>
      <c r="L64" s="203">
        <f t="shared" si="2"/>
        <v>0</v>
      </c>
      <c r="M64" s="197"/>
    </row>
    <row r="65" spans="1:13" ht="32.25" customHeight="1" x14ac:dyDescent="0.3">
      <c r="A65" s="177">
        <v>71</v>
      </c>
      <c r="B65" s="188"/>
      <c r="C65" s="165"/>
      <c r="D65" s="385" t="s">
        <v>667</v>
      </c>
      <c r="E65" s="380">
        <f>F65+G65+L67</f>
        <v>72</v>
      </c>
      <c r="F65" s="190"/>
      <c r="G65" s="198"/>
      <c r="H65" s="199"/>
      <c r="I65" s="189"/>
      <c r="J65" s="380"/>
      <c r="K65" s="380"/>
      <c r="L65" s="203"/>
      <c r="M65" s="197"/>
    </row>
    <row r="66" spans="1:13" ht="18" customHeight="1" x14ac:dyDescent="0.3">
      <c r="A66" s="177">
        <v>72</v>
      </c>
      <c r="B66" s="188"/>
      <c r="C66" s="165"/>
      <c r="D66" s="384" t="s">
        <v>239</v>
      </c>
      <c r="E66" s="189"/>
      <c r="F66" s="190"/>
      <c r="G66" s="198"/>
      <c r="H66" s="199"/>
      <c r="I66" s="189"/>
      <c r="J66" s="380">
        <v>72</v>
      </c>
      <c r="K66" s="380"/>
      <c r="L66" s="203">
        <f t="shared" si="2"/>
        <v>72</v>
      </c>
      <c r="M66" s="197"/>
    </row>
    <row r="67" spans="1:13" ht="18" customHeight="1" x14ac:dyDescent="0.3">
      <c r="A67" s="177">
        <v>73</v>
      </c>
      <c r="B67" s="188"/>
      <c r="C67" s="165"/>
      <c r="D67" s="385" t="s">
        <v>702</v>
      </c>
      <c r="E67" s="189"/>
      <c r="F67" s="190"/>
      <c r="G67" s="198"/>
      <c r="H67" s="199"/>
      <c r="I67" s="189"/>
      <c r="J67" s="380">
        <v>72</v>
      </c>
      <c r="K67" s="380"/>
      <c r="L67" s="203">
        <f t="shared" si="2"/>
        <v>72</v>
      </c>
      <c r="M67" s="197"/>
    </row>
    <row r="68" spans="1:13" ht="18" customHeight="1" x14ac:dyDescent="0.3">
      <c r="A68" s="177">
        <v>74</v>
      </c>
      <c r="B68" s="188"/>
      <c r="C68" s="165"/>
      <c r="D68" s="385" t="s">
        <v>745</v>
      </c>
      <c r="E68" s="189"/>
      <c r="F68" s="190"/>
      <c r="G68" s="198"/>
      <c r="H68" s="199"/>
      <c r="I68" s="189"/>
      <c r="J68" s="380"/>
      <c r="K68" s="380"/>
      <c r="L68" s="203">
        <f t="shared" si="2"/>
        <v>0</v>
      </c>
      <c r="M68" s="197"/>
    </row>
    <row r="69" spans="1:13" ht="30.75" customHeight="1" x14ac:dyDescent="0.3">
      <c r="A69" s="177">
        <v>76</v>
      </c>
      <c r="B69" s="188"/>
      <c r="C69" s="165"/>
      <c r="D69" s="385" t="s">
        <v>669</v>
      </c>
      <c r="E69" s="380">
        <f>F69+G69+L71</f>
        <v>221</v>
      </c>
      <c r="F69" s="190"/>
      <c r="G69" s="198"/>
      <c r="H69" s="199"/>
      <c r="I69" s="189"/>
      <c r="J69" s="380"/>
      <c r="K69" s="380"/>
      <c r="L69" s="203"/>
      <c r="M69" s="197"/>
    </row>
    <row r="70" spans="1:13" ht="18" customHeight="1" x14ac:dyDescent="0.3">
      <c r="A70" s="177">
        <v>77</v>
      </c>
      <c r="B70" s="188"/>
      <c r="C70" s="165"/>
      <c r="D70" s="384" t="s">
        <v>239</v>
      </c>
      <c r="E70" s="189"/>
      <c r="F70" s="190"/>
      <c r="G70" s="198"/>
      <c r="H70" s="199"/>
      <c r="I70" s="189"/>
      <c r="J70" s="380">
        <v>221</v>
      </c>
      <c r="K70" s="380"/>
      <c r="L70" s="203">
        <f t="shared" si="2"/>
        <v>221</v>
      </c>
      <c r="M70" s="197"/>
    </row>
    <row r="71" spans="1:13" ht="18" customHeight="1" x14ac:dyDescent="0.3">
      <c r="A71" s="177">
        <v>78</v>
      </c>
      <c r="B71" s="188"/>
      <c r="C71" s="165"/>
      <c r="D71" s="385" t="s">
        <v>702</v>
      </c>
      <c r="E71" s="189"/>
      <c r="F71" s="190"/>
      <c r="G71" s="198"/>
      <c r="H71" s="199"/>
      <c r="I71" s="189"/>
      <c r="J71" s="380">
        <v>221</v>
      </c>
      <c r="K71" s="380"/>
      <c r="L71" s="203">
        <f t="shared" si="2"/>
        <v>221</v>
      </c>
      <c r="M71" s="197"/>
    </row>
    <row r="72" spans="1:13" ht="18" customHeight="1" x14ac:dyDescent="0.3">
      <c r="A72" s="177">
        <v>79</v>
      </c>
      <c r="B72" s="188"/>
      <c r="C72" s="165"/>
      <c r="D72" s="385" t="s">
        <v>745</v>
      </c>
      <c r="E72" s="189"/>
      <c r="F72" s="190"/>
      <c r="G72" s="198"/>
      <c r="H72" s="199"/>
      <c r="I72" s="189"/>
      <c r="J72" s="380"/>
      <c r="K72" s="380"/>
      <c r="L72" s="203">
        <f t="shared" si="2"/>
        <v>0</v>
      </c>
      <c r="M72" s="197"/>
    </row>
    <row r="73" spans="1:13" ht="18" customHeight="1" x14ac:dyDescent="0.3">
      <c r="A73" s="177">
        <v>81</v>
      </c>
      <c r="B73" s="188"/>
      <c r="C73" s="165"/>
      <c r="D73" s="385" t="s">
        <v>670</v>
      </c>
      <c r="E73" s="380">
        <f>F73+G73+L75</f>
        <v>300</v>
      </c>
      <c r="F73" s="190"/>
      <c r="G73" s="198"/>
      <c r="H73" s="199"/>
      <c r="I73" s="189"/>
      <c r="J73" s="380"/>
      <c r="K73" s="380"/>
      <c r="L73" s="203"/>
      <c r="M73" s="197"/>
    </row>
    <row r="74" spans="1:13" ht="18" customHeight="1" x14ac:dyDescent="0.3">
      <c r="A74" s="177">
        <v>82</v>
      </c>
      <c r="B74" s="188"/>
      <c r="C74" s="165"/>
      <c r="D74" s="384" t="s">
        <v>239</v>
      </c>
      <c r="E74" s="189"/>
      <c r="F74" s="190"/>
      <c r="G74" s="198"/>
      <c r="H74" s="199"/>
      <c r="I74" s="189"/>
      <c r="J74" s="380">
        <v>300</v>
      </c>
      <c r="K74" s="380"/>
      <c r="L74" s="203">
        <f t="shared" si="2"/>
        <v>300</v>
      </c>
      <c r="M74" s="197"/>
    </row>
    <row r="75" spans="1:13" ht="18" customHeight="1" x14ac:dyDescent="0.3">
      <c r="A75" s="177">
        <v>83</v>
      </c>
      <c r="B75" s="188"/>
      <c r="C75" s="165"/>
      <c r="D75" s="385" t="s">
        <v>702</v>
      </c>
      <c r="E75" s="189"/>
      <c r="F75" s="190"/>
      <c r="G75" s="198"/>
      <c r="H75" s="199"/>
      <c r="I75" s="189"/>
      <c r="J75" s="380">
        <v>300</v>
      </c>
      <c r="K75" s="380"/>
      <c r="L75" s="203">
        <f t="shared" si="2"/>
        <v>300</v>
      </c>
      <c r="M75" s="197"/>
    </row>
    <row r="76" spans="1:13" ht="18" customHeight="1" x14ac:dyDescent="0.3">
      <c r="A76" s="177">
        <v>84</v>
      </c>
      <c r="B76" s="188"/>
      <c r="C76" s="165"/>
      <c r="D76" s="385" t="s">
        <v>745</v>
      </c>
      <c r="E76" s="189"/>
      <c r="F76" s="190"/>
      <c r="G76" s="198"/>
      <c r="H76" s="199"/>
      <c r="I76" s="189"/>
      <c r="J76" s="380"/>
      <c r="K76" s="380"/>
      <c r="L76" s="203">
        <f t="shared" si="2"/>
        <v>0</v>
      </c>
      <c r="M76" s="197"/>
    </row>
    <row r="77" spans="1:13" ht="18" customHeight="1" x14ac:dyDescent="0.3">
      <c r="A77" s="177">
        <v>86</v>
      </c>
      <c r="B77" s="188"/>
      <c r="C77" s="165"/>
      <c r="D77" s="385" t="s">
        <v>671</v>
      </c>
      <c r="E77" s="380">
        <f>F77+G77+L79</f>
        <v>1200</v>
      </c>
      <c r="F77" s="190"/>
      <c r="G77" s="198"/>
      <c r="H77" s="199"/>
      <c r="I77" s="189"/>
      <c r="J77" s="380"/>
      <c r="K77" s="380"/>
      <c r="L77" s="203"/>
      <c r="M77" s="197"/>
    </row>
    <row r="78" spans="1:13" ht="18" customHeight="1" x14ac:dyDescent="0.3">
      <c r="A78" s="177">
        <v>87</v>
      </c>
      <c r="B78" s="188"/>
      <c r="C78" s="165"/>
      <c r="D78" s="384" t="s">
        <v>239</v>
      </c>
      <c r="E78" s="189"/>
      <c r="F78" s="190"/>
      <c r="G78" s="198"/>
      <c r="H78" s="199"/>
      <c r="I78" s="189"/>
      <c r="J78" s="380">
        <v>1200</v>
      </c>
      <c r="K78" s="380"/>
      <c r="L78" s="203">
        <f t="shared" si="2"/>
        <v>1200</v>
      </c>
      <c r="M78" s="197"/>
    </row>
    <row r="79" spans="1:13" ht="18" customHeight="1" x14ac:dyDescent="0.3">
      <c r="A79" s="177">
        <v>88</v>
      </c>
      <c r="B79" s="188"/>
      <c r="C79" s="165"/>
      <c r="D79" s="385" t="s">
        <v>702</v>
      </c>
      <c r="E79" s="189"/>
      <c r="F79" s="190"/>
      <c r="G79" s="198"/>
      <c r="H79" s="199"/>
      <c r="I79" s="189"/>
      <c r="J79" s="380">
        <v>1200</v>
      </c>
      <c r="K79" s="380"/>
      <c r="L79" s="203">
        <f t="shared" si="2"/>
        <v>1200</v>
      </c>
      <c r="M79" s="197"/>
    </row>
    <row r="80" spans="1:13" ht="18" customHeight="1" x14ac:dyDescent="0.3">
      <c r="A80" s="177">
        <v>89</v>
      </c>
      <c r="B80" s="188"/>
      <c r="C80" s="165"/>
      <c r="D80" s="385" t="s">
        <v>745</v>
      </c>
      <c r="E80" s="189"/>
      <c r="F80" s="190"/>
      <c r="G80" s="198"/>
      <c r="H80" s="199"/>
      <c r="I80" s="189"/>
      <c r="J80" s="380"/>
      <c r="K80" s="380"/>
      <c r="L80" s="203">
        <f t="shared" si="2"/>
        <v>0</v>
      </c>
      <c r="M80" s="197"/>
    </row>
    <row r="81" spans="1:13" ht="18" customHeight="1" x14ac:dyDescent="0.3">
      <c r="A81" s="177">
        <v>91</v>
      </c>
      <c r="B81" s="188"/>
      <c r="C81" s="165"/>
      <c r="D81" s="385" t="s">
        <v>674</v>
      </c>
      <c r="E81" s="380">
        <f>F81+G81+L83</f>
        <v>801</v>
      </c>
      <c r="F81" s="190"/>
      <c r="G81" s="198"/>
      <c r="H81" s="199"/>
      <c r="I81" s="189"/>
      <c r="J81" s="380"/>
      <c r="K81" s="380"/>
      <c r="L81" s="203"/>
      <c r="M81" s="197"/>
    </row>
    <row r="82" spans="1:13" ht="18" customHeight="1" x14ac:dyDescent="0.3">
      <c r="A82" s="177">
        <v>92</v>
      </c>
      <c r="B82" s="188"/>
      <c r="C82" s="165"/>
      <c r="D82" s="384" t="s">
        <v>239</v>
      </c>
      <c r="E82" s="189"/>
      <c r="F82" s="190"/>
      <c r="G82" s="198"/>
      <c r="H82" s="199"/>
      <c r="I82" s="189"/>
      <c r="J82" s="380">
        <v>801</v>
      </c>
      <c r="K82" s="380"/>
      <c r="L82" s="203">
        <f t="shared" si="2"/>
        <v>801</v>
      </c>
      <c r="M82" s="197"/>
    </row>
    <row r="83" spans="1:13" ht="18" customHeight="1" x14ac:dyDescent="0.3">
      <c r="A83" s="177">
        <v>93</v>
      </c>
      <c r="B83" s="188"/>
      <c r="C83" s="165"/>
      <c r="D83" s="385" t="s">
        <v>702</v>
      </c>
      <c r="E83" s="189"/>
      <c r="F83" s="190"/>
      <c r="G83" s="198"/>
      <c r="H83" s="199"/>
      <c r="I83" s="189"/>
      <c r="J83" s="380">
        <v>801</v>
      </c>
      <c r="K83" s="380"/>
      <c r="L83" s="203">
        <f t="shared" si="2"/>
        <v>801</v>
      </c>
      <c r="M83" s="197"/>
    </row>
    <row r="84" spans="1:13" ht="18" customHeight="1" x14ac:dyDescent="0.3">
      <c r="A84" s="177">
        <v>94</v>
      </c>
      <c r="B84" s="188"/>
      <c r="C84" s="165"/>
      <c r="D84" s="385" t="s">
        <v>745</v>
      </c>
      <c r="E84" s="189"/>
      <c r="F84" s="190"/>
      <c r="G84" s="198"/>
      <c r="H84" s="199"/>
      <c r="I84" s="189"/>
      <c r="J84" s="380">
        <v>800</v>
      </c>
      <c r="K84" s="380"/>
      <c r="L84" s="203">
        <f t="shared" si="2"/>
        <v>800</v>
      </c>
      <c r="M84" s="197"/>
    </row>
    <row r="85" spans="1:13" ht="32.25" customHeight="1" x14ac:dyDescent="0.3">
      <c r="A85" s="177">
        <v>96</v>
      </c>
      <c r="B85" s="188"/>
      <c r="C85" s="165"/>
      <c r="D85" s="385" t="s">
        <v>673</v>
      </c>
      <c r="E85" s="380">
        <f>F85+G85+L87</f>
        <v>200</v>
      </c>
      <c r="F85" s="190"/>
      <c r="G85" s="198"/>
      <c r="H85" s="199"/>
      <c r="I85" s="189"/>
      <c r="J85" s="380"/>
      <c r="K85" s="380"/>
      <c r="L85" s="203"/>
      <c r="M85" s="197"/>
    </row>
    <row r="86" spans="1:13" ht="18" customHeight="1" x14ac:dyDescent="0.3">
      <c r="A86" s="177">
        <v>97</v>
      </c>
      <c r="B86" s="188"/>
      <c r="C86" s="165"/>
      <c r="D86" s="384" t="s">
        <v>239</v>
      </c>
      <c r="E86" s="189"/>
      <c r="F86" s="190"/>
      <c r="G86" s="198"/>
      <c r="H86" s="199"/>
      <c r="I86" s="189"/>
      <c r="J86" s="380"/>
      <c r="K86" s="380">
        <v>200</v>
      </c>
      <c r="L86" s="203">
        <f t="shared" si="2"/>
        <v>200</v>
      </c>
      <c r="M86" s="197"/>
    </row>
    <row r="87" spans="1:13" ht="18" customHeight="1" x14ac:dyDescent="0.3">
      <c r="A87" s="177">
        <v>98</v>
      </c>
      <c r="B87" s="188"/>
      <c r="C87" s="165"/>
      <c r="D87" s="385" t="s">
        <v>702</v>
      </c>
      <c r="E87" s="189"/>
      <c r="F87" s="190"/>
      <c r="G87" s="198"/>
      <c r="H87" s="199"/>
      <c r="I87" s="189"/>
      <c r="J87" s="380"/>
      <c r="K87" s="380">
        <v>200</v>
      </c>
      <c r="L87" s="203">
        <f t="shared" si="2"/>
        <v>200</v>
      </c>
      <c r="M87" s="197"/>
    </row>
    <row r="88" spans="1:13" ht="18" customHeight="1" x14ac:dyDescent="0.3">
      <c r="A88" s="177">
        <v>99</v>
      </c>
      <c r="B88" s="188"/>
      <c r="C88" s="165"/>
      <c r="D88" s="385" t="s">
        <v>745</v>
      </c>
      <c r="E88" s="189"/>
      <c r="F88" s="190"/>
      <c r="G88" s="198"/>
      <c r="H88" s="199"/>
      <c r="I88" s="189"/>
      <c r="J88" s="380"/>
      <c r="K88" s="380">
        <v>200</v>
      </c>
      <c r="L88" s="203">
        <f t="shared" si="2"/>
        <v>200</v>
      </c>
      <c r="M88" s="197"/>
    </row>
    <row r="89" spans="1:13" ht="18" customHeight="1" x14ac:dyDescent="0.3">
      <c r="A89" s="177">
        <v>101</v>
      </c>
      <c r="B89" s="188"/>
      <c r="C89" s="165"/>
      <c r="D89" s="385" t="s">
        <v>672</v>
      </c>
      <c r="E89" s="380">
        <f>F89+G89+L91</f>
        <v>1500</v>
      </c>
      <c r="F89" s="190"/>
      <c r="G89" s="198"/>
      <c r="H89" s="199"/>
      <c r="I89" s="189"/>
      <c r="J89" s="380"/>
      <c r="K89" s="380"/>
      <c r="L89" s="203"/>
      <c r="M89" s="197"/>
    </row>
    <row r="90" spans="1:13" ht="18" customHeight="1" x14ac:dyDescent="0.3">
      <c r="A90" s="177">
        <v>102</v>
      </c>
      <c r="B90" s="188"/>
      <c r="C90" s="165"/>
      <c r="D90" s="384" t="s">
        <v>239</v>
      </c>
      <c r="E90" s="189"/>
      <c r="F90" s="190"/>
      <c r="G90" s="198"/>
      <c r="H90" s="199"/>
      <c r="I90" s="189"/>
      <c r="J90" s="380">
        <v>1500</v>
      </c>
      <c r="K90" s="380"/>
      <c r="L90" s="203">
        <f t="shared" si="2"/>
        <v>1500</v>
      </c>
      <c r="M90" s="197"/>
    </row>
    <row r="91" spans="1:13" ht="18" customHeight="1" x14ac:dyDescent="0.3">
      <c r="A91" s="177">
        <v>103</v>
      </c>
      <c r="B91" s="188"/>
      <c r="C91" s="165"/>
      <c r="D91" s="385" t="s">
        <v>702</v>
      </c>
      <c r="E91" s="189"/>
      <c r="F91" s="190"/>
      <c r="G91" s="198"/>
      <c r="H91" s="199"/>
      <c r="I91" s="189"/>
      <c r="J91" s="380">
        <v>1500</v>
      </c>
      <c r="K91" s="380"/>
      <c r="L91" s="203">
        <f t="shared" si="2"/>
        <v>1500</v>
      </c>
      <c r="M91" s="197"/>
    </row>
    <row r="92" spans="1:13" ht="18" customHeight="1" x14ac:dyDescent="0.3">
      <c r="A92" s="177">
        <v>104</v>
      </c>
      <c r="B92" s="188"/>
      <c r="C92" s="165"/>
      <c r="D92" s="385" t="s">
        <v>745</v>
      </c>
      <c r="E92" s="189"/>
      <c r="F92" s="190"/>
      <c r="G92" s="198"/>
      <c r="H92" s="199"/>
      <c r="I92" s="189"/>
      <c r="J92" s="380"/>
      <c r="K92" s="380"/>
      <c r="L92" s="203">
        <f t="shared" si="2"/>
        <v>0</v>
      </c>
      <c r="M92" s="197"/>
    </row>
    <row r="93" spans="1:13" ht="30.75" customHeight="1" x14ac:dyDescent="0.3">
      <c r="A93" s="177">
        <v>106</v>
      </c>
      <c r="B93" s="188"/>
      <c r="C93" s="165"/>
      <c r="D93" s="385" t="s">
        <v>808</v>
      </c>
      <c r="E93" s="189">
        <f>F93+G93+L94</f>
        <v>500</v>
      </c>
      <c r="F93" s="190"/>
      <c r="G93" s="198"/>
      <c r="H93" s="199"/>
      <c r="I93" s="189"/>
      <c r="J93" s="380"/>
      <c r="K93" s="380"/>
      <c r="L93" s="203"/>
      <c r="M93" s="197"/>
    </row>
    <row r="94" spans="1:13" ht="18" customHeight="1" x14ac:dyDescent="0.3">
      <c r="A94" s="177">
        <v>107</v>
      </c>
      <c r="B94" s="188"/>
      <c r="C94" s="165"/>
      <c r="D94" s="385" t="s">
        <v>702</v>
      </c>
      <c r="E94" s="189"/>
      <c r="F94" s="190"/>
      <c r="G94" s="198"/>
      <c r="H94" s="199"/>
      <c r="I94" s="189"/>
      <c r="J94" s="380">
        <v>500</v>
      </c>
      <c r="K94" s="380"/>
      <c r="L94" s="203">
        <f t="shared" si="2"/>
        <v>500</v>
      </c>
      <c r="M94" s="197"/>
    </row>
    <row r="95" spans="1:13" ht="18" customHeight="1" x14ac:dyDescent="0.3">
      <c r="A95" s="177">
        <v>108</v>
      </c>
      <c r="B95" s="188"/>
      <c r="C95" s="165"/>
      <c r="D95" s="385" t="s">
        <v>745</v>
      </c>
      <c r="E95" s="189"/>
      <c r="F95" s="190"/>
      <c r="G95" s="198"/>
      <c r="H95" s="199"/>
      <c r="I95" s="189"/>
      <c r="J95" s="380"/>
      <c r="K95" s="380"/>
      <c r="L95" s="203">
        <f t="shared" si="2"/>
        <v>0</v>
      </c>
      <c r="M95" s="197"/>
    </row>
    <row r="96" spans="1:13" ht="28.5" customHeight="1" x14ac:dyDescent="0.3">
      <c r="A96" s="177">
        <v>110</v>
      </c>
      <c r="B96" s="188"/>
      <c r="C96" s="165"/>
      <c r="D96" s="385" t="s">
        <v>809</v>
      </c>
      <c r="E96" s="189">
        <f>F96+G96+L97</f>
        <v>1000</v>
      </c>
      <c r="F96" s="267"/>
      <c r="G96" s="387"/>
      <c r="H96" s="388"/>
      <c r="I96" s="267"/>
      <c r="J96" s="267"/>
      <c r="K96" s="267"/>
      <c r="L96" s="387"/>
      <c r="M96" s="197"/>
    </row>
    <row r="97" spans="1:13" ht="18" customHeight="1" x14ac:dyDescent="0.3">
      <c r="A97" s="177">
        <v>111</v>
      </c>
      <c r="B97" s="188"/>
      <c r="C97" s="165"/>
      <c r="D97" s="385" t="s">
        <v>702</v>
      </c>
      <c r="E97" s="189"/>
      <c r="F97" s="267"/>
      <c r="G97" s="387"/>
      <c r="H97" s="388"/>
      <c r="I97" s="267"/>
      <c r="J97" s="267"/>
      <c r="K97" s="389">
        <v>1000</v>
      </c>
      <c r="L97" s="203">
        <f t="shared" si="2"/>
        <v>1000</v>
      </c>
      <c r="M97" s="197"/>
    </row>
    <row r="98" spans="1:13" ht="18" customHeight="1" x14ac:dyDescent="0.3">
      <c r="A98" s="177">
        <v>112</v>
      </c>
      <c r="B98" s="188"/>
      <c r="C98" s="165"/>
      <c r="D98" s="385" t="s">
        <v>745</v>
      </c>
      <c r="E98" s="189"/>
      <c r="F98" s="190"/>
      <c r="G98" s="198"/>
      <c r="H98" s="199"/>
      <c r="I98" s="189"/>
      <c r="J98" s="380"/>
      <c r="K98" s="380"/>
      <c r="L98" s="203">
        <f t="shared" si="2"/>
        <v>0</v>
      </c>
      <c r="M98" s="197"/>
    </row>
    <row r="99" spans="1:13" ht="34.5" customHeight="1" x14ac:dyDescent="0.3">
      <c r="A99" s="177">
        <v>114</v>
      </c>
      <c r="B99" s="188"/>
      <c r="C99" s="165"/>
      <c r="D99" s="385" t="s">
        <v>810</v>
      </c>
      <c r="E99" s="189">
        <f>F99+G99+L100</f>
        <v>250</v>
      </c>
      <c r="F99" s="190"/>
      <c r="G99" s="198"/>
      <c r="H99" s="199"/>
      <c r="I99" s="189"/>
      <c r="J99" s="380"/>
      <c r="K99" s="380"/>
      <c r="L99" s="203"/>
      <c r="M99" s="197"/>
    </row>
    <row r="100" spans="1:13" ht="18" customHeight="1" x14ac:dyDescent="0.3">
      <c r="A100" s="177">
        <v>115</v>
      </c>
      <c r="B100" s="188"/>
      <c r="C100" s="165"/>
      <c r="D100" s="385" t="s">
        <v>702</v>
      </c>
      <c r="E100" s="189"/>
      <c r="F100" s="190"/>
      <c r="G100" s="198"/>
      <c r="H100" s="199"/>
      <c r="I100" s="189"/>
      <c r="J100" s="380"/>
      <c r="K100" s="380">
        <v>250</v>
      </c>
      <c r="L100" s="203">
        <f t="shared" si="2"/>
        <v>250</v>
      </c>
      <c r="M100" s="197"/>
    </row>
    <row r="101" spans="1:13" ht="18" customHeight="1" x14ac:dyDescent="0.3">
      <c r="A101" s="177">
        <v>116</v>
      </c>
      <c r="B101" s="188"/>
      <c r="C101" s="165"/>
      <c r="D101" s="385" t="s">
        <v>745</v>
      </c>
      <c r="E101" s="189"/>
      <c r="F101" s="190"/>
      <c r="G101" s="198"/>
      <c r="H101" s="199"/>
      <c r="I101" s="189"/>
      <c r="J101" s="380"/>
      <c r="K101" s="380"/>
      <c r="L101" s="203">
        <f t="shared" si="2"/>
        <v>0</v>
      </c>
      <c r="M101" s="197"/>
    </row>
    <row r="102" spans="1:13" ht="32.25" customHeight="1" x14ac:dyDescent="0.3">
      <c r="A102" s="177">
        <v>118</v>
      </c>
      <c r="B102" s="188"/>
      <c r="C102" s="165"/>
      <c r="D102" s="385" t="s">
        <v>811</v>
      </c>
      <c r="E102" s="189">
        <f>F102+G102+L103</f>
        <v>4000</v>
      </c>
      <c r="F102" s="190"/>
      <c r="G102" s="198"/>
      <c r="H102" s="199"/>
      <c r="I102" s="189"/>
      <c r="J102" s="380"/>
      <c r="K102" s="380"/>
      <c r="L102" s="203"/>
      <c r="M102" s="197"/>
    </row>
    <row r="103" spans="1:13" ht="18" customHeight="1" x14ac:dyDescent="0.3">
      <c r="A103" s="177">
        <v>119</v>
      </c>
      <c r="B103" s="188"/>
      <c r="C103" s="165"/>
      <c r="D103" s="385" t="s">
        <v>702</v>
      </c>
      <c r="E103" s="189"/>
      <c r="F103" s="190"/>
      <c r="G103" s="198"/>
      <c r="H103" s="199"/>
      <c r="I103" s="189"/>
      <c r="J103" s="380">
        <v>4000</v>
      </c>
      <c r="K103" s="380"/>
      <c r="L103" s="203">
        <f t="shared" si="2"/>
        <v>4000</v>
      </c>
      <c r="M103" s="197"/>
    </row>
    <row r="104" spans="1:13" ht="18" customHeight="1" x14ac:dyDescent="0.3">
      <c r="A104" s="177">
        <v>120</v>
      </c>
      <c r="B104" s="188"/>
      <c r="C104" s="165"/>
      <c r="D104" s="385" t="s">
        <v>745</v>
      </c>
      <c r="E104" s="189"/>
      <c r="F104" s="190"/>
      <c r="G104" s="198"/>
      <c r="H104" s="199"/>
      <c r="I104" s="189"/>
      <c r="J104" s="380"/>
      <c r="K104" s="380"/>
      <c r="L104" s="203">
        <f t="shared" si="2"/>
        <v>0</v>
      </c>
      <c r="M104" s="197"/>
    </row>
    <row r="105" spans="1:13" ht="18" customHeight="1" x14ac:dyDescent="0.3">
      <c r="A105" s="177">
        <v>122</v>
      </c>
      <c r="B105" s="188"/>
      <c r="C105" s="165"/>
      <c r="D105" s="385" t="s">
        <v>812</v>
      </c>
      <c r="E105" s="189">
        <f>F105+G105+L106</f>
        <v>1064</v>
      </c>
      <c r="F105" s="190"/>
      <c r="G105" s="198"/>
      <c r="H105" s="199"/>
      <c r="I105" s="189"/>
      <c r="J105" s="380"/>
      <c r="K105" s="380"/>
      <c r="L105" s="203"/>
      <c r="M105" s="197"/>
    </row>
    <row r="106" spans="1:13" ht="18" customHeight="1" x14ac:dyDescent="0.3">
      <c r="A106" s="177">
        <v>123</v>
      </c>
      <c r="B106" s="188"/>
      <c r="C106" s="165"/>
      <c r="D106" s="385" t="s">
        <v>702</v>
      </c>
      <c r="E106" s="189"/>
      <c r="F106" s="190"/>
      <c r="G106" s="198"/>
      <c r="H106" s="199"/>
      <c r="I106" s="189"/>
      <c r="J106" s="380">
        <v>1064</v>
      </c>
      <c r="K106" s="380"/>
      <c r="L106" s="203">
        <f t="shared" si="2"/>
        <v>1064</v>
      </c>
      <c r="M106" s="197"/>
    </row>
    <row r="107" spans="1:13" ht="18" customHeight="1" x14ac:dyDescent="0.3">
      <c r="A107" s="177">
        <v>124</v>
      </c>
      <c r="B107" s="188"/>
      <c r="C107" s="165"/>
      <c r="D107" s="385" t="s">
        <v>745</v>
      </c>
      <c r="E107" s="189"/>
      <c r="F107" s="190"/>
      <c r="G107" s="198"/>
      <c r="H107" s="199"/>
      <c r="I107" s="189"/>
      <c r="J107" s="380"/>
      <c r="K107" s="380"/>
      <c r="L107" s="203">
        <f t="shared" si="2"/>
        <v>0</v>
      </c>
      <c r="M107" s="197"/>
    </row>
    <row r="108" spans="1:13" ht="18" customHeight="1" x14ac:dyDescent="0.3">
      <c r="A108" s="177">
        <v>126</v>
      </c>
      <c r="B108" s="188"/>
      <c r="C108" s="165"/>
      <c r="D108" s="385" t="s">
        <v>813</v>
      </c>
      <c r="E108" s="189">
        <f>F108+G108+L109</f>
        <v>300</v>
      </c>
      <c r="F108" s="190"/>
      <c r="G108" s="198"/>
      <c r="H108" s="199"/>
      <c r="I108" s="189"/>
      <c r="J108" s="380"/>
      <c r="K108" s="380"/>
      <c r="L108" s="203"/>
      <c r="M108" s="197"/>
    </row>
    <row r="109" spans="1:13" ht="18" customHeight="1" x14ac:dyDescent="0.3">
      <c r="A109" s="177">
        <v>127</v>
      </c>
      <c r="B109" s="188"/>
      <c r="C109" s="165"/>
      <c r="D109" s="385" t="s">
        <v>702</v>
      </c>
      <c r="E109" s="189"/>
      <c r="F109" s="190"/>
      <c r="G109" s="198"/>
      <c r="H109" s="199"/>
      <c r="I109" s="189"/>
      <c r="J109" s="380"/>
      <c r="K109" s="380">
        <v>300</v>
      </c>
      <c r="L109" s="203">
        <f t="shared" si="2"/>
        <v>300</v>
      </c>
      <c r="M109" s="197"/>
    </row>
    <row r="110" spans="1:13" ht="18" customHeight="1" x14ac:dyDescent="0.3">
      <c r="A110" s="177">
        <v>128</v>
      </c>
      <c r="B110" s="188"/>
      <c r="C110" s="165"/>
      <c r="D110" s="385" t="s">
        <v>745</v>
      </c>
      <c r="E110" s="189"/>
      <c r="F110" s="190"/>
      <c r="G110" s="198"/>
      <c r="H110" s="199"/>
      <c r="I110" s="189"/>
      <c r="J110" s="380"/>
      <c r="K110" s="380"/>
      <c r="L110" s="203">
        <f t="shared" si="2"/>
        <v>0</v>
      </c>
      <c r="M110" s="197"/>
    </row>
    <row r="111" spans="1:13" ht="18" customHeight="1" x14ac:dyDescent="0.3">
      <c r="A111" s="177">
        <v>130</v>
      </c>
      <c r="B111" s="188"/>
      <c r="C111" s="165"/>
      <c r="D111" s="385" t="s">
        <v>814</v>
      </c>
      <c r="E111" s="189">
        <f>F111+G111+L112</f>
        <v>500</v>
      </c>
      <c r="F111" s="190"/>
      <c r="G111" s="198"/>
      <c r="H111" s="199"/>
      <c r="I111" s="189"/>
      <c r="J111" s="380"/>
      <c r="K111" s="380"/>
      <c r="L111" s="203"/>
      <c r="M111" s="197"/>
    </row>
    <row r="112" spans="1:13" ht="18" customHeight="1" x14ac:dyDescent="0.3">
      <c r="A112" s="177">
        <v>131</v>
      </c>
      <c r="B112" s="188"/>
      <c r="C112" s="165"/>
      <c r="D112" s="385" t="s">
        <v>702</v>
      </c>
      <c r="E112" s="189"/>
      <c r="F112" s="190"/>
      <c r="G112" s="198"/>
      <c r="H112" s="199"/>
      <c r="I112" s="189"/>
      <c r="J112" s="380"/>
      <c r="K112" s="380">
        <v>500</v>
      </c>
      <c r="L112" s="203">
        <f t="shared" si="2"/>
        <v>500</v>
      </c>
      <c r="M112" s="197"/>
    </row>
    <row r="113" spans="1:13" ht="18" customHeight="1" x14ac:dyDescent="0.3">
      <c r="A113" s="177">
        <v>132</v>
      </c>
      <c r="B113" s="188"/>
      <c r="C113" s="165"/>
      <c r="D113" s="385" t="s">
        <v>745</v>
      </c>
      <c r="E113" s="189"/>
      <c r="F113" s="190"/>
      <c r="G113" s="198"/>
      <c r="H113" s="199"/>
      <c r="I113" s="189"/>
      <c r="J113" s="380"/>
      <c r="K113" s="380"/>
      <c r="L113" s="203">
        <f t="shared" si="2"/>
        <v>0</v>
      </c>
      <c r="M113" s="197"/>
    </row>
    <row r="114" spans="1:13" ht="22.15" customHeight="1" x14ac:dyDescent="0.3">
      <c r="A114" s="177">
        <v>134</v>
      </c>
      <c r="B114" s="188"/>
      <c r="C114" s="195">
        <v>41</v>
      </c>
      <c r="D114" s="373" t="s">
        <v>380</v>
      </c>
      <c r="E114" s="189">
        <f>F114+G114+L116+M115</f>
        <v>46390</v>
      </c>
      <c r="F114" s="190">
        <v>459</v>
      </c>
      <c r="G114" s="198">
        <v>43214</v>
      </c>
      <c r="H114" s="199" t="s">
        <v>24</v>
      </c>
      <c r="I114" s="189"/>
      <c r="J114" s="189"/>
      <c r="K114" s="189"/>
      <c r="L114" s="200"/>
      <c r="M114" s="197"/>
    </row>
    <row r="115" spans="1:13" ht="18" customHeight="1" x14ac:dyDescent="0.3">
      <c r="A115" s="177">
        <v>135</v>
      </c>
      <c r="B115" s="188"/>
      <c r="C115" s="165"/>
      <c r="D115" s="390" t="s">
        <v>239</v>
      </c>
      <c r="E115" s="189"/>
      <c r="F115" s="190"/>
      <c r="G115" s="198"/>
      <c r="H115" s="199"/>
      <c r="I115" s="1224">
        <v>2588</v>
      </c>
      <c r="J115" s="1224">
        <v>129</v>
      </c>
      <c r="K115" s="1224"/>
      <c r="L115" s="1225">
        <f t="shared" si="2"/>
        <v>2717</v>
      </c>
      <c r="M115" s="197"/>
    </row>
    <row r="116" spans="1:13" ht="18" customHeight="1" x14ac:dyDescent="0.3">
      <c r="A116" s="177">
        <v>136</v>
      </c>
      <c r="B116" s="188"/>
      <c r="C116" s="165"/>
      <c r="D116" s="372" t="s">
        <v>702</v>
      </c>
      <c r="E116" s="189"/>
      <c r="F116" s="190"/>
      <c r="G116" s="198"/>
      <c r="H116" s="199"/>
      <c r="I116" s="189">
        <v>2588</v>
      </c>
      <c r="J116" s="189">
        <v>129</v>
      </c>
      <c r="K116" s="189"/>
      <c r="L116" s="200">
        <f t="shared" si="2"/>
        <v>2717</v>
      </c>
      <c r="M116" s="197"/>
    </row>
    <row r="117" spans="1:13" ht="18" customHeight="1" x14ac:dyDescent="0.3">
      <c r="A117" s="177">
        <v>137</v>
      </c>
      <c r="B117" s="188"/>
      <c r="C117" s="165"/>
      <c r="D117" s="275" t="s">
        <v>745</v>
      </c>
      <c r="E117" s="189"/>
      <c r="F117" s="190"/>
      <c r="G117" s="198"/>
      <c r="H117" s="199"/>
      <c r="I117" s="380"/>
      <c r="J117" s="380"/>
      <c r="K117" s="380"/>
      <c r="L117" s="203">
        <f t="shared" si="2"/>
        <v>0</v>
      </c>
      <c r="M117" s="197"/>
    </row>
    <row r="118" spans="1:13" ht="22.15" customHeight="1" x14ac:dyDescent="0.3">
      <c r="A118" s="177">
        <v>139</v>
      </c>
      <c r="B118" s="188"/>
      <c r="C118" s="195">
        <v>42</v>
      </c>
      <c r="D118" s="373" t="s">
        <v>381</v>
      </c>
      <c r="E118" s="189"/>
      <c r="F118" s="190"/>
      <c r="G118" s="198"/>
      <c r="H118" s="199" t="s">
        <v>23</v>
      </c>
      <c r="I118" s="189"/>
      <c r="J118" s="189"/>
      <c r="K118" s="189"/>
      <c r="L118" s="200"/>
      <c r="M118" s="197"/>
    </row>
    <row r="119" spans="1:13" ht="22.15" customHeight="1" x14ac:dyDescent="0.3">
      <c r="A119" s="177">
        <v>140</v>
      </c>
      <c r="B119" s="188"/>
      <c r="C119" s="195">
        <v>43</v>
      </c>
      <c r="D119" s="373" t="s">
        <v>384</v>
      </c>
      <c r="E119" s="189">
        <f>F119+G119+L121+M120</f>
        <v>3840000</v>
      </c>
      <c r="F119" s="190">
        <v>354544</v>
      </c>
      <c r="G119" s="198">
        <v>354544</v>
      </c>
      <c r="H119" s="199" t="s">
        <v>23</v>
      </c>
      <c r="I119" s="189"/>
      <c r="J119" s="189"/>
      <c r="K119" s="189"/>
      <c r="L119" s="200"/>
      <c r="M119" s="197"/>
    </row>
    <row r="120" spans="1:13" ht="18" customHeight="1" x14ac:dyDescent="0.3">
      <c r="A120" s="177">
        <v>141</v>
      </c>
      <c r="B120" s="188"/>
      <c r="C120" s="165"/>
      <c r="D120" s="391" t="s">
        <v>239</v>
      </c>
      <c r="E120" s="189"/>
      <c r="F120" s="190"/>
      <c r="G120" s="198"/>
      <c r="H120" s="199"/>
      <c r="I120" s="1224"/>
      <c r="J120" s="1224"/>
      <c r="K120" s="1224">
        <v>354544</v>
      </c>
      <c r="L120" s="1225">
        <f t="shared" si="2"/>
        <v>354544</v>
      </c>
      <c r="M120" s="197">
        <v>2776368</v>
      </c>
    </row>
    <row r="121" spans="1:13" ht="18" customHeight="1" x14ac:dyDescent="0.3">
      <c r="A121" s="177">
        <v>142</v>
      </c>
      <c r="B121" s="392"/>
      <c r="C121" s="165"/>
      <c r="D121" s="269" t="s">
        <v>702</v>
      </c>
      <c r="E121" s="189"/>
      <c r="F121" s="190"/>
      <c r="G121" s="198"/>
      <c r="H121" s="199"/>
      <c r="I121" s="189"/>
      <c r="J121" s="189"/>
      <c r="K121" s="189">
        <v>354544</v>
      </c>
      <c r="L121" s="200">
        <f t="shared" si="2"/>
        <v>354544</v>
      </c>
      <c r="M121" s="197"/>
    </row>
    <row r="122" spans="1:13" ht="18" customHeight="1" x14ac:dyDescent="0.3">
      <c r="A122" s="177">
        <v>143</v>
      </c>
      <c r="B122" s="392"/>
      <c r="C122" s="165"/>
      <c r="D122" s="275" t="s">
        <v>745</v>
      </c>
      <c r="E122" s="189"/>
      <c r="F122" s="190"/>
      <c r="G122" s="198"/>
      <c r="H122" s="199"/>
      <c r="I122" s="380"/>
      <c r="J122" s="380"/>
      <c r="K122" s="380">
        <v>177272</v>
      </c>
      <c r="L122" s="203">
        <f t="shared" si="2"/>
        <v>177272</v>
      </c>
      <c r="M122" s="197"/>
    </row>
    <row r="123" spans="1:13" ht="33" customHeight="1" x14ac:dyDescent="0.3">
      <c r="A123" s="177">
        <v>145</v>
      </c>
      <c r="B123" s="392"/>
      <c r="C123" s="165">
        <v>48</v>
      </c>
      <c r="D123" s="393" t="s">
        <v>630</v>
      </c>
      <c r="E123" s="189">
        <f>F123+G123+L125+M124</f>
        <v>38000</v>
      </c>
      <c r="F123" s="190"/>
      <c r="G123" s="394">
        <v>14976</v>
      </c>
      <c r="H123" s="371" t="s">
        <v>23</v>
      </c>
      <c r="I123" s="189"/>
      <c r="J123" s="189"/>
      <c r="K123" s="189"/>
      <c r="L123" s="193"/>
      <c r="M123" s="197"/>
    </row>
    <row r="124" spans="1:13" ht="18" customHeight="1" x14ac:dyDescent="0.3">
      <c r="A124" s="177">
        <v>146</v>
      </c>
      <c r="B124" s="392"/>
      <c r="C124" s="165"/>
      <c r="D124" s="390" t="s">
        <v>239</v>
      </c>
      <c r="E124" s="189"/>
      <c r="F124" s="190"/>
      <c r="G124" s="394"/>
      <c r="H124" s="371"/>
      <c r="I124" s="1224"/>
      <c r="J124" s="1224">
        <v>23024</v>
      </c>
      <c r="K124" s="1224"/>
      <c r="L124" s="1221">
        <f>SUM(I124:K124)</f>
        <v>23024</v>
      </c>
      <c r="M124" s="197"/>
    </row>
    <row r="125" spans="1:13" ht="18" customHeight="1" x14ac:dyDescent="0.3">
      <c r="A125" s="177">
        <v>147</v>
      </c>
      <c r="B125" s="392"/>
      <c r="C125" s="165"/>
      <c r="D125" s="269" t="s">
        <v>702</v>
      </c>
      <c r="E125" s="189"/>
      <c r="F125" s="190"/>
      <c r="G125" s="394"/>
      <c r="H125" s="371"/>
      <c r="I125" s="189"/>
      <c r="J125" s="189">
        <v>23024</v>
      </c>
      <c r="K125" s="189"/>
      <c r="L125" s="193">
        <f>SUM(I125:K125)</f>
        <v>23024</v>
      </c>
      <c r="M125" s="197"/>
    </row>
    <row r="126" spans="1:13" ht="18" customHeight="1" x14ac:dyDescent="0.3">
      <c r="A126" s="177">
        <v>148</v>
      </c>
      <c r="B126" s="392"/>
      <c r="C126" s="165"/>
      <c r="D126" s="275" t="s">
        <v>745</v>
      </c>
      <c r="E126" s="189"/>
      <c r="F126" s="190"/>
      <c r="G126" s="394"/>
      <c r="H126" s="371"/>
      <c r="I126" s="380"/>
      <c r="J126" s="380"/>
      <c r="K126" s="380"/>
      <c r="L126" s="297">
        <f t="shared" ref="L126" si="3">SUM(I126:K126)</f>
        <v>0</v>
      </c>
      <c r="M126" s="197"/>
    </row>
    <row r="127" spans="1:13" ht="22.15" customHeight="1" x14ac:dyDescent="0.3">
      <c r="A127" s="177">
        <v>150</v>
      </c>
      <c r="B127" s="392"/>
      <c r="C127" s="195">
        <v>54</v>
      </c>
      <c r="D127" s="395" t="s">
        <v>463</v>
      </c>
      <c r="E127" s="189">
        <f>F127+G127+L129+M128</f>
        <v>22760</v>
      </c>
      <c r="F127" s="190"/>
      <c r="G127" s="394"/>
      <c r="H127" s="371" t="s">
        <v>24</v>
      </c>
      <c r="I127" s="189"/>
      <c r="J127" s="189"/>
      <c r="K127" s="189"/>
      <c r="L127" s="193"/>
      <c r="M127" s="197"/>
    </row>
    <row r="128" spans="1:13" ht="18" customHeight="1" x14ac:dyDescent="0.3">
      <c r="A128" s="177">
        <v>151</v>
      </c>
      <c r="B128" s="392"/>
      <c r="C128" s="165"/>
      <c r="D128" s="390" t="s">
        <v>239</v>
      </c>
      <c r="E128" s="189"/>
      <c r="F128" s="190"/>
      <c r="G128" s="394"/>
      <c r="H128" s="371"/>
      <c r="I128" s="1224"/>
      <c r="J128" s="1224">
        <v>25000</v>
      </c>
      <c r="K128" s="1224"/>
      <c r="L128" s="1221">
        <f t="shared" si="2"/>
        <v>25000</v>
      </c>
      <c r="M128" s="197"/>
    </row>
    <row r="129" spans="1:13" ht="18" customHeight="1" x14ac:dyDescent="0.3">
      <c r="A129" s="177">
        <v>152</v>
      </c>
      <c r="B129" s="392"/>
      <c r="C129" s="165"/>
      <c r="D129" s="269" t="s">
        <v>702</v>
      </c>
      <c r="E129" s="189"/>
      <c r="F129" s="190"/>
      <c r="G129" s="394"/>
      <c r="H129" s="371"/>
      <c r="I129" s="189"/>
      <c r="J129" s="189">
        <v>22760</v>
      </c>
      <c r="K129" s="189"/>
      <c r="L129" s="193">
        <f t="shared" si="2"/>
        <v>22760</v>
      </c>
      <c r="M129" s="197"/>
    </row>
    <row r="130" spans="1:13" ht="18" customHeight="1" x14ac:dyDescent="0.3">
      <c r="A130" s="177">
        <v>153</v>
      </c>
      <c r="B130" s="392"/>
      <c r="C130" s="165"/>
      <c r="D130" s="275" t="s">
        <v>745</v>
      </c>
      <c r="E130" s="189"/>
      <c r="F130" s="190"/>
      <c r="G130" s="394"/>
      <c r="H130" s="371"/>
      <c r="I130" s="380"/>
      <c r="J130" s="380">
        <v>22760</v>
      </c>
      <c r="K130" s="380"/>
      <c r="L130" s="297">
        <f t="shared" si="2"/>
        <v>22760</v>
      </c>
      <c r="M130" s="197"/>
    </row>
    <row r="131" spans="1:13" ht="32.25" customHeight="1" x14ac:dyDescent="0.3">
      <c r="A131" s="177">
        <v>155</v>
      </c>
      <c r="B131" s="392"/>
      <c r="C131" s="165">
        <v>59</v>
      </c>
      <c r="D131" s="395" t="s">
        <v>464</v>
      </c>
      <c r="E131" s="189">
        <f>F131+G131+L133+M132</f>
        <v>92000</v>
      </c>
      <c r="F131" s="190"/>
      <c r="G131" s="394">
        <v>4318</v>
      </c>
      <c r="H131" s="371" t="s">
        <v>24</v>
      </c>
      <c r="I131" s="189"/>
      <c r="J131" s="189"/>
      <c r="K131" s="189"/>
      <c r="L131" s="193"/>
      <c r="M131" s="197"/>
    </row>
    <row r="132" spans="1:13" ht="18" customHeight="1" x14ac:dyDescent="0.3">
      <c r="A132" s="177">
        <v>156</v>
      </c>
      <c r="B132" s="392"/>
      <c r="C132" s="165"/>
      <c r="D132" s="390" t="s">
        <v>239</v>
      </c>
      <c r="E132" s="189"/>
      <c r="F132" s="190"/>
      <c r="G132" s="394"/>
      <c r="H132" s="371"/>
      <c r="I132" s="1224"/>
      <c r="J132" s="1224">
        <v>87682</v>
      </c>
      <c r="K132" s="1224"/>
      <c r="L132" s="1221">
        <f t="shared" si="2"/>
        <v>87682</v>
      </c>
      <c r="M132" s="197"/>
    </row>
    <row r="133" spans="1:13" ht="18" customHeight="1" x14ac:dyDescent="0.3">
      <c r="A133" s="177">
        <v>157</v>
      </c>
      <c r="B133" s="392"/>
      <c r="C133" s="165"/>
      <c r="D133" s="269" t="s">
        <v>702</v>
      </c>
      <c r="E133" s="189"/>
      <c r="F133" s="190"/>
      <c r="G133" s="394"/>
      <c r="H133" s="371"/>
      <c r="I133" s="189"/>
      <c r="J133" s="189">
        <v>87682</v>
      </c>
      <c r="K133" s="189"/>
      <c r="L133" s="193">
        <f t="shared" si="2"/>
        <v>87682</v>
      </c>
      <c r="M133" s="197"/>
    </row>
    <row r="134" spans="1:13" ht="18" customHeight="1" x14ac:dyDescent="0.3">
      <c r="A134" s="177">
        <v>158</v>
      </c>
      <c r="B134" s="392"/>
      <c r="C134" s="165"/>
      <c r="D134" s="275" t="s">
        <v>745</v>
      </c>
      <c r="E134" s="189"/>
      <c r="F134" s="190"/>
      <c r="G134" s="394"/>
      <c r="H134" s="371"/>
      <c r="I134" s="380"/>
      <c r="J134" s="380">
        <v>36746</v>
      </c>
      <c r="K134" s="380"/>
      <c r="L134" s="297">
        <f t="shared" si="2"/>
        <v>36746</v>
      </c>
      <c r="M134" s="197"/>
    </row>
    <row r="135" spans="1:13" ht="22.15" customHeight="1" x14ac:dyDescent="0.3">
      <c r="A135" s="177">
        <v>160</v>
      </c>
      <c r="B135" s="392"/>
      <c r="C135" s="195">
        <v>67</v>
      </c>
      <c r="D135" s="395" t="s">
        <v>718</v>
      </c>
      <c r="E135" s="189">
        <f>F135+G135+L137+M136</f>
        <v>28500</v>
      </c>
      <c r="F135" s="190"/>
      <c r="G135" s="394">
        <v>4001</v>
      </c>
      <c r="H135" s="371" t="s">
        <v>24</v>
      </c>
      <c r="I135" s="189"/>
      <c r="J135" s="189"/>
      <c r="K135" s="189"/>
      <c r="L135" s="193"/>
      <c r="M135" s="197"/>
    </row>
    <row r="136" spans="1:13" ht="18" customHeight="1" x14ac:dyDescent="0.3">
      <c r="A136" s="177">
        <v>161</v>
      </c>
      <c r="B136" s="392"/>
      <c r="C136" s="165"/>
      <c r="D136" s="390" t="s">
        <v>239</v>
      </c>
      <c r="E136" s="189"/>
      <c r="F136" s="190"/>
      <c r="G136" s="394"/>
      <c r="H136" s="371"/>
      <c r="I136" s="1224"/>
      <c r="J136" s="1224">
        <v>13499</v>
      </c>
      <c r="K136" s="1224"/>
      <c r="L136" s="1221">
        <f t="shared" si="2"/>
        <v>13499</v>
      </c>
      <c r="M136" s="197"/>
    </row>
    <row r="137" spans="1:13" ht="18" customHeight="1" x14ac:dyDescent="0.3">
      <c r="A137" s="177">
        <v>162</v>
      </c>
      <c r="B137" s="392"/>
      <c r="C137" s="165"/>
      <c r="D137" s="269" t="s">
        <v>702</v>
      </c>
      <c r="E137" s="189"/>
      <c r="F137" s="190"/>
      <c r="G137" s="394"/>
      <c r="H137" s="371"/>
      <c r="I137" s="189"/>
      <c r="J137" s="189">
        <v>24499</v>
      </c>
      <c r="K137" s="189"/>
      <c r="L137" s="193">
        <f t="shared" si="2"/>
        <v>24499</v>
      </c>
      <c r="M137" s="197"/>
    </row>
    <row r="138" spans="1:13" ht="18" customHeight="1" x14ac:dyDescent="0.3">
      <c r="A138" s="177">
        <v>163</v>
      </c>
      <c r="B138" s="392"/>
      <c r="C138" s="165"/>
      <c r="D138" s="275" t="s">
        <v>745</v>
      </c>
      <c r="E138" s="189"/>
      <c r="F138" s="190"/>
      <c r="G138" s="394"/>
      <c r="H138" s="371"/>
      <c r="I138" s="380"/>
      <c r="J138" s="380"/>
      <c r="K138" s="380"/>
      <c r="L138" s="297">
        <f t="shared" si="2"/>
        <v>0</v>
      </c>
      <c r="M138" s="197"/>
    </row>
    <row r="139" spans="1:13" ht="22.15" customHeight="1" x14ac:dyDescent="0.3">
      <c r="A139" s="177">
        <v>165</v>
      </c>
      <c r="B139" s="392"/>
      <c r="C139" s="195">
        <v>68</v>
      </c>
      <c r="D139" s="395" t="s">
        <v>465</v>
      </c>
      <c r="E139" s="189">
        <f>F139+G139+L141+M140</f>
        <v>0</v>
      </c>
      <c r="F139" s="190"/>
      <c r="G139" s="394"/>
      <c r="H139" s="371" t="s">
        <v>24</v>
      </c>
      <c r="I139" s="189"/>
      <c r="J139" s="189"/>
      <c r="K139" s="189"/>
      <c r="L139" s="193"/>
      <c r="M139" s="197"/>
    </row>
    <row r="140" spans="1:13" ht="18" customHeight="1" x14ac:dyDescent="0.3">
      <c r="A140" s="177">
        <v>166</v>
      </c>
      <c r="B140" s="392"/>
      <c r="C140" s="165"/>
      <c r="D140" s="390" t="s">
        <v>239</v>
      </c>
      <c r="E140" s="189"/>
      <c r="F140" s="190"/>
      <c r="G140" s="394"/>
      <c r="H140" s="371"/>
      <c r="I140" s="1224">
        <v>1525</v>
      </c>
      <c r="J140" s="1224">
        <v>11550</v>
      </c>
      <c r="K140" s="1224"/>
      <c r="L140" s="1221">
        <f t="shared" si="2"/>
        <v>13075</v>
      </c>
      <c r="M140" s="197"/>
    </row>
    <row r="141" spans="1:13" ht="18" customHeight="1" x14ac:dyDescent="0.3">
      <c r="A141" s="177">
        <v>167</v>
      </c>
      <c r="B141" s="392"/>
      <c r="C141" s="165"/>
      <c r="D141" s="269" t="s">
        <v>702</v>
      </c>
      <c r="E141" s="189"/>
      <c r="F141" s="190"/>
      <c r="G141" s="394"/>
      <c r="H141" s="371"/>
      <c r="I141" s="189">
        <v>0</v>
      </c>
      <c r="J141" s="189">
        <v>0</v>
      </c>
      <c r="K141" s="189"/>
      <c r="L141" s="193">
        <f t="shared" si="2"/>
        <v>0</v>
      </c>
      <c r="M141" s="197"/>
    </row>
    <row r="142" spans="1:13" ht="18" customHeight="1" x14ac:dyDescent="0.3">
      <c r="A142" s="177">
        <v>168</v>
      </c>
      <c r="B142" s="392"/>
      <c r="C142" s="165"/>
      <c r="D142" s="275" t="s">
        <v>745</v>
      </c>
      <c r="E142" s="189"/>
      <c r="F142" s="190"/>
      <c r="G142" s="394"/>
      <c r="H142" s="371"/>
      <c r="I142" s="380"/>
      <c r="J142" s="380"/>
      <c r="K142" s="380"/>
      <c r="L142" s="297">
        <f t="shared" si="2"/>
        <v>0</v>
      </c>
      <c r="M142" s="197"/>
    </row>
    <row r="143" spans="1:13" ht="22.15" customHeight="1" x14ac:dyDescent="0.3">
      <c r="A143" s="177">
        <v>170</v>
      </c>
      <c r="B143" s="392"/>
      <c r="C143" s="195">
        <v>82</v>
      </c>
      <c r="D143" s="395" t="s">
        <v>466</v>
      </c>
      <c r="E143" s="189">
        <f>F143+G143+L145+M144</f>
        <v>8200</v>
      </c>
      <c r="F143" s="190"/>
      <c r="G143" s="394">
        <v>1461</v>
      </c>
      <c r="H143" s="371" t="s">
        <v>24</v>
      </c>
      <c r="I143" s="189"/>
      <c r="J143" s="189"/>
      <c r="K143" s="189"/>
      <c r="L143" s="193"/>
      <c r="M143" s="197"/>
    </row>
    <row r="144" spans="1:13" ht="18" customHeight="1" x14ac:dyDescent="0.3">
      <c r="A144" s="177">
        <v>171</v>
      </c>
      <c r="B144" s="392"/>
      <c r="C144" s="165"/>
      <c r="D144" s="390" t="s">
        <v>239</v>
      </c>
      <c r="E144" s="189"/>
      <c r="F144" s="190"/>
      <c r="G144" s="394"/>
      <c r="H144" s="371"/>
      <c r="I144" s="1224"/>
      <c r="J144" s="1224">
        <v>6739</v>
      </c>
      <c r="K144" s="1224"/>
      <c r="L144" s="1221">
        <f t="shared" si="2"/>
        <v>6739</v>
      </c>
      <c r="M144" s="197"/>
    </row>
    <row r="145" spans="1:13" ht="18" customHeight="1" x14ac:dyDescent="0.3">
      <c r="A145" s="177">
        <v>172</v>
      </c>
      <c r="B145" s="392"/>
      <c r="C145" s="165"/>
      <c r="D145" s="269" t="s">
        <v>702</v>
      </c>
      <c r="E145" s="189"/>
      <c r="F145" s="190"/>
      <c r="G145" s="394"/>
      <c r="H145" s="371"/>
      <c r="I145" s="189"/>
      <c r="J145" s="189">
        <v>6739</v>
      </c>
      <c r="K145" s="189"/>
      <c r="L145" s="193">
        <f t="shared" si="2"/>
        <v>6739</v>
      </c>
      <c r="M145" s="197"/>
    </row>
    <row r="146" spans="1:13" ht="18" customHeight="1" x14ac:dyDescent="0.3">
      <c r="A146" s="177">
        <v>173</v>
      </c>
      <c r="B146" s="392"/>
      <c r="C146" s="165"/>
      <c r="D146" s="275" t="s">
        <v>745</v>
      </c>
      <c r="E146" s="189"/>
      <c r="F146" s="190"/>
      <c r="G146" s="394"/>
      <c r="H146" s="371"/>
      <c r="I146" s="380"/>
      <c r="J146" s="380"/>
      <c r="K146" s="380"/>
      <c r="L146" s="297">
        <f t="shared" si="2"/>
        <v>0</v>
      </c>
      <c r="M146" s="197"/>
    </row>
    <row r="147" spans="1:13" ht="33" x14ac:dyDescent="0.3">
      <c r="A147" s="177">
        <v>175</v>
      </c>
      <c r="B147" s="392"/>
      <c r="C147" s="165">
        <v>83</v>
      </c>
      <c r="D147" s="395" t="s">
        <v>467</v>
      </c>
      <c r="E147" s="189">
        <f>F147+G147+L149+M148</f>
        <v>826</v>
      </c>
      <c r="F147" s="190"/>
      <c r="G147" s="394">
        <v>826</v>
      </c>
      <c r="H147" s="371" t="s">
        <v>24</v>
      </c>
      <c r="I147" s="189"/>
      <c r="J147" s="189"/>
      <c r="K147" s="189"/>
      <c r="L147" s="193"/>
      <c r="M147" s="197"/>
    </row>
    <row r="148" spans="1:13" ht="18" customHeight="1" x14ac:dyDescent="0.3">
      <c r="A148" s="177">
        <v>176</v>
      </c>
      <c r="B148" s="392"/>
      <c r="C148" s="165"/>
      <c r="D148" s="390" t="s">
        <v>239</v>
      </c>
      <c r="E148" s="189"/>
      <c r="F148" s="190"/>
      <c r="G148" s="394"/>
      <c r="H148" s="371"/>
      <c r="I148" s="1224"/>
      <c r="J148" s="1224">
        <v>1174</v>
      </c>
      <c r="K148" s="1224"/>
      <c r="L148" s="1221">
        <f t="shared" si="2"/>
        <v>1174</v>
      </c>
      <c r="M148" s="197"/>
    </row>
    <row r="149" spans="1:13" ht="18" customHeight="1" x14ac:dyDescent="0.3">
      <c r="A149" s="177">
        <v>177</v>
      </c>
      <c r="B149" s="392"/>
      <c r="C149" s="165"/>
      <c r="D149" s="269" t="s">
        <v>702</v>
      </c>
      <c r="E149" s="189"/>
      <c r="F149" s="190"/>
      <c r="G149" s="394"/>
      <c r="H149" s="371"/>
      <c r="I149" s="189"/>
      <c r="J149" s="189">
        <v>0</v>
      </c>
      <c r="K149" s="189"/>
      <c r="L149" s="193">
        <f t="shared" si="2"/>
        <v>0</v>
      </c>
      <c r="M149" s="197"/>
    </row>
    <row r="150" spans="1:13" ht="18" customHeight="1" x14ac:dyDescent="0.3">
      <c r="A150" s="177">
        <v>178</v>
      </c>
      <c r="B150" s="392"/>
      <c r="C150" s="165"/>
      <c r="D150" s="275" t="s">
        <v>745</v>
      </c>
      <c r="E150" s="189"/>
      <c r="F150" s="190"/>
      <c r="G150" s="394"/>
      <c r="H150" s="371"/>
      <c r="I150" s="380"/>
      <c r="J150" s="380"/>
      <c r="K150" s="380"/>
      <c r="L150" s="297">
        <f t="shared" si="2"/>
        <v>0</v>
      </c>
      <c r="M150" s="197"/>
    </row>
    <row r="151" spans="1:13" ht="22.15" customHeight="1" x14ac:dyDescent="0.3">
      <c r="A151" s="177">
        <v>180</v>
      </c>
      <c r="B151" s="392"/>
      <c r="C151" s="195">
        <v>88</v>
      </c>
      <c r="D151" s="395" t="s">
        <v>468</v>
      </c>
      <c r="E151" s="189">
        <f>F151+G151+L153+M152</f>
        <v>4700</v>
      </c>
      <c r="F151" s="190"/>
      <c r="G151" s="394"/>
      <c r="H151" s="371" t="s">
        <v>24</v>
      </c>
      <c r="I151" s="189"/>
      <c r="J151" s="189"/>
      <c r="K151" s="189"/>
      <c r="L151" s="193"/>
      <c r="M151" s="197"/>
    </row>
    <row r="152" spans="1:13" ht="18" customHeight="1" x14ac:dyDescent="0.3">
      <c r="A152" s="177">
        <v>181</v>
      </c>
      <c r="B152" s="392"/>
      <c r="C152" s="165"/>
      <c r="D152" s="390" t="s">
        <v>239</v>
      </c>
      <c r="E152" s="189"/>
      <c r="F152" s="190"/>
      <c r="G152" s="394"/>
      <c r="H152" s="371"/>
      <c r="I152" s="1224">
        <v>700</v>
      </c>
      <c r="J152" s="1224">
        <v>4000</v>
      </c>
      <c r="K152" s="1224"/>
      <c r="L152" s="1221">
        <f t="shared" si="2"/>
        <v>4700</v>
      </c>
      <c r="M152" s="197"/>
    </row>
    <row r="153" spans="1:13" ht="18" customHeight="1" x14ac:dyDescent="0.3">
      <c r="A153" s="177">
        <v>182</v>
      </c>
      <c r="B153" s="392"/>
      <c r="C153" s="165"/>
      <c r="D153" s="269" t="s">
        <v>702</v>
      </c>
      <c r="E153" s="189"/>
      <c r="F153" s="190"/>
      <c r="G153" s="394"/>
      <c r="H153" s="371"/>
      <c r="I153" s="189">
        <v>700</v>
      </c>
      <c r="J153" s="189">
        <v>4000</v>
      </c>
      <c r="K153" s="189"/>
      <c r="L153" s="193">
        <f t="shared" si="2"/>
        <v>4700</v>
      </c>
      <c r="M153" s="197"/>
    </row>
    <row r="154" spans="1:13" ht="18" customHeight="1" x14ac:dyDescent="0.3">
      <c r="A154" s="177">
        <v>183</v>
      </c>
      <c r="B154" s="392"/>
      <c r="C154" s="165"/>
      <c r="D154" s="275" t="s">
        <v>745</v>
      </c>
      <c r="E154" s="189"/>
      <c r="F154" s="190"/>
      <c r="G154" s="394"/>
      <c r="H154" s="371"/>
      <c r="I154" s="380"/>
      <c r="J154" s="380"/>
      <c r="K154" s="380"/>
      <c r="L154" s="297">
        <f t="shared" si="2"/>
        <v>0</v>
      </c>
      <c r="M154" s="197"/>
    </row>
    <row r="155" spans="1:13" ht="22.15" customHeight="1" x14ac:dyDescent="0.3">
      <c r="A155" s="177">
        <v>185</v>
      </c>
      <c r="B155" s="392"/>
      <c r="C155" s="195">
        <v>89</v>
      </c>
      <c r="D155" s="395" t="s">
        <v>469</v>
      </c>
      <c r="E155" s="189">
        <f>F155+G155+L157+M156</f>
        <v>15000</v>
      </c>
      <c r="F155" s="190"/>
      <c r="G155" s="394">
        <v>7953</v>
      </c>
      <c r="H155" s="371" t="s">
        <v>24</v>
      </c>
      <c r="I155" s="189"/>
      <c r="J155" s="189"/>
      <c r="K155" s="189"/>
      <c r="L155" s="193"/>
      <c r="M155" s="197"/>
    </row>
    <row r="156" spans="1:13" ht="18" customHeight="1" x14ac:dyDescent="0.3">
      <c r="A156" s="177">
        <v>186</v>
      </c>
      <c r="B156" s="392"/>
      <c r="C156" s="165"/>
      <c r="D156" s="390" t="s">
        <v>239</v>
      </c>
      <c r="E156" s="189"/>
      <c r="F156" s="190"/>
      <c r="G156" s="394"/>
      <c r="H156" s="371"/>
      <c r="I156" s="1224">
        <v>1525</v>
      </c>
      <c r="J156" s="1224">
        <v>5522</v>
      </c>
      <c r="K156" s="1224"/>
      <c r="L156" s="1221">
        <f t="shared" si="2"/>
        <v>7047</v>
      </c>
      <c r="M156" s="197"/>
    </row>
    <row r="157" spans="1:13" ht="18" customHeight="1" x14ac:dyDescent="0.3">
      <c r="A157" s="177">
        <v>187</v>
      </c>
      <c r="B157" s="392"/>
      <c r="C157" s="165"/>
      <c r="D157" s="279" t="s">
        <v>702</v>
      </c>
      <c r="E157" s="189"/>
      <c r="F157" s="190"/>
      <c r="G157" s="394"/>
      <c r="H157" s="371"/>
      <c r="I157" s="189">
        <v>1525</v>
      </c>
      <c r="J157" s="189">
        <v>5522</v>
      </c>
      <c r="K157" s="189"/>
      <c r="L157" s="193">
        <f t="shared" si="2"/>
        <v>7047</v>
      </c>
      <c r="M157" s="197"/>
    </row>
    <row r="158" spans="1:13" ht="18" customHeight="1" x14ac:dyDescent="0.3">
      <c r="A158" s="177">
        <v>188</v>
      </c>
      <c r="B158" s="392"/>
      <c r="C158" s="165"/>
      <c r="D158" s="275" t="s">
        <v>745</v>
      </c>
      <c r="E158" s="189"/>
      <c r="F158" s="190"/>
      <c r="G158" s="394"/>
      <c r="H158" s="371"/>
      <c r="I158" s="380"/>
      <c r="J158" s="380">
        <v>2468</v>
      </c>
      <c r="K158" s="380"/>
      <c r="L158" s="297">
        <f t="shared" si="2"/>
        <v>2468</v>
      </c>
      <c r="M158" s="197"/>
    </row>
    <row r="159" spans="1:13" ht="22.5" customHeight="1" x14ac:dyDescent="0.3">
      <c r="A159" s="177">
        <v>190</v>
      </c>
      <c r="B159" s="392"/>
      <c r="C159" s="195">
        <v>90</v>
      </c>
      <c r="D159" s="395" t="s">
        <v>432</v>
      </c>
      <c r="E159" s="189">
        <f>F159+G159+L161+M160</f>
        <v>11100</v>
      </c>
      <c r="F159" s="190">
        <v>4000</v>
      </c>
      <c r="G159" s="394">
        <v>3600</v>
      </c>
      <c r="H159" s="371"/>
      <c r="I159" s="189"/>
      <c r="J159" s="189"/>
      <c r="K159" s="189"/>
      <c r="L159" s="193"/>
      <c r="M159" s="197"/>
    </row>
    <row r="160" spans="1:13" ht="18" customHeight="1" x14ac:dyDescent="0.3">
      <c r="A160" s="177">
        <v>191</v>
      </c>
      <c r="B160" s="392"/>
      <c r="C160" s="165"/>
      <c r="D160" s="390" t="s">
        <v>239</v>
      </c>
      <c r="E160" s="189"/>
      <c r="F160" s="190"/>
      <c r="G160" s="394"/>
      <c r="H160" s="371"/>
      <c r="I160" s="1224"/>
      <c r="J160" s="1224"/>
      <c r="K160" s="1224">
        <v>3500</v>
      </c>
      <c r="L160" s="1221">
        <f t="shared" si="2"/>
        <v>3500</v>
      </c>
      <c r="M160" s="197"/>
    </row>
    <row r="161" spans="1:13" ht="18" customHeight="1" x14ac:dyDescent="0.3">
      <c r="A161" s="177">
        <v>192</v>
      </c>
      <c r="B161" s="392"/>
      <c r="C161" s="165"/>
      <c r="D161" s="279" t="s">
        <v>702</v>
      </c>
      <c r="E161" s="189"/>
      <c r="F161" s="190"/>
      <c r="G161" s="394"/>
      <c r="H161" s="371"/>
      <c r="I161" s="189"/>
      <c r="J161" s="189"/>
      <c r="K161" s="189">
        <v>3500</v>
      </c>
      <c r="L161" s="193">
        <f t="shared" si="2"/>
        <v>3500</v>
      </c>
      <c r="M161" s="197"/>
    </row>
    <row r="162" spans="1:13" ht="18" customHeight="1" x14ac:dyDescent="0.3">
      <c r="A162" s="177">
        <v>193</v>
      </c>
      <c r="B162" s="392"/>
      <c r="C162" s="165"/>
      <c r="D162" s="275" t="s">
        <v>745</v>
      </c>
      <c r="E162" s="189"/>
      <c r="F162" s="190"/>
      <c r="G162" s="394"/>
      <c r="H162" s="371"/>
      <c r="I162" s="380"/>
      <c r="J162" s="380"/>
      <c r="K162" s="380"/>
      <c r="L162" s="297">
        <f t="shared" si="2"/>
        <v>0</v>
      </c>
      <c r="M162" s="197"/>
    </row>
    <row r="163" spans="1:13" ht="33" x14ac:dyDescent="0.3">
      <c r="A163" s="177">
        <v>195</v>
      </c>
      <c r="B163" s="392"/>
      <c r="C163" s="165">
        <v>92</v>
      </c>
      <c r="D163" s="395" t="s">
        <v>470</v>
      </c>
      <c r="E163" s="189">
        <f>F163+G163+L165+M164</f>
        <v>3345</v>
      </c>
      <c r="F163" s="190"/>
      <c r="G163" s="394">
        <v>2350</v>
      </c>
      <c r="H163" s="371" t="s">
        <v>24</v>
      </c>
      <c r="I163" s="189"/>
      <c r="J163" s="189"/>
      <c r="K163" s="189"/>
      <c r="L163" s="193"/>
      <c r="M163" s="197"/>
    </row>
    <row r="164" spans="1:13" ht="18" customHeight="1" x14ac:dyDescent="0.3">
      <c r="A164" s="177">
        <v>196</v>
      </c>
      <c r="B164" s="392"/>
      <c r="C164" s="165"/>
      <c r="D164" s="390" t="s">
        <v>239</v>
      </c>
      <c r="E164" s="189"/>
      <c r="F164" s="190"/>
      <c r="G164" s="394"/>
      <c r="H164" s="371"/>
      <c r="I164" s="1224"/>
      <c r="J164" s="1224">
        <v>995</v>
      </c>
      <c r="K164" s="1224"/>
      <c r="L164" s="1221">
        <f t="shared" si="2"/>
        <v>995</v>
      </c>
      <c r="M164" s="197"/>
    </row>
    <row r="165" spans="1:13" ht="18" customHeight="1" x14ac:dyDescent="0.3">
      <c r="A165" s="177">
        <v>197</v>
      </c>
      <c r="B165" s="392"/>
      <c r="C165" s="165"/>
      <c r="D165" s="279" t="s">
        <v>702</v>
      </c>
      <c r="E165" s="189"/>
      <c r="F165" s="190"/>
      <c r="G165" s="394"/>
      <c r="H165" s="371"/>
      <c r="I165" s="189"/>
      <c r="J165" s="189">
        <v>995</v>
      </c>
      <c r="K165" s="189"/>
      <c r="L165" s="193">
        <f t="shared" si="2"/>
        <v>995</v>
      </c>
      <c r="M165" s="197"/>
    </row>
    <row r="166" spans="1:13" ht="18" customHeight="1" x14ac:dyDescent="0.3">
      <c r="A166" s="177">
        <v>198</v>
      </c>
      <c r="B166" s="392"/>
      <c r="C166" s="165"/>
      <c r="D166" s="275" t="s">
        <v>745</v>
      </c>
      <c r="E166" s="189"/>
      <c r="F166" s="190"/>
      <c r="G166" s="394"/>
      <c r="H166" s="371"/>
      <c r="I166" s="380"/>
      <c r="J166" s="380"/>
      <c r="K166" s="380"/>
      <c r="L166" s="297">
        <f t="shared" si="2"/>
        <v>0</v>
      </c>
      <c r="M166" s="197"/>
    </row>
    <row r="167" spans="1:13" ht="22.15" customHeight="1" x14ac:dyDescent="0.3">
      <c r="A167" s="177">
        <v>200</v>
      </c>
      <c r="B167" s="392"/>
      <c r="C167" s="195">
        <v>94</v>
      </c>
      <c r="D167" s="373" t="s">
        <v>522</v>
      </c>
      <c r="E167" s="189">
        <f>F167+G167+L169+M168</f>
        <v>284450</v>
      </c>
      <c r="F167" s="190"/>
      <c r="G167" s="394"/>
      <c r="H167" s="371" t="s">
        <v>24</v>
      </c>
      <c r="I167" s="189"/>
      <c r="J167" s="189"/>
      <c r="K167" s="189"/>
      <c r="L167" s="193"/>
      <c r="M167" s="197"/>
    </row>
    <row r="168" spans="1:13" ht="18" customHeight="1" x14ac:dyDescent="0.3">
      <c r="A168" s="177">
        <v>201</v>
      </c>
      <c r="B168" s="392"/>
      <c r="C168" s="165"/>
      <c r="D168" s="390" t="s">
        <v>239</v>
      </c>
      <c r="E168" s="189"/>
      <c r="F168" s="190"/>
      <c r="G168" s="394"/>
      <c r="H168" s="371"/>
      <c r="I168" s="1224"/>
      <c r="J168" s="1224">
        <v>289371</v>
      </c>
      <c r="K168" s="1224"/>
      <c r="L168" s="1221">
        <f>SUM(I168:K168)</f>
        <v>289371</v>
      </c>
      <c r="M168" s="197"/>
    </row>
    <row r="169" spans="1:13" ht="18" customHeight="1" x14ac:dyDescent="0.3">
      <c r="A169" s="177">
        <v>202</v>
      </c>
      <c r="B169" s="392"/>
      <c r="C169" s="165"/>
      <c r="D169" s="279" t="s">
        <v>702</v>
      </c>
      <c r="E169" s="189"/>
      <c r="F169" s="190"/>
      <c r="G169" s="394"/>
      <c r="H169" s="371"/>
      <c r="I169" s="189"/>
      <c r="J169" s="189">
        <v>284450</v>
      </c>
      <c r="K169" s="189"/>
      <c r="L169" s="193">
        <f>SUM(I169:K169)</f>
        <v>284450</v>
      </c>
      <c r="M169" s="197"/>
    </row>
    <row r="170" spans="1:13" ht="18" customHeight="1" x14ac:dyDescent="0.3">
      <c r="A170" s="177">
        <v>203</v>
      </c>
      <c r="B170" s="392"/>
      <c r="C170" s="165"/>
      <c r="D170" s="275" t="s">
        <v>746</v>
      </c>
      <c r="E170" s="189"/>
      <c r="F170" s="190"/>
      <c r="G170" s="394"/>
      <c r="H170" s="371"/>
      <c r="I170" s="380"/>
      <c r="J170" s="380">
        <v>284450</v>
      </c>
      <c r="K170" s="380"/>
      <c r="L170" s="297">
        <f t="shared" ref="L170" si="4">SUM(I170:K170)</f>
        <v>284450</v>
      </c>
      <c r="M170" s="197"/>
    </row>
    <row r="171" spans="1:13" ht="66.75" customHeight="1" x14ac:dyDescent="0.3">
      <c r="A171" s="177">
        <v>205</v>
      </c>
      <c r="B171" s="392"/>
      <c r="C171" s="165">
        <v>102</v>
      </c>
      <c r="D171" s="373" t="s">
        <v>452</v>
      </c>
      <c r="E171" s="189">
        <f>F171+G171+L173+M172</f>
        <v>330000</v>
      </c>
      <c r="F171" s="190"/>
      <c r="G171" s="394">
        <v>100000</v>
      </c>
      <c r="H171" s="371" t="s">
        <v>24</v>
      </c>
      <c r="I171" s="189"/>
      <c r="J171" s="189"/>
      <c r="K171" s="189"/>
      <c r="L171" s="193"/>
      <c r="M171" s="197"/>
    </row>
    <row r="172" spans="1:13" ht="18" customHeight="1" x14ac:dyDescent="0.3">
      <c r="A172" s="177">
        <v>206</v>
      </c>
      <c r="B172" s="392"/>
      <c r="C172" s="165"/>
      <c r="D172" s="390" t="s">
        <v>239</v>
      </c>
      <c r="E172" s="189"/>
      <c r="F172" s="190"/>
      <c r="G172" s="394"/>
      <c r="H172" s="371"/>
      <c r="I172" s="1224"/>
      <c r="J172" s="1224">
        <f>130000+100000</f>
        <v>230000</v>
      </c>
      <c r="K172" s="1224"/>
      <c r="L172" s="1221">
        <f>SUM(I172:K172)</f>
        <v>230000</v>
      </c>
      <c r="M172" s="197"/>
    </row>
    <row r="173" spans="1:13" ht="18" customHeight="1" x14ac:dyDescent="0.3">
      <c r="A173" s="177">
        <v>207</v>
      </c>
      <c r="B173" s="392"/>
      <c r="C173" s="165"/>
      <c r="D173" s="279" t="s">
        <v>702</v>
      </c>
      <c r="E173" s="189"/>
      <c r="F173" s="190"/>
      <c r="G173" s="394"/>
      <c r="H173" s="371"/>
      <c r="I173" s="189"/>
      <c r="J173" s="189">
        <v>230000</v>
      </c>
      <c r="K173" s="189"/>
      <c r="L173" s="193">
        <f>SUM(I173:K173)</f>
        <v>230000</v>
      </c>
      <c r="M173" s="197"/>
    </row>
    <row r="174" spans="1:13" ht="18" customHeight="1" x14ac:dyDescent="0.3">
      <c r="A174" s="177">
        <v>208</v>
      </c>
      <c r="B174" s="392"/>
      <c r="C174" s="165"/>
      <c r="D174" s="275" t="s">
        <v>745</v>
      </c>
      <c r="E174" s="189"/>
      <c r="F174" s="190"/>
      <c r="G174" s="394"/>
      <c r="H174" s="371"/>
      <c r="I174" s="380"/>
      <c r="J174" s="380">
        <v>224680</v>
      </c>
      <c r="K174" s="380"/>
      <c r="L174" s="297">
        <f t="shared" ref="L174" si="5">SUM(I174:K174)</f>
        <v>224680</v>
      </c>
      <c r="M174" s="197"/>
    </row>
    <row r="175" spans="1:13" ht="33" x14ac:dyDescent="0.3">
      <c r="A175" s="177">
        <v>210</v>
      </c>
      <c r="B175" s="392"/>
      <c r="C175" s="165">
        <v>103</v>
      </c>
      <c r="D175" s="393" t="s">
        <v>453</v>
      </c>
      <c r="E175" s="189">
        <f>F175+G175+L177+M176</f>
        <v>46050</v>
      </c>
      <c r="F175" s="190"/>
      <c r="G175" s="394"/>
      <c r="H175" s="371" t="s">
        <v>24</v>
      </c>
      <c r="I175" s="189"/>
      <c r="J175" s="189"/>
      <c r="K175" s="189"/>
      <c r="L175" s="193"/>
      <c r="M175" s="197"/>
    </row>
    <row r="176" spans="1:13" ht="18" customHeight="1" x14ac:dyDescent="0.3">
      <c r="A176" s="177">
        <v>211</v>
      </c>
      <c r="B176" s="392"/>
      <c r="C176" s="165"/>
      <c r="D176" s="390" t="s">
        <v>239</v>
      </c>
      <c r="E176" s="189"/>
      <c r="F176" s="190"/>
      <c r="G176" s="394"/>
      <c r="H176" s="371"/>
      <c r="I176" s="1224"/>
      <c r="J176" s="1224">
        <v>46050</v>
      </c>
      <c r="K176" s="1224"/>
      <c r="L176" s="1221">
        <f>SUM(I176:K176)</f>
        <v>46050</v>
      </c>
      <c r="M176" s="197"/>
    </row>
    <row r="177" spans="1:13" ht="18" customHeight="1" x14ac:dyDescent="0.3">
      <c r="A177" s="177">
        <v>212</v>
      </c>
      <c r="B177" s="392"/>
      <c r="C177" s="165"/>
      <c r="D177" s="279" t="s">
        <v>702</v>
      </c>
      <c r="E177" s="189"/>
      <c r="F177" s="190"/>
      <c r="G177" s="394"/>
      <c r="H177" s="371"/>
      <c r="I177" s="189"/>
      <c r="J177" s="189">
        <v>46050</v>
      </c>
      <c r="K177" s="189"/>
      <c r="L177" s="193">
        <f>SUM(I177:K177)</f>
        <v>46050</v>
      </c>
      <c r="M177" s="197"/>
    </row>
    <row r="178" spans="1:13" ht="18" customHeight="1" x14ac:dyDescent="0.3">
      <c r="A178" s="177">
        <v>213</v>
      </c>
      <c r="B178" s="392"/>
      <c r="C178" s="165"/>
      <c r="D178" s="275" t="s">
        <v>745</v>
      </c>
      <c r="E178" s="189"/>
      <c r="F178" s="190"/>
      <c r="G178" s="394"/>
      <c r="H178" s="371"/>
      <c r="I178" s="380"/>
      <c r="J178" s="380">
        <v>1207</v>
      </c>
      <c r="K178" s="380"/>
      <c r="L178" s="297">
        <f t="shared" ref="L178" si="6">SUM(I178:K178)</f>
        <v>1207</v>
      </c>
      <c r="M178" s="197"/>
    </row>
    <row r="179" spans="1:13" ht="22.15" customHeight="1" x14ac:dyDescent="0.3">
      <c r="A179" s="177">
        <v>215</v>
      </c>
      <c r="B179" s="392"/>
      <c r="C179" s="195">
        <v>105</v>
      </c>
      <c r="D179" s="396" t="s">
        <v>454</v>
      </c>
      <c r="E179" s="189">
        <f>F179+G179+L181+M180</f>
        <v>5957</v>
      </c>
      <c r="F179" s="190"/>
      <c r="G179" s="394"/>
      <c r="H179" s="371" t="s">
        <v>24</v>
      </c>
      <c r="I179" s="189"/>
      <c r="J179" s="189"/>
      <c r="K179" s="189"/>
      <c r="L179" s="193"/>
      <c r="M179" s="197"/>
    </row>
    <row r="180" spans="1:13" ht="18" customHeight="1" x14ac:dyDescent="0.3">
      <c r="A180" s="177">
        <v>216</v>
      </c>
      <c r="B180" s="392"/>
      <c r="C180" s="165"/>
      <c r="D180" s="390" t="s">
        <v>239</v>
      </c>
      <c r="E180" s="189"/>
      <c r="F180" s="190"/>
      <c r="G180" s="394"/>
      <c r="H180" s="371"/>
      <c r="I180" s="1224"/>
      <c r="J180" s="1224">
        <v>5957</v>
      </c>
      <c r="K180" s="1224"/>
      <c r="L180" s="1221">
        <f>SUM(I180:K180)</f>
        <v>5957</v>
      </c>
      <c r="M180" s="197"/>
    </row>
    <row r="181" spans="1:13" ht="18" customHeight="1" x14ac:dyDescent="0.3">
      <c r="A181" s="177">
        <v>217</v>
      </c>
      <c r="B181" s="392"/>
      <c r="C181" s="165"/>
      <c r="D181" s="279" t="s">
        <v>702</v>
      </c>
      <c r="E181" s="189"/>
      <c r="F181" s="190"/>
      <c r="G181" s="394"/>
      <c r="H181" s="371"/>
      <c r="I181" s="189"/>
      <c r="J181" s="189">
        <v>5957</v>
      </c>
      <c r="K181" s="189"/>
      <c r="L181" s="193">
        <f>SUM(I181:K181)</f>
        <v>5957</v>
      </c>
      <c r="M181" s="197"/>
    </row>
    <row r="182" spans="1:13" ht="18" customHeight="1" x14ac:dyDescent="0.3">
      <c r="A182" s="177">
        <v>218</v>
      </c>
      <c r="B182" s="392"/>
      <c r="C182" s="165"/>
      <c r="D182" s="275" t="s">
        <v>745</v>
      </c>
      <c r="E182" s="189"/>
      <c r="F182" s="190"/>
      <c r="G182" s="394"/>
      <c r="H182" s="371"/>
      <c r="I182" s="380"/>
      <c r="J182" s="380">
        <v>4467</v>
      </c>
      <c r="K182" s="380"/>
      <c r="L182" s="297">
        <f t="shared" ref="L182" si="7">SUM(I182:K182)</f>
        <v>4467</v>
      </c>
      <c r="M182" s="197"/>
    </row>
    <row r="183" spans="1:13" ht="31.5" customHeight="1" x14ac:dyDescent="0.3">
      <c r="A183" s="177">
        <v>220</v>
      </c>
      <c r="B183" s="392"/>
      <c r="C183" s="165">
        <v>109</v>
      </c>
      <c r="D183" s="393" t="s">
        <v>455</v>
      </c>
      <c r="E183" s="189">
        <f>F183+G183+L185+M184</f>
        <v>7500</v>
      </c>
      <c r="F183" s="190"/>
      <c r="G183" s="394">
        <v>6325</v>
      </c>
      <c r="H183" s="371" t="s">
        <v>24</v>
      </c>
      <c r="I183" s="189"/>
      <c r="J183" s="189"/>
      <c r="K183" s="189"/>
      <c r="L183" s="193"/>
      <c r="M183" s="197"/>
    </row>
    <row r="184" spans="1:13" ht="18" customHeight="1" x14ac:dyDescent="0.3">
      <c r="A184" s="177">
        <v>221</v>
      </c>
      <c r="B184" s="392"/>
      <c r="C184" s="165"/>
      <c r="D184" s="390" t="s">
        <v>239</v>
      </c>
      <c r="E184" s="189"/>
      <c r="F184" s="190"/>
      <c r="G184" s="394"/>
      <c r="H184" s="371"/>
      <c r="I184" s="1224"/>
      <c r="J184" s="1224">
        <v>1175</v>
      </c>
      <c r="K184" s="1224"/>
      <c r="L184" s="1221">
        <f>SUM(I184:K184)</f>
        <v>1175</v>
      </c>
      <c r="M184" s="197"/>
    </row>
    <row r="185" spans="1:13" ht="18" customHeight="1" x14ac:dyDescent="0.3">
      <c r="A185" s="177">
        <v>222</v>
      </c>
      <c r="B185" s="392"/>
      <c r="C185" s="165"/>
      <c r="D185" s="279" t="s">
        <v>702</v>
      </c>
      <c r="E185" s="189"/>
      <c r="F185" s="190"/>
      <c r="G185" s="394"/>
      <c r="H185" s="371"/>
      <c r="I185" s="189"/>
      <c r="J185" s="189">
        <v>1175</v>
      </c>
      <c r="K185" s="189"/>
      <c r="L185" s="193">
        <f>SUM(I185:K185)</f>
        <v>1175</v>
      </c>
      <c r="M185" s="197"/>
    </row>
    <row r="186" spans="1:13" ht="18" customHeight="1" x14ac:dyDescent="0.3">
      <c r="A186" s="177">
        <v>223</v>
      </c>
      <c r="B186" s="392"/>
      <c r="C186" s="165"/>
      <c r="D186" s="275" t="s">
        <v>745</v>
      </c>
      <c r="E186" s="189"/>
      <c r="F186" s="190"/>
      <c r="G186" s="394"/>
      <c r="H186" s="371"/>
      <c r="I186" s="380"/>
      <c r="J186" s="380"/>
      <c r="K186" s="380"/>
      <c r="L186" s="297">
        <f t="shared" ref="L186" si="8">SUM(I186:K186)</f>
        <v>0</v>
      </c>
      <c r="M186" s="197"/>
    </row>
    <row r="187" spans="1:13" ht="50.25" customHeight="1" x14ac:dyDescent="0.3">
      <c r="A187" s="177">
        <v>225</v>
      </c>
      <c r="B187" s="392"/>
      <c r="C187" s="165">
        <v>111</v>
      </c>
      <c r="D187" s="393" t="s">
        <v>456</v>
      </c>
      <c r="E187" s="189">
        <f>F187+G187+L189+M188</f>
        <v>4600</v>
      </c>
      <c r="F187" s="190"/>
      <c r="G187" s="394"/>
      <c r="H187" s="371" t="s">
        <v>24</v>
      </c>
      <c r="I187" s="189"/>
      <c r="J187" s="189"/>
      <c r="K187" s="189"/>
      <c r="L187" s="193"/>
      <c r="M187" s="197"/>
    </row>
    <row r="188" spans="1:13" ht="18" customHeight="1" x14ac:dyDescent="0.3">
      <c r="A188" s="177">
        <v>226</v>
      </c>
      <c r="B188" s="392"/>
      <c r="C188" s="165"/>
      <c r="D188" s="390" t="s">
        <v>239</v>
      </c>
      <c r="E188" s="189"/>
      <c r="F188" s="190"/>
      <c r="G188" s="394"/>
      <c r="H188" s="371"/>
      <c r="I188" s="1224"/>
      <c r="J188" s="1224">
        <v>4600</v>
      </c>
      <c r="K188" s="1224"/>
      <c r="L188" s="1221">
        <f>SUM(I188:K188)</f>
        <v>4600</v>
      </c>
      <c r="M188" s="197"/>
    </row>
    <row r="189" spans="1:13" ht="18" customHeight="1" x14ac:dyDescent="0.3">
      <c r="A189" s="177">
        <v>227</v>
      </c>
      <c r="B189" s="392"/>
      <c r="C189" s="165"/>
      <c r="D189" s="279" t="s">
        <v>702</v>
      </c>
      <c r="E189" s="189"/>
      <c r="F189" s="190"/>
      <c r="G189" s="394"/>
      <c r="H189" s="371"/>
      <c r="I189" s="189"/>
      <c r="J189" s="189">
        <v>4600</v>
      </c>
      <c r="K189" s="189"/>
      <c r="L189" s="193">
        <f>SUM(I189:K189)</f>
        <v>4600</v>
      </c>
      <c r="M189" s="197"/>
    </row>
    <row r="190" spans="1:13" ht="18" customHeight="1" x14ac:dyDescent="0.3">
      <c r="A190" s="177">
        <v>228</v>
      </c>
      <c r="B190" s="392"/>
      <c r="C190" s="165"/>
      <c r="D190" s="275" t="s">
        <v>745</v>
      </c>
      <c r="E190" s="189"/>
      <c r="F190" s="190"/>
      <c r="G190" s="394"/>
      <c r="H190" s="371"/>
      <c r="I190" s="380"/>
      <c r="J190" s="380">
        <v>620</v>
      </c>
      <c r="K190" s="380"/>
      <c r="L190" s="297">
        <f t="shared" ref="L190" si="9">SUM(I190:K190)</f>
        <v>620</v>
      </c>
      <c r="M190" s="197"/>
    </row>
    <row r="191" spans="1:13" ht="33" x14ac:dyDescent="0.3">
      <c r="A191" s="177">
        <v>230</v>
      </c>
      <c r="B191" s="392"/>
      <c r="C191" s="165">
        <v>113</v>
      </c>
      <c r="D191" s="393" t="s">
        <v>492</v>
      </c>
      <c r="E191" s="189">
        <f>F191+G191+L193+M192</f>
        <v>90000</v>
      </c>
      <c r="F191" s="190"/>
      <c r="G191" s="394">
        <v>15938</v>
      </c>
      <c r="H191" s="371" t="s">
        <v>24</v>
      </c>
      <c r="I191" s="189"/>
      <c r="J191" s="189"/>
      <c r="K191" s="189"/>
      <c r="L191" s="193"/>
      <c r="M191" s="197"/>
    </row>
    <row r="192" spans="1:13" ht="18" customHeight="1" x14ac:dyDescent="0.3">
      <c r="A192" s="177">
        <v>231</v>
      </c>
      <c r="B192" s="392"/>
      <c r="C192" s="165"/>
      <c r="D192" s="390" t="s">
        <v>239</v>
      </c>
      <c r="E192" s="189"/>
      <c r="F192" s="190"/>
      <c r="G192" s="394"/>
      <c r="H192" s="371"/>
      <c r="I192" s="1224"/>
      <c r="J192" s="1224">
        <v>64062</v>
      </c>
      <c r="K192" s="1224"/>
      <c r="L192" s="1221">
        <f>SUM(I192:K192)</f>
        <v>64062</v>
      </c>
      <c r="M192" s="197"/>
    </row>
    <row r="193" spans="1:13" ht="18" customHeight="1" x14ac:dyDescent="0.3">
      <c r="A193" s="177">
        <v>232</v>
      </c>
      <c r="B193" s="392"/>
      <c r="C193" s="165"/>
      <c r="D193" s="279" t="s">
        <v>702</v>
      </c>
      <c r="E193" s="189"/>
      <c r="F193" s="190"/>
      <c r="G193" s="394"/>
      <c r="H193" s="371"/>
      <c r="I193" s="189"/>
      <c r="J193" s="189">
        <v>74062</v>
      </c>
      <c r="K193" s="189"/>
      <c r="L193" s="193">
        <f>SUM(I193:K193)</f>
        <v>74062</v>
      </c>
      <c r="M193" s="197"/>
    </row>
    <row r="194" spans="1:13" ht="18" customHeight="1" x14ac:dyDescent="0.3">
      <c r="A194" s="177">
        <v>233</v>
      </c>
      <c r="B194" s="392"/>
      <c r="C194" s="165"/>
      <c r="D194" s="275" t="s">
        <v>745</v>
      </c>
      <c r="E194" s="189"/>
      <c r="F194" s="190"/>
      <c r="G194" s="394"/>
      <c r="H194" s="371"/>
      <c r="I194" s="380"/>
      <c r="J194" s="380"/>
      <c r="K194" s="380"/>
      <c r="L194" s="297">
        <f t="shared" ref="L194" si="10">SUM(I194:K194)</f>
        <v>0</v>
      </c>
      <c r="M194" s="197"/>
    </row>
    <row r="195" spans="1:13" ht="22.15" customHeight="1" x14ac:dyDescent="0.3">
      <c r="A195" s="177">
        <v>235</v>
      </c>
      <c r="B195" s="392"/>
      <c r="C195" s="195">
        <v>114</v>
      </c>
      <c r="D195" s="393" t="s">
        <v>457</v>
      </c>
      <c r="E195" s="189">
        <f>F195+G195+L197+M196</f>
        <v>13500</v>
      </c>
      <c r="F195" s="190"/>
      <c r="G195" s="394"/>
      <c r="H195" s="371" t="s">
        <v>24</v>
      </c>
      <c r="I195" s="189"/>
      <c r="J195" s="189"/>
      <c r="K195" s="189"/>
      <c r="L195" s="193"/>
      <c r="M195" s="197"/>
    </row>
    <row r="196" spans="1:13" ht="18" customHeight="1" x14ac:dyDescent="0.3">
      <c r="A196" s="177">
        <v>236</v>
      </c>
      <c r="B196" s="392"/>
      <c r="C196" s="165"/>
      <c r="D196" s="390" t="s">
        <v>239</v>
      </c>
      <c r="E196" s="189"/>
      <c r="F196" s="190"/>
      <c r="G196" s="394"/>
      <c r="H196" s="371"/>
      <c r="I196" s="1224"/>
      <c r="J196" s="1224">
        <v>13500</v>
      </c>
      <c r="K196" s="1224"/>
      <c r="L196" s="1221">
        <f>SUM(I196:K196)</f>
        <v>13500</v>
      </c>
      <c r="M196" s="197"/>
    </row>
    <row r="197" spans="1:13" ht="18" customHeight="1" x14ac:dyDescent="0.3">
      <c r="A197" s="177">
        <v>237</v>
      </c>
      <c r="B197" s="392"/>
      <c r="C197" s="165"/>
      <c r="D197" s="279" t="s">
        <v>702</v>
      </c>
      <c r="E197" s="189"/>
      <c r="F197" s="190"/>
      <c r="G197" s="394"/>
      <c r="H197" s="371"/>
      <c r="I197" s="189"/>
      <c r="J197" s="189">
        <v>13500</v>
      </c>
      <c r="K197" s="189"/>
      <c r="L197" s="193">
        <f>SUM(I197:K197)</f>
        <v>13500</v>
      </c>
      <c r="M197" s="197"/>
    </row>
    <row r="198" spans="1:13" ht="18" customHeight="1" x14ac:dyDescent="0.3">
      <c r="A198" s="177">
        <v>238</v>
      </c>
      <c r="B198" s="392"/>
      <c r="C198" s="165"/>
      <c r="D198" s="275" t="s">
        <v>745</v>
      </c>
      <c r="E198" s="189"/>
      <c r="F198" s="190"/>
      <c r="G198" s="394"/>
      <c r="H198" s="371"/>
      <c r="I198" s="380"/>
      <c r="J198" s="380">
        <v>1334</v>
      </c>
      <c r="K198" s="380"/>
      <c r="L198" s="297">
        <f t="shared" ref="L198" si="11">SUM(I198:K198)</f>
        <v>1334</v>
      </c>
      <c r="M198" s="197"/>
    </row>
    <row r="199" spans="1:13" ht="34.5" customHeight="1" x14ac:dyDescent="0.3">
      <c r="A199" s="177">
        <v>240</v>
      </c>
      <c r="B199" s="392"/>
      <c r="C199" s="165">
        <v>115</v>
      </c>
      <c r="D199" s="393" t="s">
        <v>458</v>
      </c>
      <c r="E199" s="189">
        <f>F199+G199+L201+M200</f>
        <v>25019</v>
      </c>
      <c r="F199" s="190"/>
      <c r="G199" s="394">
        <v>11280</v>
      </c>
      <c r="H199" s="371" t="s">
        <v>24</v>
      </c>
      <c r="I199" s="189"/>
      <c r="J199" s="189"/>
      <c r="K199" s="189"/>
      <c r="L199" s="193"/>
      <c r="M199" s="197"/>
    </row>
    <row r="200" spans="1:13" ht="18" customHeight="1" x14ac:dyDescent="0.3">
      <c r="A200" s="177">
        <v>241</v>
      </c>
      <c r="B200" s="392"/>
      <c r="C200" s="165"/>
      <c r="D200" s="390" t="s">
        <v>239</v>
      </c>
      <c r="E200" s="189"/>
      <c r="F200" s="190"/>
      <c r="G200" s="394"/>
      <c r="H200" s="371"/>
      <c r="I200" s="1224"/>
      <c r="J200" s="1224">
        <v>16720</v>
      </c>
      <c r="K200" s="1224"/>
      <c r="L200" s="1221">
        <f>SUM(I200:K200)</f>
        <v>16720</v>
      </c>
      <c r="M200" s="197"/>
    </row>
    <row r="201" spans="1:13" ht="18" customHeight="1" x14ac:dyDescent="0.3">
      <c r="A201" s="177">
        <v>242</v>
      </c>
      <c r="B201" s="392"/>
      <c r="C201" s="165"/>
      <c r="D201" s="279" t="s">
        <v>702</v>
      </c>
      <c r="E201" s="189"/>
      <c r="F201" s="190"/>
      <c r="G201" s="394"/>
      <c r="H201" s="371"/>
      <c r="I201" s="189"/>
      <c r="J201" s="189">
        <v>13739</v>
      </c>
      <c r="K201" s="189"/>
      <c r="L201" s="193">
        <f>SUM(I201:K201)</f>
        <v>13739</v>
      </c>
      <c r="M201" s="197"/>
    </row>
    <row r="202" spans="1:13" ht="18" customHeight="1" x14ac:dyDescent="0.3">
      <c r="A202" s="177">
        <v>243</v>
      </c>
      <c r="B202" s="392"/>
      <c r="C202" s="165"/>
      <c r="D202" s="275" t="s">
        <v>745</v>
      </c>
      <c r="E202" s="189"/>
      <c r="F202" s="190"/>
      <c r="G202" s="394"/>
      <c r="H202" s="371"/>
      <c r="I202" s="380"/>
      <c r="J202" s="380">
        <v>13739</v>
      </c>
      <c r="K202" s="380"/>
      <c r="L202" s="297">
        <f t="shared" ref="L202" si="12">SUM(I202:K202)</f>
        <v>13739</v>
      </c>
      <c r="M202" s="197"/>
    </row>
    <row r="203" spans="1:13" ht="22.15" customHeight="1" x14ac:dyDescent="0.3">
      <c r="A203" s="177">
        <v>245</v>
      </c>
      <c r="B203" s="392"/>
      <c r="C203" s="195">
        <v>117</v>
      </c>
      <c r="D203" s="393" t="s">
        <v>459</v>
      </c>
      <c r="E203" s="189">
        <f>F203+G203+L205+M204</f>
        <v>5500</v>
      </c>
      <c r="F203" s="190"/>
      <c r="G203" s="394"/>
      <c r="H203" s="371" t="s">
        <v>24</v>
      </c>
      <c r="I203" s="189"/>
      <c r="J203" s="189"/>
      <c r="K203" s="189"/>
      <c r="L203" s="193"/>
      <c r="M203" s="197"/>
    </row>
    <row r="204" spans="1:13" ht="18" customHeight="1" x14ac:dyDescent="0.3">
      <c r="A204" s="177">
        <v>246</v>
      </c>
      <c r="B204" s="392"/>
      <c r="C204" s="165"/>
      <c r="D204" s="390" t="s">
        <v>239</v>
      </c>
      <c r="E204" s="189"/>
      <c r="F204" s="190"/>
      <c r="G204" s="394"/>
      <c r="H204" s="371"/>
      <c r="I204" s="1224"/>
      <c r="J204" s="1224">
        <v>5500</v>
      </c>
      <c r="K204" s="1224"/>
      <c r="L204" s="1221">
        <f>SUM(I204:K204)</f>
        <v>5500</v>
      </c>
      <c r="M204" s="197"/>
    </row>
    <row r="205" spans="1:13" ht="18" customHeight="1" x14ac:dyDescent="0.3">
      <c r="A205" s="177">
        <v>247</v>
      </c>
      <c r="B205" s="392"/>
      <c r="C205" s="165"/>
      <c r="D205" s="279" t="s">
        <v>702</v>
      </c>
      <c r="E205" s="189"/>
      <c r="F205" s="190"/>
      <c r="G205" s="394"/>
      <c r="H205" s="371"/>
      <c r="I205" s="189"/>
      <c r="J205" s="189">
        <v>5500</v>
      </c>
      <c r="K205" s="189"/>
      <c r="L205" s="193">
        <f>SUM(I205:K205)</f>
        <v>5500</v>
      </c>
      <c r="M205" s="197"/>
    </row>
    <row r="206" spans="1:13" ht="18" customHeight="1" x14ac:dyDescent="0.3">
      <c r="A206" s="177">
        <v>248</v>
      </c>
      <c r="B206" s="392"/>
      <c r="C206" s="165"/>
      <c r="D206" s="275" t="s">
        <v>745</v>
      </c>
      <c r="E206" s="189"/>
      <c r="F206" s="190"/>
      <c r="G206" s="394"/>
      <c r="H206" s="371"/>
      <c r="I206" s="380"/>
      <c r="J206" s="380">
        <v>2096</v>
      </c>
      <c r="K206" s="380"/>
      <c r="L206" s="297">
        <f t="shared" ref="L206" si="13">SUM(I206:K206)</f>
        <v>2096</v>
      </c>
      <c r="M206" s="197"/>
    </row>
    <row r="207" spans="1:13" ht="22.15" customHeight="1" x14ac:dyDescent="0.3">
      <c r="A207" s="177">
        <v>250</v>
      </c>
      <c r="B207" s="392"/>
      <c r="C207" s="195">
        <v>118</v>
      </c>
      <c r="D207" s="393" t="s">
        <v>460</v>
      </c>
      <c r="E207" s="189">
        <f>F207+G207+L209+M208</f>
        <v>20000</v>
      </c>
      <c r="F207" s="190"/>
      <c r="G207" s="394"/>
      <c r="H207" s="371" t="s">
        <v>23</v>
      </c>
      <c r="I207" s="189"/>
      <c r="J207" s="189"/>
      <c r="K207" s="189"/>
      <c r="L207" s="193"/>
      <c r="M207" s="197"/>
    </row>
    <row r="208" spans="1:13" ht="18" customHeight="1" x14ac:dyDescent="0.3">
      <c r="A208" s="177">
        <v>251</v>
      </c>
      <c r="B208" s="392"/>
      <c r="C208" s="165"/>
      <c r="D208" s="390" t="s">
        <v>239</v>
      </c>
      <c r="E208" s="189"/>
      <c r="F208" s="190"/>
      <c r="G208" s="394"/>
      <c r="H208" s="371"/>
      <c r="I208" s="1224"/>
      <c r="J208" s="1224">
        <v>20000</v>
      </c>
      <c r="K208" s="1224"/>
      <c r="L208" s="1221">
        <f>SUM(I208:K208)</f>
        <v>20000</v>
      </c>
      <c r="M208" s="197"/>
    </row>
    <row r="209" spans="1:13" ht="18" customHeight="1" x14ac:dyDescent="0.3">
      <c r="A209" s="177">
        <v>252</v>
      </c>
      <c r="B209" s="392"/>
      <c r="C209" s="165"/>
      <c r="D209" s="279" t="s">
        <v>702</v>
      </c>
      <c r="E209" s="189"/>
      <c r="F209" s="190"/>
      <c r="G209" s="394"/>
      <c r="H209" s="371"/>
      <c r="I209" s="189"/>
      <c r="J209" s="189">
        <v>20000</v>
      </c>
      <c r="K209" s="189"/>
      <c r="L209" s="193">
        <f>SUM(I209:K209)</f>
        <v>20000</v>
      </c>
      <c r="M209" s="197"/>
    </row>
    <row r="210" spans="1:13" ht="18" customHeight="1" x14ac:dyDescent="0.3">
      <c r="A210" s="177">
        <v>253</v>
      </c>
      <c r="B210" s="392"/>
      <c r="C210" s="165"/>
      <c r="D210" s="275" t="s">
        <v>745</v>
      </c>
      <c r="E210" s="189"/>
      <c r="F210" s="190"/>
      <c r="G210" s="394"/>
      <c r="H210" s="371"/>
      <c r="I210" s="380"/>
      <c r="J210" s="380"/>
      <c r="K210" s="380"/>
      <c r="L210" s="297">
        <f t="shared" ref="L210" si="14">SUM(I210:K210)</f>
        <v>0</v>
      </c>
      <c r="M210" s="197"/>
    </row>
    <row r="211" spans="1:13" ht="22.15" customHeight="1" x14ac:dyDescent="0.3">
      <c r="A211" s="177">
        <v>255</v>
      </c>
      <c r="B211" s="392"/>
      <c r="C211" s="195">
        <v>119</v>
      </c>
      <c r="D211" s="393" t="s">
        <v>461</v>
      </c>
      <c r="E211" s="189">
        <f>F211+G211+L213+M212</f>
        <v>20000</v>
      </c>
      <c r="F211" s="190"/>
      <c r="G211" s="394"/>
      <c r="H211" s="371" t="s">
        <v>23</v>
      </c>
      <c r="I211" s="189"/>
      <c r="J211" s="189"/>
      <c r="K211" s="189"/>
      <c r="L211" s="193"/>
      <c r="M211" s="197"/>
    </row>
    <row r="212" spans="1:13" ht="18" customHeight="1" x14ac:dyDescent="0.3">
      <c r="A212" s="177">
        <v>256</v>
      </c>
      <c r="B212" s="392"/>
      <c r="C212" s="165"/>
      <c r="D212" s="390" t="s">
        <v>239</v>
      </c>
      <c r="E212" s="189"/>
      <c r="F212" s="190"/>
      <c r="G212" s="394"/>
      <c r="H212" s="371"/>
      <c r="I212" s="1224"/>
      <c r="J212" s="1224">
        <v>20000</v>
      </c>
      <c r="K212" s="1224"/>
      <c r="L212" s="1221">
        <f>SUM(I212:K212)</f>
        <v>20000</v>
      </c>
      <c r="M212" s="197"/>
    </row>
    <row r="213" spans="1:13" ht="18" customHeight="1" x14ac:dyDescent="0.3">
      <c r="A213" s="177">
        <v>257</v>
      </c>
      <c r="B213" s="392"/>
      <c r="C213" s="165"/>
      <c r="D213" s="279" t="s">
        <v>702</v>
      </c>
      <c r="E213" s="189"/>
      <c r="F213" s="190"/>
      <c r="G213" s="394"/>
      <c r="H213" s="371"/>
      <c r="I213" s="189"/>
      <c r="J213" s="189">
        <v>20000</v>
      </c>
      <c r="K213" s="189"/>
      <c r="L213" s="193">
        <f>SUM(I213:K213)</f>
        <v>20000</v>
      </c>
      <c r="M213" s="197"/>
    </row>
    <row r="214" spans="1:13" ht="18" customHeight="1" x14ac:dyDescent="0.3">
      <c r="A214" s="177">
        <v>258</v>
      </c>
      <c r="B214" s="392"/>
      <c r="C214" s="165"/>
      <c r="D214" s="275" t="s">
        <v>745</v>
      </c>
      <c r="E214" s="189"/>
      <c r="F214" s="190"/>
      <c r="G214" s="394"/>
      <c r="H214" s="371"/>
      <c r="I214" s="380"/>
      <c r="J214" s="380"/>
      <c r="K214" s="380"/>
      <c r="L214" s="297">
        <f t="shared" ref="L214" si="15">SUM(I214:K214)</f>
        <v>0</v>
      </c>
      <c r="M214" s="197"/>
    </row>
    <row r="215" spans="1:13" ht="22.15" customHeight="1" x14ac:dyDescent="0.3">
      <c r="A215" s="177">
        <v>260</v>
      </c>
      <c r="B215" s="392"/>
      <c r="C215" s="195">
        <v>120</v>
      </c>
      <c r="D215" s="393" t="s">
        <v>658</v>
      </c>
      <c r="E215" s="189">
        <f>F215+G215+L217+M216</f>
        <v>16608</v>
      </c>
      <c r="F215" s="190"/>
      <c r="G215" s="394">
        <v>8633</v>
      </c>
      <c r="H215" s="371" t="s">
        <v>24</v>
      </c>
      <c r="I215" s="189"/>
      <c r="J215" s="189"/>
      <c r="K215" s="189"/>
      <c r="L215" s="193"/>
      <c r="M215" s="197"/>
    </row>
    <row r="216" spans="1:13" ht="18" customHeight="1" x14ac:dyDescent="0.3">
      <c r="A216" s="177">
        <v>261</v>
      </c>
      <c r="B216" s="392"/>
      <c r="C216" s="165"/>
      <c r="D216" s="390" t="s">
        <v>239</v>
      </c>
      <c r="E216" s="189"/>
      <c r="F216" s="190"/>
      <c r="G216" s="394"/>
      <c r="H216" s="371"/>
      <c r="I216" s="1224"/>
      <c r="J216" s="1224">
        <v>7975</v>
      </c>
      <c r="K216" s="1224"/>
      <c r="L216" s="1221">
        <f>SUM(I216:K216)</f>
        <v>7975</v>
      </c>
      <c r="M216" s="197"/>
    </row>
    <row r="217" spans="1:13" ht="18" customHeight="1" x14ac:dyDescent="0.3">
      <c r="A217" s="177">
        <v>262</v>
      </c>
      <c r="B217" s="392"/>
      <c r="C217" s="165"/>
      <c r="D217" s="279" t="s">
        <v>702</v>
      </c>
      <c r="E217" s="189"/>
      <c r="F217" s="190"/>
      <c r="G217" s="394"/>
      <c r="H217" s="371"/>
      <c r="I217" s="189"/>
      <c r="J217" s="189">
        <v>7975</v>
      </c>
      <c r="K217" s="189"/>
      <c r="L217" s="193">
        <f>SUM(I217:K217)</f>
        <v>7975</v>
      </c>
      <c r="M217" s="197"/>
    </row>
    <row r="218" spans="1:13" ht="18" customHeight="1" x14ac:dyDescent="0.3">
      <c r="A218" s="177">
        <v>263</v>
      </c>
      <c r="B218" s="392"/>
      <c r="C218" s="165"/>
      <c r="D218" s="275" t="s">
        <v>745</v>
      </c>
      <c r="E218" s="189"/>
      <c r="F218" s="190"/>
      <c r="G218" s="394"/>
      <c r="H218" s="371"/>
      <c r="I218" s="380"/>
      <c r="J218" s="380"/>
      <c r="K218" s="380"/>
      <c r="L218" s="297">
        <f t="shared" ref="L218" si="16">SUM(I218:K218)</f>
        <v>0</v>
      </c>
      <c r="M218" s="197"/>
    </row>
    <row r="219" spans="1:13" ht="22.35" customHeight="1" x14ac:dyDescent="0.3">
      <c r="A219" s="177">
        <v>265</v>
      </c>
      <c r="B219" s="392"/>
      <c r="C219" s="195">
        <v>123</v>
      </c>
      <c r="D219" s="393" t="s">
        <v>462</v>
      </c>
      <c r="E219" s="189">
        <f>F219+G219+L221+M220</f>
        <v>5000</v>
      </c>
      <c r="F219" s="190"/>
      <c r="G219" s="394">
        <v>3950</v>
      </c>
      <c r="H219" s="371" t="s">
        <v>24</v>
      </c>
      <c r="I219" s="189"/>
      <c r="J219" s="189"/>
      <c r="K219" s="189"/>
      <c r="L219" s="193"/>
      <c r="M219" s="197"/>
    </row>
    <row r="220" spans="1:13" ht="18" customHeight="1" x14ac:dyDescent="0.3">
      <c r="A220" s="177">
        <v>266</v>
      </c>
      <c r="B220" s="392"/>
      <c r="C220" s="165"/>
      <c r="D220" s="390" t="s">
        <v>239</v>
      </c>
      <c r="E220" s="189"/>
      <c r="F220" s="190"/>
      <c r="G220" s="394"/>
      <c r="H220" s="371"/>
      <c r="I220" s="1224"/>
      <c r="J220" s="1224">
        <v>1050</v>
      </c>
      <c r="K220" s="1224"/>
      <c r="L220" s="1221">
        <f>SUM(I220:K220)</f>
        <v>1050</v>
      </c>
      <c r="M220" s="197"/>
    </row>
    <row r="221" spans="1:13" ht="18" customHeight="1" x14ac:dyDescent="0.3">
      <c r="A221" s="177">
        <v>267</v>
      </c>
      <c r="B221" s="212"/>
      <c r="C221" s="165"/>
      <c r="D221" s="279" t="s">
        <v>702</v>
      </c>
      <c r="E221" s="189"/>
      <c r="F221" s="190"/>
      <c r="G221" s="397"/>
      <c r="H221" s="183"/>
      <c r="I221" s="180"/>
      <c r="J221" s="180">
        <v>1050</v>
      </c>
      <c r="K221" s="180"/>
      <c r="L221" s="193">
        <f>SUM(I221:K221)</f>
        <v>1050</v>
      </c>
      <c r="M221" s="398"/>
    </row>
    <row r="222" spans="1:13" ht="18" customHeight="1" x14ac:dyDescent="0.3">
      <c r="A222" s="177">
        <v>268</v>
      </c>
      <c r="B222" s="212"/>
      <c r="C222" s="165"/>
      <c r="D222" s="275" t="s">
        <v>745</v>
      </c>
      <c r="E222" s="189"/>
      <c r="F222" s="190"/>
      <c r="G222" s="397"/>
      <c r="H222" s="183"/>
      <c r="I222" s="399"/>
      <c r="J222" s="399"/>
      <c r="K222" s="399"/>
      <c r="L222" s="297">
        <f t="shared" ref="L222" si="17">SUM(I222:K222)</f>
        <v>0</v>
      </c>
      <c r="M222" s="398"/>
    </row>
    <row r="223" spans="1:13" ht="22.35" customHeight="1" x14ac:dyDescent="0.3">
      <c r="A223" s="177">
        <v>270</v>
      </c>
      <c r="B223" s="212"/>
      <c r="C223" s="195">
        <v>126</v>
      </c>
      <c r="D223" s="395" t="s">
        <v>608</v>
      </c>
      <c r="E223" s="189">
        <f>F223+G223+L225+M224</f>
        <v>0</v>
      </c>
      <c r="F223" s="190"/>
      <c r="G223" s="397"/>
      <c r="H223" s="183" t="s">
        <v>24</v>
      </c>
      <c r="I223" s="180"/>
      <c r="J223" s="180"/>
      <c r="K223" s="180"/>
      <c r="L223" s="213"/>
      <c r="M223" s="398"/>
    </row>
    <row r="224" spans="1:13" ht="18" customHeight="1" x14ac:dyDescent="0.3">
      <c r="A224" s="177">
        <v>271</v>
      </c>
      <c r="B224" s="212"/>
      <c r="C224" s="165"/>
      <c r="D224" s="390" t="s">
        <v>239</v>
      </c>
      <c r="E224" s="180"/>
      <c r="F224" s="190"/>
      <c r="G224" s="397"/>
      <c r="H224" s="183"/>
      <c r="I224" s="1226"/>
      <c r="J224" s="1226">
        <v>1500</v>
      </c>
      <c r="K224" s="1226"/>
      <c r="L224" s="1221">
        <f>SUM(I224:K224)</f>
        <v>1500</v>
      </c>
      <c r="M224" s="398"/>
    </row>
    <row r="225" spans="1:13" ht="18" customHeight="1" x14ac:dyDescent="0.3">
      <c r="A225" s="177">
        <v>272</v>
      </c>
      <c r="B225" s="212"/>
      <c r="C225" s="165"/>
      <c r="D225" s="279" t="s">
        <v>702</v>
      </c>
      <c r="E225" s="180"/>
      <c r="F225" s="190"/>
      <c r="G225" s="397"/>
      <c r="H225" s="183"/>
      <c r="I225" s="180"/>
      <c r="J225" s="180">
        <v>0</v>
      </c>
      <c r="K225" s="180"/>
      <c r="L225" s="193">
        <f>SUM(I225:K225)</f>
        <v>0</v>
      </c>
      <c r="M225" s="398"/>
    </row>
    <row r="226" spans="1:13" ht="18" customHeight="1" x14ac:dyDescent="0.3">
      <c r="A226" s="177">
        <v>273</v>
      </c>
      <c r="B226" s="212"/>
      <c r="C226" s="165"/>
      <c r="D226" s="275" t="s">
        <v>745</v>
      </c>
      <c r="E226" s="189"/>
      <c r="F226" s="190"/>
      <c r="G226" s="397"/>
      <c r="H226" s="183"/>
      <c r="I226" s="399"/>
      <c r="J226" s="399"/>
      <c r="K226" s="399"/>
      <c r="L226" s="297">
        <f t="shared" ref="L226" si="18">SUM(I226:K226)</f>
        <v>0</v>
      </c>
      <c r="M226" s="398"/>
    </row>
    <row r="227" spans="1:13" ht="22.35" customHeight="1" x14ac:dyDescent="0.3">
      <c r="A227" s="177">
        <v>275</v>
      </c>
      <c r="B227" s="212"/>
      <c r="C227" s="195">
        <v>129</v>
      </c>
      <c r="D227" s="395" t="s">
        <v>523</v>
      </c>
      <c r="E227" s="189">
        <f>F227+G227+L229+M228</f>
        <v>6300</v>
      </c>
      <c r="F227" s="190"/>
      <c r="G227" s="397"/>
      <c r="H227" s="183" t="s">
        <v>24</v>
      </c>
      <c r="I227" s="180"/>
      <c r="J227" s="180"/>
      <c r="K227" s="180"/>
      <c r="L227" s="213"/>
      <c r="M227" s="398"/>
    </row>
    <row r="228" spans="1:13" ht="18" customHeight="1" x14ac:dyDescent="0.3">
      <c r="A228" s="177">
        <v>276</v>
      </c>
      <c r="B228" s="212"/>
      <c r="C228" s="165"/>
      <c r="D228" s="390" t="s">
        <v>239</v>
      </c>
      <c r="E228" s="180"/>
      <c r="F228" s="190"/>
      <c r="G228" s="397"/>
      <c r="H228" s="183"/>
      <c r="I228" s="1226">
        <v>6300</v>
      </c>
      <c r="J228" s="1226"/>
      <c r="K228" s="1226"/>
      <c r="L228" s="1221">
        <f>SUM(I228:K228)</f>
        <v>6300</v>
      </c>
      <c r="M228" s="398"/>
    </row>
    <row r="229" spans="1:13" ht="18" customHeight="1" x14ac:dyDescent="0.3">
      <c r="A229" s="177">
        <v>277</v>
      </c>
      <c r="B229" s="212"/>
      <c r="C229" s="165"/>
      <c r="D229" s="279" t="s">
        <v>702</v>
      </c>
      <c r="E229" s="180"/>
      <c r="F229" s="190"/>
      <c r="G229" s="397"/>
      <c r="H229" s="183"/>
      <c r="I229" s="180">
        <v>6300</v>
      </c>
      <c r="J229" s="180"/>
      <c r="K229" s="180"/>
      <c r="L229" s="193">
        <f>SUM(I229:K229)</f>
        <v>6300</v>
      </c>
      <c r="M229" s="398"/>
    </row>
    <row r="230" spans="1:13" ht="18" customHeight="1" x14ac:dyDescent="0.3">
      <c r="A230" s="177">
        <v>278</v>
      </c>
      <c r="B230" s="212"/>
      <c r="C230" s="165"/>
      <c r="D230" s="275" t="s">
        <v>745</v>
      </c>
      <c r="E230" s="180"/>
      <c r="F230" s="190"/>
      <c r="G230" s="397"/>
      <c r="H230" s="183"/>
      <c r="I230" s="399">
        <v>3797</v>
      </c>
      <c r="J230" s="399"/>
      <c r="K230" s="399"/>
      <c r="L230" s="297">
        <f t="shared" ref="L230" si="19">SUM(I230:K230)</f>
        <v>3797</v>
      </c>
      <c r="M230" s="398"/>
    </row>
    <row r="231" spans="1:13" ht="22.35" customHeight="1" x14ac:dyDescent="0.35">
      <c r="A231" s="177">
        <v>280</v>
      </c>
      <c r="B231" s="212"/>
      <c r="C231" s="195">
        <v>134</v>
      </c>
      <c r="D231" s="400" t="s">
        <v>524</v>
      </c>
      <c r="E231" s="189">
        <f>F231+G231+L233+M232</f>
        <v>1000</v>
      </c>
      <c r="F231" s="190"/>
      <c r="G231" s="397"/>
      <c r="H231" s="183" t="s">
        <v>24</v>
      </c>
      <c r="I231" s="180"/>
      <c r="J231" s="180"/>
      <c r="K231" s="180"/>
      <c r="L231" s="213"/>
      <c r="M231" s="398"/>
    </row>
    <row r="232" spans="1:13" ht="18" customHeight="1" x14ac:dyDescent="0.3">
      <c r="A232" s="177">
        <v>281</v>
      </c>
      <c r="B232" s="212"/>
      <c r="C232" s="165"/>
      <c r="D232" s="390" t="s">
        <v>239</v>
      </c>
      <c r="E232" s="180"/>
      <c r="F232" s="190"/>
      <c r="G232" s="397"/>
      <c r="H232" s="183"/>
      <c r="I232" s="1226"/>
      <c r="J232" s="1226">
        <v>1000</v>
      </c>
      <c r="K232" s="1226"/>
      <c r="L232" s="1221">
        <f>SUM(I232:K232)</f>
        <v>1000</v>
      </c>
      <c r="M232" s="398"/>
    </row>
    <row r="233" spans="1:13" ht="18" customHeight="1" x14ac:dyDescent="0.3">
      <c r="A233" s="177">
        <v>282</v>
      </c>
      <c r="B233" s="212"/>
      <c r="C233" s="165"/>
      <c r="D233" s="279" t="s">
        <v>702</v>
      </c>
      <c r="E233" s="180"/>
      <c r="F233" s="190"/>
      <c r="G233" s="397"/>
      <c r="H233" s="183"/>
      <c r="I233" s="180"/>
      <c r="J233" s="180">
        <v>1000</v>
      </c>
      <c r="K233" s="180"/>
      <c r="L233" s="193">
        <f>SUM(I233:K233)</f>
        <v>1000</v>
      </c>
      <c r="M233" s="398"/>
    </row>
    <row r="234" spans="1:13" ht="18" customHeight="1" x14ac:dyDescent="0.3">
      <c r="A234" s="177">
        <v>283</v>
      </c>
      <c r="B234" s="212"/>
      <c r="C234" s="165"/>
      <c r="D234" s="275" t="s">
        <v>745</v>
      </c>
      <c r="E234" s="180"/>
      <c r="F234" s="190"/>
      <c r="G234" s="397"/>
      <c r="H234" s="183"/>
      <c r="I234" s="399"/>
      <c r="J234" s="399"/>
      <c r="K234" s="399"/>
      <c r="L234" s="297">
        <f t="shared" ref="L234" si="20">SUM(I234:K234)</f>
        <v>0</v>
      </c>
      <c r="M234" s="398"/>
    </row>
    <row r="235" spans="1:13" ht="33" x14ac:dyDescent="0.3">
      <c r="A235" s="177">
        <v>285</v>
      </c>
      <c r="B235" s="212"/>
      <c r="C235" s="165">
        <v>141</v>
      </c>
      <c r="D235" s="401" t="s">
        <v>525</v>
      </c>
      <c r="E235" s="189">
        <f>F235+G235+L237+M236</f>
        <v>22600</v>
      </c>
      <c r="F235" s="190"/>
      <c r="G235" s="397"/>
      <c r="H235" s="183" t="s">
        <v>24</v>
      </c>
      <c r="I235" s="180"/>
      <c r="J235" s="180"/>
      <c r="K235" s="180"/>
      <c r="L235" s="213"/>
      <c r="M235" s="398"/>
    </row>
    <row r="236" spans="1:13" ht="18" customHeight="1" x14ac:dyDescent="0.3">
      <c r="A236" s="177">
        <v>286</v>
      </c>
      <c r="B236" s="212"/>
      <c r="C236" s="165"/>
      <c r="D236" s="390" t="s">
        <v>239</v>
      </c>
      <c r="E236" s="180"/>
      <c r="F236" s="190"/>
      <c r="G236" s="397"/>
      <c r="H236" s="183"/>
      <c r="I236" s="1226"/>
      <c r="J236" s="1226">
        <v>22600</v>
      </c>
      <c r="K236" s="1226"/>
      <c r="L236" s="1221">
        <f>SUM(I236:K236)</f>
        <v>22600</v>
      </c>
      <c r="M236" s="398"/>
    </row>
    <row r="237" spans="1:13" ht="18" customHeight="1" x14ac:dyDescent="0.3">
      <c r="A237" s="177">
        <v>287</v>
      </c>
      <c r="B237" s="212"/>
      <c r="C237" s="165"/>
      <c r="D237" s="279" t="s">
        <v>702</v>
      </c>
      <c r="E237" s="180"/>
      <c r="F237" s="190"/>
      <c r="G237" s="397"/>
      <c r="H237" s="183"/>
      <c r="I237" s="180"/>
      <c r="J237" s="180">
        <v>22600</v>
      </c>
      <c r="K237" s="180"/>
      <c r="L237" s="193">
        <f>SUM(I237:K237)</f>
        <v>22600</v>
      </c>
      <c r="M237" s="398"/>
    </row>
    <row r="238" spans="1:13" ht="18" customHeight="1" x14ac:dyDescent="0.3">
      <c r="A238" s="177">
        <v>288</v>
      </c>
      <c r="B238" s="212"/>
      <c r="C238" s="165"/>
      <c r="D238" s="275" t="s">
        <v>745</v>
      </c>
      <c r="E238" s="189"/>
      <c r="F238" s="190"/>
      <c r="G238" s="397"/>
      <c r="H238" s="183"/>
      <c r="I238" s="399"/>
      <c r="J238" s="399">
        <v>22600</v>
      </c>
      <c r="K238" s="399"/>
      <c r="L238" s="297">
        <f>SUM(I238:K238)</f>
        <v>22600</v>
      </c>
      <c r="M238" s="398"/>
    </row>
    <row r="239" spans="1:13" ht="66" x14ac:dyDescent="0.3">
      <c r="A239" s="177">
        <v>290</v>
      </c>
      <c r="B239" s="212"/>
      <c r="C239" s="165">
        <v>142</v>
      </c>
      <c r="D239" s="402" t="s">
        <v>526</v>
      </c>
      <c r="E239" s="189">
        <f>F239+G239+L241+M240</f>
        <v>5164</v>
      </c>
      <c r="F239" s="190"/>
      <c r="G239" s="397"/>
      <c r="H239" s="183" t="s">
        <v>24</v>
      </c>
      <c r="I239" s="180"/>
      <c r="J239" s="180"/>
      <c r="K239" s="180"/>
      <c r="L239" s="213"/>
      <c r="M239" s="398"/>
    </row>
    <row r="240" spans="1:13" ht="18" customHeight="1" x14ac:dyDescent="0.3">
      <c r="A240" s="177">
        <v>291</v>
      </c>
      <c r="B240" s="212"/>
      <c r="C240" s="165"/>
      <c r="D240" s="390" t="s">
        <v>239</v>
      </c>
      <c r="E240" s="189"/>
      <c r="F240" s="190"/>
      <c r="G240" s="397"/>
      <c r="H240" s="183"/>
      <c r="I240" s="1226"/>
      <c r="J240" s="1226">
        <v>5164</v>
      </c>
      <c r="K240" s="1226"/>
      <c r="L240" s="1221">
        <f>SUM(I240:K240)</f>
        <v>5164</v>
      </c>
      <c r="M240" s="398"/>
    </row>
    <row r="241" spans="1:13" ht="18" customHeight="1" x14ac:dyDescent="0.3">
      <c r="A241" s="177">
        <v>292</v>
      </c>
      <c r="B241" s="212"/>
      <c r="C241" s="165"/>
      <c r="D241" s="279" t="s">
        <v>702</v>
      </c>
      <c r="E241" s="189"/>
      <c r="F241" s="190"/>
      <c r="G241" s="397"/>
      <c r="H241" s="183"/>
      <c r="I241" s="180"/>
      <c r="J241" s="180">
        <v>5164</v>
      </c>
      <c r="K241" s="180"/>
      <c r="L241" s="193">
        <f>SUM(I241:K241)</f>
        <v>5164</v>
      </c>
      <c r="M241" s="398"/>
    </row>
    <row r="242" spans="1:13" ht="18" customHeight="1" x14ac:dyDescent="0.3">
      <c r="A242" s="177">
        <v>293</v>
      </c>
      <c r="B242" s="212"/>
      <c r="C242" s="165"/>
      <c r="D242" s="275" t="s">
        <v>745</v>
      </c>
      <c r="E242" s="189"/>
      <c r="F242" s="190"/>
      <c r="G242" s="397"/>
      <c r="H242" s="183"/>
      <c r="I242" s="399"/>
      <c r="J242" s="399">
        <v>4572</v>
      </c>
      <c r="K242" s="399"/>
      <c r="L242" s="297">
        <f t="shared" ref="L242" si="21">SUM(I242:K242)</f>
        <v>4572</v>
      </c>
      <c r="M242" s="398"/>
    </row>
    <row r="243" spans="1:13" ht="33" x14ac:dyDescent="0.3">
      <c r="A243" s="177">
        <v>295</v>
      </c>
      <c r="B243" s="212"/>
      <c r="C243" s="165">
        <v>143</v>
      </c>
      <c r="D243" s="402" t="s">
        <v>527</v>
      </c>
      <c r="E243" s="189">
        <f>F243+G243+L245+M244</f>
        <v>4847</v>
      </c>
      <c r="F243" s="190"/>
      <c r="G243" s="397"/>
      <c r="H243" s="183" t="s">
        <v>24</v>
      </c>
      <c r="I243" s="180"/>
      <c r="J243" s="180"/>
      <c r="K243" s="180"/>
      <c r="L243" s="213"/>
      <c r="M243" s="398"/>
    </row>
    <row r="244" spans="1:13" ht="18" customHeight="1" x14ac:dyDescent="0.3">
      <c r="A244" s="177">
        <v>296</v>
      </c>
      <c r="B244" s="212"/>
      <c r="C244" s="165"/>
      <c r="D244" s="390" t="s">
        <v>239</v>
      </c>
      <c r="E244" s="189"/>
      <c r="F244" s="190"/>
      <c r="G244" s="397"/>
      <c r="H244" s="183"/>
      <c r="I244" s="1226"/>
      <c r="J244" s="1226">
        <v>4847</v>
      </c>
      <c r="K244" s="1226"/>
      <c r="L244" s="1221">
        <f>SUM(I244:K244)</f>
        <v>4847</v>
      </c>
      <c r="M244" s="398"/>
    </row>
    <row r="245" spans="1:13" ht="18" customHeight="1" x14ac:dyDescent="0.3">
      <c r="A245" s="177">
        <v>297</v>
      </c>
      <c r="B245" s="212"/>
      <c r="C245" s="165"/>
      <c r="D245" s="279" t="s">
        <v>702</v>
      </c>
      <c r="E245" s="189"/>
      <c r="F245" s="190"/>
      <c r="G245" s="397"/>
      <c r="H245" s="183"/>
      <c r="I245" s="180"/>
      <c r="J245" s="180">
        <v>4847</v>
      </c>
      <c r="K245" s="180"/>
      <c r="L245" s="193">
        <f>SUM(I245:K245)</f>
        <v>4847</v>
      </c>
      <c r="M245" s="398"/>
    </row>
    <row r="246" spans="1:13" ht="18" customHeight="1" x14ac:dyDescent="0.3">
      <c r="A246" s="177">
        <v>298</v>
      </c>
      <c r="B246" s="212"/>
      <c r="C246" s="165"/>
      <c r="D246" s="275" t="s">
        <v>745</v>
      </c>
      <c r="E246" s="189"/>
      <c r="F246" s="190"/>
      <c r="G246" s="397"/>
      <c r="H246" s="183"/>
      <c r="I246" s="399"/>
      <c r="J246" s="399">
        <v>4293</v>
      </c>
      <c r="K246" s="399"/>
      <c r="L246" s="297">
        <f t="shared" ref="L246" si="22">SUM(I246:K246)</f>
        <v>4293</v>
      </c>
      <c r="M246" s="398"/>
    </row>
    <row r="247" spans="1:13" ht="22.35" customHeight="1" x14ac:dyDescent="0.3">
      <c r="A247" s="177">
        <v>300</v>
      </c>
      <c r="B247" s="212"/>
      <c r="C247" s="195">
        <v>144</v>
      </c>
      <c r="D247" s="402" t="s">
        <v>528</v>
      </c>
      <c r="E247" s="189">
        <f>F247+G247+L249+M248</f>
        <v>0</v>
      </c>
      <c r="F247" s="190"/>
      <c r="G247" s="397"/>
      <c r="H247" s="183" t="s">
        <v>24</v>
      </c>
      <c r="I247" s="180"/>
      <c r="J247" s="180"/>
      <c r="K247" s="180"/>
      <c r="L247" s="213"/>
      <c r="M247" s="398"/>
    </row>
    <row r="248" spans="1:13" ht="18" customHeight="1" x14ac:dyDescent="0.3">
      <c r="A248" s="177">
        <v>301</v>
      </c>
      <c r="B248" s="212"/>
      <c r="C248" s="165"/>
      <c r="D248" s="390" t="s">
        <v>239</v>
      </c>
      <c r="E248" s="189"/>
      <c r="F248" s="190"/>
      <c r="G248" s="397"/>
      <c r="H248" s="183"/>
      <c r="I248" s="1226"/>
      <c r="J248" s="1226">
        <v>4297</v>
      </c>
      <c r="K248" s="1226"/>
      <c r="L248" s="1221">
        <f>SUM(I248:K248)</f>
        <v>4297</v>
      </c>
      <c r="M248" s="398"/>
    </row>
    <row r="249" spans="1:13" ht="18" customHeight="1" x14ac:dyDescent="0.3">
      <c r="A249" s="177">
        <v>302</v>
      </c>
      <c r="B249" s="212"/>
      <c r="C249" s="165"/>
      <c r="D249" s="279" t="s">
        <v>702</v>
      </c>
      <c r="E249" s="189"/>
      <c r="F249" s="190"/>
      <c r="G249" s="397"/>
      <c r="H249" s="183"/>
      <c r="I249" s="180"/>
      <c r="J249" s="180">
        <v>0</v>
      </c>
      <c r="K249" s="180"/>
      <c r="L249" s="193">
        <f>SUM(I249:K249)</f>
        <v>0</v>
      </c>
      <c r="M249" s="398"/>
    </row>
    <row r="250" spans="1:13" ht="18" customHeight="1" x14ac:dyDescent="0.3">
      <c r="A250" s="177">
        <v>303</v>
      </c>
      <c r="B250" s="212"/>
      <c r="C250" s="165"/>
      <c r="D250" s="275" t="s">
        <v>745</v>
      </c>
      <c r="E250" s="189"/>
      <c r="F250" s="190"/>
      <c r="G250" s="397"/>
      <c r="H250" s="183"/>
      <c r="I250" s="399"/>
      <c r="J250" s="399">
        <v>0</v>
      </c>
      <c r="K250" s="399"/>
      <c r="L250" s="297">
        <f t="shared" ref="L250:L253" si="23">SUM(I250:K250)</f>
        <v>0</v>
      </c>
      <c r="M250" s="398"/>
    </row>
    <row r="251" spans="1:13" ht="22.5" customHeight="1" x14ac:dyDescent="0.3">
      <c r="A251" s="177">
        <v>305</v>
      </c>
      <c r="B251" s="212"/>
      <c r="C251" s="165">
        <v>145</v>
      </c>
      <c r="D251" s="402" t="s">
        <v>580</v>
      </c>
      <c r="E251" s="189">
        <f>F251+G251+L252</f>
        <v>1200</v>
      </c>
      <c r="F251" s="190"/>
      <c r="G251" s="397">
        <v>500</v>
      </c>
      <c r="H251" s="183" t="s">
        <v>24</v>
      </c>
      <c r="I251" s="180"/>
      <c r="J251" s="180"/>
      <c r="K251" s="180"/>
      <c r="L251" s="213"/>
      <c r="M251" s="398"/>
    </row>
    <row r="252" spans="1:13" ht="18" customHeight="1" x14ac:dyDescent="0.3">
      <c r="A252" s="177">
        <v>306</v>
      </c>
      <c r="B252" s="212"/>
      <c r="C252" s="165"/>
      <c r="D252" s="279" t="s">
        <v>702</v>
      </c>
      <c r="E252" s="189"/>
      <c r="F252" s="190"/>
      <c r="G252" s="397"/>
      <c r="H252" s="183"/>
      <c r="I252" s="180"/>
      <c r="J252" s="180"/>
      <c r="K252" s="180">
        <v>700</v>
      </c>
      <c r="L252" s="297">
        <f t="shared" si="23"/>
        <v>700</v>
      </c>
      <c r="M252" s="398"/>
    </row>
    <row r="253" spans="1:13" ht="18" customHeight="1" x14ac:dyDescent="0.3">
      <c r="A253" s="177">
        <v>307</v>
      </c>
      <c r="B253" s="212"/>
      <c r="C253" s="165"/>
      <c r="D253" s="275" t="s">
        <v>745</v>
      </c>
      <c r="E253" s="189"/>
      <c r="F253" s="190"/>
      <c r="G253" s="397"/>
      <c r="H253" s="183"/>
      <c r="I253" s="180"/>
      <c r="J253" s="180"/>
      <c r="K253" s="399">
        <v>700</v>
      </c>
      <c r="L253" s="297">
        <f t="shared" si="23"/>
        <v>700</v>
      </c>
      <c r="M253" s="398"/>
    </row>
    <row r="254" spans="1:13" ht="33" x14ac:dyDescent="0.3">
      <c r="A254" s="177">
        <v>309</v>
      </c>
      <c r="B254" s="212"/>
      <c r="C254" s="165">
        <v>146</v>
      </c>
      <c r="D254" s="402" t="s">
        <v>529</v>
      </c>
      <c r="E254" s="189">
        <f>F254+G254+L256+M255</f>
        <v>19050</v>
      </c>
      <c r="F254" s="190"/>
      <c r="G254" s="397"/>
      <c r="H254" s="183" t="s">
        <v>24</v>
      </c>
      <c r="I254" s="180"/>
      <c r="J254" s="180"/>
      <c r="K254" s="180"/>
      <c r="L254" s="213"/>
      <c r="M254" s="398"/>
    </row>
    <row r="255" spans="1:13" ht="18" customHeight="1" x14ac:dyDescent="0.3">
      <c r="A255" s="177">
        <v>310</v>
      </c>
      <c r="B255" s="212"/>
      <c r="C255" s="165"/>
      <c r="D255" s="390" t="s">
        <v>239</v>
      </c>
      <c r="E255" s="189"/>
      <c r="F255" s="190"/>
      <c r="G255" s="397"/>
      <c r="H255" s="183"/>
      <c r="I255" s="1226"/>
      <c r="J255" s="1226">
        <v>19050</v>
      </c>
      <c r="K255" s="1226"/>
      <c r="L255" s="1221">
        <f>SUM(I255:K255)</f>
        <v>19050</v>
      </c>
      <c r="M255" s="398"/>
    </row>
    <row r="256" spans="1:13" ht="18" customHeight="1" x14ac:dyDescent="0.3">
      <c r="A256" s="177">
        <v>311</v>
      </c>
      <c r="B256" s="212"/>
      <c r="C256" s="165"/>
      <c r="D256" s="279" t="s">
        <v>702</v>
      </c>
      <c r="E256" s="189"/>
      <c r="F256" s="190"/>
      <c r="G256" s="397"/>
      <c r="H256" s="183"/>
      <c r="I256" s="180"/>
      <c r="J256" s="180">
        <v>19050</v>
      </c>
      <c r="K256" s="180"/>
      <c r="L256" s="193">
        <f>SUM(I256:K256)</f>
        <v>19050</v>
      </c>
      <c r="M256" s="398"/>
    </row>
    <row r="257" spans="1:13" ht="18" customHeight="1" x14ac:dyDescent="0.3">
      <c r="A257" s="177">
        <v>312</v>
      </c>
      <c r="B257" s="212"/>
      <c r="C257" s="165"/>
      <c r="D257" s="275" t="s">
        <v>745</v>
      </c>
      <c r="E257" s="189"/>
      <c r="F257" s="190"/>
      <c r="G257" s="397"/>
      <c r="H257" s="183"/>
      <c r="I257" s="399"/>
      <c r="J257" s="399"/>
      <c r="K257" s="399"/>
      <c r="L257" s="297">
        <f t="shared" ref="L257" si="24">SUM(I257:K257)</f>
        <v>0</v>
      </c>
      <c r="M257" s="398"/>
    </row>
    <row r="258" spans="1:13" ht="22.35" customHeight="1" x14ac:dyDescent="0.3">
      <c r="A258" s="177">
        <v>314</v>
      </c>
      <c r="B258" s="212"/>
      <c r="C258" s="195">
        <v>148</v>
      </c>
      <c r="D258" s="373" t="s">
        <v>530</v>
      </c>
      <c r="E258" s="189">
        <f>F258+G258+L260+M259</f>
        <v>10800</v>
      </c>
      <c r="F258" s="190"/>
      <c r="G258" s="397"/>
      <c r="H258" s="183" t="s">
        <v>24</v>
      </c>
      <c r="I258" s="180"/>
      <c r="J258" s="180"/>
      <c r="K258" s="180"/>
      <c r="L258" s="213"/>
      <c r="M258" s="398"/>
    </row>
    <row r="259" spans="1:13" ht="18" customHeight="1" x14ac:dyDescent="0.3">
      <c r="A259" s="177">
        <v>315</v>
      </c>
      <c r="B259" s="212"/>
      <c r="C259" s="165"/>
      <c r="D259" s="390" t="s">
        <v>239</v>
      </c>
      <c r="E259" s="189"/>
      <c r="F259" s="190"/>
      <c r="G259" s="397"/>
      <c r="H259" s="183"/>
      <c r="I259" s="1226"/>
      <c r="J259" s="1226">
        <v>10800</v>
      </c>
      <c r="K259" s="1226"/>
      <c r="L259" s="1221">
        <f>SUM(I259:K259)</f>
        <v>10800</v>
      </c>
      <c r="M259" s="398"/>
    </row>
    <row r="260" spans="1:13" ht="18" customHeight="1" x14ac:dyDescent="0.3">
      <c r="A260" s="177">
        <v>316</v>
      </c>
      <c r="B260" s="212"/>
      <c r="C260" s="165"/>
      <c r="D260" s="279" t="s">
        <v>702</v>
      </c>
      <c r="E260" s="189"/>
      <c r="F260" s="190"/>
      <c r="G260" s="397"/>
      <c r="H260" s="183"/>
      <c r="I260" s="180"/>
      <c r="J260" s="180">
        <v>10800</v>
      </c>
      <c r="K260" s="180"/>
      <c r="L260" s="193">
        <f>SUM(I260:K260)</f>
        <v>10800</v>
      </c>
      <c r="M260" s="398"/>
    </row>
    <row r="261" spans="1:13" ht="18" customHeight="1" x14ac:dyDescent="0.3">
      <c r="A261" s="177">
        <v>317</v>
      </c>
      <c r="B261" s="212"/>
      <c r="C261" s="165"/>
      <c r="D261" s="275" t="s">
        <v>745</v>
      </c>
      <c r="E261" s="189"/>
      <c r="F261" s="190"/>
      <c r="G261" s="397"/>
      <c r="H261" s="183"/>
      <c r="I261" s="399"/>
      <c r="J261" s="399"/>
      <c r="K261" s="399"/>
      <c r="L261" s="297">
        <f t="shared" ref="L261" si="25">SUM(I261:K261)</f>
        <v>0</v>
      </c>
      <c r="M261" s="398"/>
    </row>
    <row r="262" spans="1:13" ht="22.35" customHeight="1" x14ac:dyDescent="0.3">
      <c r="A262" s="177">
        <v>319</v>
      </c>
      <c r="B262" s="212"/>
      <c r="C262" s="195">
        <v>149</v>
      </c>
      <c r="D262" s="373" t="s">
        <v>531</v>
      </c>
      <c r="E262" s="189">
        <f>F262+G262+L264+M263</f>
        <v>9000</v>
      </c>
      <c r="F262" s="190"/>
      <c r="G262" s="397"/>
      <c r="H262" s="183" t="s">
        <v>24</v>
      </c>
      <c r="I262" s="180"/>
      <c r="J262" s="180"/>
      <c r="K262" s="180"/>
      <c r="L262" s="213"/>
      <c r="M262" s="398"/>
    </row>
    <row r="263" spans="1:13" ht="18" customHeight="1" x14ac:dyDescent="0.3">
      <c r="A263" s="177">
        <v>320</v>
      </c>
      <c r="B263" s="212"/>
      <c r="C263" s="165"/>
      <c r="D263" s="390" t="s">
        <v>239</v>
      </c>
      <c r="E263" s="180"/>
      <c r="F263" s="190"/>
      <c r="G263" s="397"/>
      <c r="H263" s="183"/>
      <c r="I263" s="1226"/>
      <c r="J263" s="1226">
        <v>4000</v>
      </c>
      <c r="K263" s="1226"/>
      <c r="L263" s="1221">
        <f>SUM(I263:K263)</f>
        <v>4000</v>
      </c>
      <c r="M263" s="398"/>
    </row>
    <row r="264" spans="1:13" ht="18" customHeight="1" x14ac:dyDescent="0.3">
      <c r="A264" s="177">
        <v>321</v>
      </c>
      <c r="B264" s="212"/>
      <c r="C264" s="165"/>
      <c r="D264" s="279" t="s">
        <v>702</v>
      </c>
      <c r="E264" s="180"/>
      <c r="F264" s="190"/>
      <c r="G264" s="397"/>
      <c r="H264" s="183"/>
      <c r="I264" s="180"/>
      <c r="J264" s="180">
        <v>9000</v>
      </c>
      <c r="K264" s="180"/>
      <c r="L264" s="193">
        <f>SUM(I264:K264)</f>
        <v>9000</v>
      </c>
      <c r="M264" s="398"/>
    </row>
    <row r="265" spans="1:13" ht="18" customHeight="1" x14ac:dyDescent="0.3">
      <c r="A265" s="177">
        <v>322</v>
      </c>
      <c r="B265" s="212"/>
      <c r="C265" s="165"/>
      <c r="D265" s="275" t="s">
        <v>745</v>
      </c>
      <c r="E265" s="189"/>
      <c r="F265" s="190"/>
      <c r="G265" s="397"/>
      <c r="H265" s="183"/>
      <c r="I265" s="399"/>
      <c r="J265" s="399"/>
      <c r="K265" s="399"/>
      <c r="L265" s="297">
        <f t="shared" ref="L265" si="26">SUM(I265:K265)</f>
        <v>0</v>
      </c>
      <c r="M265" s="398"/>
    </row>
    <row r="266" spans="1:13" ht="22.35" customHeight="1" x14ac:dyDescent="0.3">
      <c r="A266" s="177">
        <v>324</v>
      </c>
      <c r="B266" s="212"/>
      <c r="C266" s="195">
        <v>150</v>
      </c>
      <c r="D266" s="373" t="s">
        <v>532</v>
      </c>
      <c r="E266" s="189">
        <f>F266+G266+L268+M267</f>
        <v>3000</v>
      </c>
      <c r="F266" s="190"/>
      <c r="G266" s="397"/>
      <c r="H266" s="183" t="s">
        <v>24</v>
      </c>
      <c r="I266" s="180"/>
      <c r="J266" s="180"/>
      <c r="K266" s="180"/>
      <c r="L266" s="213"/>
      <c r="M266" s="398"/>
    </row>
    <row r="267" spans="1:13" ht="18" customHeight="1" x14ac:dyDescent="0.3">
      <c r="A267" s="177">
        <v>325</v>
      </c>
      <c r="B267" s="212"/>
      <c r="C267" s="165"/>
      <c r="D267" s="390" t="s">
        <v>239</v>
      </c>
      <c r="E267" s="180"/>
      <c r="F267" s="190"/>
      <c r="G267" s="397"/>
      <c r="H267" s="183"/>
      <c r="I267" s="1226"/>
      <c r="J267" s="1226">
        <v>3000</v>
      </c>
      <c r="K267" s="1226"/>
      <c r="L267" s="1221">
        <f>SUM(I267:K267)</f>
        <v>3000</v>
      </c>
      <c r="M267" s="398"/>
    </row>
    <row r="268" spans="1:13" ht="18" customHeight="1" x14ac:dyDescent="0.3">
      <c r="A268" s="177">
        <v>326</v>
      </c>
      <c r="B268" s="212"/>
      <c r="C268" s="165"/>
      <c r="D268" s="279" t="s">
        <v>702</v>
      </c>
      <c r="E268" s="180"/>
      <c r="F268" s="190"/>
      <c r="G268" s="397"/>
      <c r="H268" s="183"/>
      <c r="I268" s="180"/>
      <c r="J268" s="180">
        <v>3000</v>
      </c>
      <c r="K268" s="180"/>
      <c r="L268" s="193">
        <f>SUM(I268:K268)</f>
        <v>3000</v>
      </c>
      <c r="M268" s="398"/>
    </row>
    <row r="269" spans="1:13" ht="18" customHeight="1" x14ac:dyDescent="0.3">
      <c r="A269" s="177">
        <v>327</v>
      </c>
      <c r="B269" s="212"/>
      <c r="C269" s="165"/>
      <c r="D269" s="275" t="s">
        <v>745</v>
      </c>
      <c r="E269" s="180"/>
      <c r="F269" s="190"/>
      <c r="G269" s="397"/>
      <c r="H269" s="183"/>
      <c r="I269" s="399"/>
      <c r="J269" s="399"/>
      <c r="K269" s="399"/>
      <c r="L269" s="297">
        <f t="shared" ref="L269" si="27">SUM(I269:K269)</f>
        <v>0</v>
      </c>
      <c r="M269" s="398"/>
    </row>
    <row r="270" spans="1:13" ht="22.35" customHeight="1" x14ac:dyDescent="0.3">
      <c r="A270" s="177">
        <v>329</v>
      </c>
      <c r="B270" s="212"/>
      <c r="C270" s="195">
        <v>151</v>
      </c>
      <c r="D270" s="373" t="s">
        <v>631</v>
      </c>
      <c r="E270" s="189">
        <f>F270+G270+L272+M271</f>
        <v>5000</v>
      </c>
      <c r="F270" s="190"/>
      <c r="G270" s="397"/>
      <c r="H270" s="183" t="s">
        <v>24</v>
      </c>
      <c r="I270" s="180"/>
      <c r="J270" s="180"/>
      <c r="K270" s="180"/>
      <c r="L270" s="213"/>
      <c r="M270" s="398"/>
    </row>
    <row r="271" spans="1:13" ht="18" customHeight="1" x14ac:dyDescent="0.3">
      <c r="A271" s="177">
        <v>330</v>
      </c>
      <c r="B271" s="212"/>
      <c r="C271" s="165"/>
      <c r="D271" s="390" t="s">
        <v>239</v>
      </c>
      <c r="E271" s="180"/>
      <c r="F271" s="190"/>
      <c r="G271" s="397"/>
      <c r="H271" s="183"/>
      <c r="I271" s="1226"/>
      <c r="J271" s="1226">
        <v>5000</v>
      </c>
      <c r="K271" s="1226"/>
      <c r="L271" s="1221">
        <f>SUM(I271:K271)</f>
        <v>5000</v>
      </c>
      <c r="M271" s="398"/>
    </row>
    <row r="272" spans="1:13" ht="18" customHeight="1" x14ac:dyDescent="0.3">
      <c r="A272" s="177">
        <v>331</v>
      </c>
      <c r="B272" s="212"/>
      <c r="C272" s="165"/>
      <c r="D272" s="279" t="s">
        <v>702</v>
      </c>
      <c r="E272" s="180"/>
      <c r="F272" s="190"/>
      <c r="G272" s="397"/>
      <c r="H272" s="183"/>
      <c r="I272" s="180"/>
      <c r="J272" s="180">
        <v>5000</v>
      </c>
      <c r="K272" s="180"/>
      <c r="L272" s="193">
        <f>SUM(I272:K272)</f>
        <v>5000</v>
      </c>
      <c r="M272" s="398"/>
    </row>
    <row r="273" spans="1:13" ht="18" customHeight="1" x14ac:dyDescent="0.3">
      <c r="A273" s="177">
        <v>332</v>
      </c>
      <c r="B273" s="212"/>
      <c r="C273" s="165"/>
      <c r="D273" s="275" t="s">
        <v>745</v>
      </c>
      <c r="E273" s="180"/>
      <c r="F273" s="190"/>
      <c r="G273" s="397"/>
      <c r="H273" s="183"/>
      <c r="I273" s="180"/>
      <c r="J273" s="180"/>
      <c r="K273" s="180"/>
      <c r="L273" s="193">
        <f t="shared" ref="L273" si="28">SUM(I273:K273)</f>
        <v>0</v>
      </c>
      <c r="M273" s="398"/>
    </row>
    <row r="274" spans="1:13" ht="22.35" customHeight="1" x14ac:dyDescent="0.3">
      <c r="A274" s="177">
        <v>334</v>
      </c>
      <c r="B274" s="212"/>
      <c r="C274" s="195">
        <v>152</v>
      </c>
      <c r="D274" s="373" t="s">
        <v>533</v>
      </c>
      <c r="E274" s="189">
        <f>F274+G274+L276+M275</f>
        <v>4400</v>
      </c>
      <c r="F274" s="190"/>
      <c r="G274" s="397"/>
      <c r="H274" s="183" t="s">
        <v>24</v>
      </c>
      <c r="I274" s="180"/>
      <c r="J274" s="180"/>
      <c r="K274" s="180"/>
      <c r="L274" s="213"/>
      <c r="M274" s="398"/>
    </row>
    <row r="275" spans="1:13" ht="18" customHeight="1" x14ac:dyDescent="0.3">
      <c r="A275" s="177">
        <v>335</v>
      </c>
      <c r="B275" s="212"/>
      <c r="C275" s="165"/>
      <c r="D275" s="390" t="s">
        <v>239</v>
      </c>
      <c r="E275" s="180"/>
      <c r="F275" s="190"/>
      <c r="G275" s="397"/>
      <c r="H275" s="183"/>
      <c r="I275" s="1226"/>
      <c r="J275" s="1226">
        <v>4400</v>
      </c>
      <c r="K275" s="1226"/>
      <c r="L275" s="1221">
        <f>SUM(I275:K275)</f>
        <v>4400</v>
      </c>
      <c r="M275" s="398"/>
    </row>
    <row r="276" spans="1:13" ht="18" customHeight="1" x14ac:dyDescent="0.3">
      <c r="A276" s="177">
        <v>336</v>
      </c>
      <c r="B276" s="212"/>
      <c r="C276" s="165"/>
      <c r="D276" s="279" t="s">
        <v>702</v>
      </c>
      <c r="E276" s="180"/>
      <c r="F276" s="190"/>
      <c r="G276" s="397"/>
      <c r="H276" s="183"/>
      <c r="I276" s="180"/>
      <c r="J276" s="180">
        <v>4400</v>
      </c>
      <c r="K276" s="180"/>
      <c r="L276" s="193">
        <f>SUM(I276:K276)</f>
        <v>4400</v>
      </c>
      <c r="M276" s="398"/>
    </row>
    <row r="277" spans="1:13" ht="18" customHeight="1" x14ac:dyDescent="0.3">
      <c r="A277" s="177">
        <v>337</v>
      </c>
      <c r="B277" s="212"/>
      <c r="C277" s="165"/>
      <c r="D277" s="275" t="s">
        <v>745</v>
      </c>
      <c r="E277" s="180"/>
      <c r="F277" s="190"/>
      <c r="G277" s="397"/>
      <c r="H277" s="183"/>
      <c r="I277" s="399"/>
      <c r="J277" s="399">
        <v>2000</v>
      </c>
      <c r="K277" s="399"/>
      <c r="L277" s="297">
        <f t="shared" ref="L277" si="29">SUM(I277:K277)</f>
        <v>2000</v>
      </c>
      <c r="M277" s="398"/>
    </row>
    <row r="278" spans="1:13" ht="22.35" customHeight="1" x14ac:dyDescent="0.3">
      <c r="A278" s="177">
        <v>339</v>
      </c>
      <c r="B278" s="212"/>
      <c r="C278" s="195">
        <v>153</v>
      </c>
      <c r="D278" s="373" t="s">
        <v>534</v>
      </c>
      <c r="E278" s="189">
        <f>F278+G278+L280+M279</f>
        <v>18000</v>
      </c>
      <c r="F278" s="190"/>
      <c r="G278" s="397"/>
      <c r="H278" s="183" t="s">
        <v>24</v>
      </c>
      <c r="I278" s="180"/>
      <c r="J278" s="180"/>
      <c r="K278" s="180"/>
      <c r="L278" s="213"/>
      <c r="M278" s="398"/>
    </row>
    <row r="279" spans="1:13" ht="18" customHeight="1" x14ac:dyDescent="0.3">
      <c r="A279" s="177">
        <v>340</v>
      </c>
      <c r="B279" s="212"/>
      <c r="C279" s="165"/>
      <c r="D279" s="390" t="s">
        <v>239</v>
      </c>
      <c r="E279" s="180"/>
      <c r="F279" s="190"/>
      <c r="G279" s="397"/>
      <c r="H279" s="183"/>
      <c r="I279" s="1226"/>
      <c r="J279" s="1226">
        <v>18000</v>
      </c>
      <c r="K279" s="1226"/>
      <c r="L279" s="1221">
        <f>SUM(I279:K279)</f>
        <v>18000</v>
      </c>
      <c r="M279" s="398"/>
    </row>
    <row r="280" spans="1:13" ht="18" customHeight="1" x14ac:dyDescent="0.3">
      <c r="A280" s="177">
        <v>341</v>
      </c>
      <c r="B280" s="212"/>
      <c r="C280" s="165"/>
      <c r="D280" s="279" t="s">
        <v>702</v>
      </c>
      <c r="E280" s="180"/>
      <c r="F280" s="190"/>
      <c r="G280" s="397"/>
      <c r="H280" s="183"/>
      <c r="I280" s="180"/>
      <c r="J280" s="180">
        <v>18000</v>
      </c>
      <c r="K280" s="180"/>
      <c r="L280" s="193">
        <f>SUM(I280:K280)</f>
        <v>18000</v>
      </c>
      <c r="M280" s="398"/>
    </row>
    <row r="281" spans="1:13" ht="18" customHeight="1" x14ac:dyDescent="0.3">
      <c r="A281" s="177">
        <v>342</v>
      </c>
      <c r="B281" s="212"/>
      <c r="C281" s="165"/>
      <c r="D281" s="275" t="s">
        <v>745</v>
      </c>
      <c r="E281" s="180"/>
      <c r="F281" s="190"/>
      <c r="G281" s="397"/>
      <c r="H281" s="183"/>
      <c r="I281" s="399"/>
      <c r="J281" s="399"/>
      <c r="K281" s="399"/>
      <c r="L281" s="297">
        <f t="shared" ref="L281" si="30">SUM(I281:K281)</f>
        <v>0</v>
      </c>
      <c r="M281" s="398"/>
    </row>
    <row r="282" spans="1:13" ht="22.35" customHeight="1" x14ac:dyDescent="0.3">
      <c r="A282" s="177">
        <v>344</v>
      </c>
      <c r="B282" s="212"/>
      <c r="C282" s="195">
        <v>154</v>
      </c>
      <c r="D282" s="373" t="s">
        <v>535</v>
      </c>
      <c r="E282" s="189">
        <f>F282+G282+L284+M283</f>
        <v>6731</v>
      </c>
      <c r="F282" s="190"/>
      <c r="G282" s="397"/>
      <c r="H282" s="183" t="s">
        <v>24</v>
      </c>
      <c r="I282" s="180"/>
      <c r="J282" s="180"/>
      <c r="K282" s="180"/>
      <c r="L282" s="213"/>
      <c r="M282" s="398"/>
    </row>
    <row r="283" spans="1:13" ht="18" customHeight="1" x14ac:dyDescent="0.3">
      <c r="A283" s="177">
        <v>345</v>
      </c>
      <c r="B283" s="212"/>
      <c r="C283" s="165"/>
      <c r="D283" s="390" t="s">
        <v>239</v>
      </c>
      <c r="E283" s="180"/>
      <c r="F283" s="190"/>
      <c r="G283" s="397"/>
      <c r="H283" s="183"/>
      <c r="I283" s="1226"/>
      <c r="J283" s="1226">
        <v>6731</v>
      </c>
      <c r="K283" s="1226"/>
      <c r="L283" s="1221">
        <f>SUM(I283:K283)</f>
        <v>6731</v>
      </c>
      <c r="M283" s="398"/>
    </row>
    <row r="284" spans="1:13" ht="18" customHeight="1" x14ac:dyDescent="0.3">
      <c r="A284" s="177">
        <v>346</v>
      </c>
      <c r="B284" s="212"/>
      <c r="C284" s="165"/>
      <c r="D284" s="279" t="s">
        <v>702</v>
      </c>
      <c r="E284" s="180"/>
      <c r="F284" s="190"/>
      <c r="G284" s="397"/>
      <c r="H284" s="183"/>
      <c r="I284" s="180"/>
      <c r="J284" s="180">
        <v>6731</v>
      </c>
      <c r="K284" s="180"/>
      <c r="L284" s="193">
        <f>SUM(I284:K284)</f>
        <v>6731</v>
      </c>
      <c r="M284" s="398"/>
    </row>
    <row r="285" spans="1:13" ht="18" customHeight="1" x14ac:dyDescent="0.3">
      <c r="A285" s="177">
        <v>347</v>
      </c>
      <c r="B285" s="212"/>
      <c r="C285" s="165"/>
      <c r="D285" s="275" t="s">
        <v>745</v>
      </c>
      <c r="E285" s="180"/>
      <c r="F285" s="190"/>
      <c r="G285" s="397"/>
      <c r="H285" s="183"/>
      <c r="I285" s="399"/>
      <c r="J285" s="399">
        <v>6731</v>
      </c>
      <c r="K285" s="399"/>
      <c r="L285" s="297">
        <f t="shared" ref="L285" si="31">SUM(I285:K285)</f>
        <v>6731</v>
      </c>
      <c r="M285" s="398"/>
    </row>
    <row r="286" spans="1:13" ht="22.35" customHeight="1" x14ac:dyDescent="0.3">
      <c r="A286" s="177">
        <v>349</v>
      </c>
      <c r="B286" s="212"/>
      <c r="C286" s="195">
        <v>155</v>
      </c>
      <c r="D286" s="373" t="s">
        <v>536</v>
      </c>
      <c r="E286" s="189">
        <f>F286+G286+L288+M287</f>
        <v>5200</v>
      </c>
      <c r="F286" s="190"/>
      <c r="G286" s="397"/>
      <c r="H286" s="183" t="s">
        <v>24</v>
      </c>
      <c r="I286" s="180"/>
      <c r="J286" s="180"/>
      <c r="K286" s="180"/>
      <c r="L286" s="213"/>
      <c r="M286" s="398"/>
    </row>
    <row r="287" spans="1:13" ht="18" customHeight="1" x14ac:dyDescent="0.3">
      <c r="A287" s="177">
        <v>350</v>
      </c>
      <c r="B287" s="212"/>
      <c r="C287" s="165"/>
      <c r="D287" s="390" t="s">
        <v>239</v>
      </c>
      <c r="E287" s="180"/>
      <c r="F287" s="190"/>
      <c r="G287" s="397"/>
      <c r="H287" s="183"/>
      <c r="I287" s="1226"/>
      <c r="J287" s="1226">
        <v>5200</v>
      </c>
      <c r="K287" s="1226"/>
      <c r="L287" s="1221">
        <f>SUM(I287:K287)</f>
        <v>5200</v>
      </c>
      <c r="M287" s="398"/>
    </row>
    <row r="288" spans="1:13" ht="18" customHeight="1" x14ac:dyDescent="0.3">
      <c r="A288" s="177">
        <v>351</v>
      </c>
      <c r="B288" s="212"/>
      <c r="C288" s="165"/>
      <c r="D288" s="279" t="s">
        <v>702</v>
      </c>
      <c r="E288" s="180"/>
      <c r="F288" s="190"/>
      <c r="G288" s="397"/>
      <c r="H288" s="183"/>
      <c r="I288" s="180"/>
      <c r="J288" s="180">
        <v>5200</v>
      </c>
      <c r="K288" s="180"/>
      <c r="L288" s="193">
        <f>SUM(I288:K288)</f>
        <v>5200</v>
      </c>
      <c r="M288" s="398"/>
    </row>
    <row r="289" spans="1:13" ht="18" customHeight="1" x14ac:dyDescent="0.3">
      <c r="A289" s="177">
        <v>352</v>
      </c>
      <c r="B289" s="212"/>
      <c r="C289" s="165"/>
      <c r="D289" s="275" t="s">
        <v>745</v>
      </c>
      <c r="E289" s="180"/>
      <c r="F289" s="190"/>
      <c r="G289" s="397"/>
      <c r="H289" s="183"/>
      <c r="I289" s="399"/>
      <c r="J289" s="399"/>
      <c r="K289" s="399"/>
      <c r="L289" s="297">
        <f t="shared" ref="L289" si="32">SUM(I289:K289)</f>
        <v>0</v>
      </c>
      <c r="M289" s="398"/>
    </row>
    <row r="290" spans="1:13" ht="22.35" customHeight="1" x14ac:dyDescent="0.3">
      <c r="A290" s="177">
        <v>354</v>
      </c>
      <c r="B290" s="212"/>
      <c r="C290" s="195">
        <v>156</v>
      </c>
      <c r="D290" s="373" t="s">
        <v>537</v>
      </c>
      <c r="E290" s="189">
        <f>F290+G290+L292+M291</f>
        <v>6086</v>
      </c>
      <c r="F290" s="190"/>
      <c r="G290" s="397"/>
      <c r="H290" s="183" t="s">
        <v>24</v>
      </c>
      <c r="I290" s="180"/>
      <c r="J290" s="180"/>
      <c r="K290" s="180"/>
      <c r="L290" s="213"/>
      <c r="M290" s="398"/>
    </row>
    <row r="291" spans="1:13" ht="18" customHeight="1" x14ac:dyDescent="0.3">
      <c r="A291" s="177">
        <v>355</v>
      </c>
      <c r="B291" s="212"/>
      <c r="C291" s="165"/>
      <c r="D291" s="390" t="s">
        <v>239</v>
      </c>
      <c r="E291" s="180"/>
      <c r="F291" s="190"/>
      <c r="G291" s="397"/>
      <c r="H291" s="183"/>
      <c r="I291" s="1226"/>
      <c r="J291" s="1226">
        <v>6086</v>
      </c>
      <c r="K291" s="1226"/>
      <c r="L291" s="1221">
        <f>SUM(I291:K291)</f>
        <v>6086</v>
      </c>
      <c r="M291" s="398"/>
    </row>
    <row r="292" spans="1:13" ht="18" customHeight="1" x14ac:dyDescent="0.3">
      <c r="A292" s="177">
        <v>356</v>
      </c>
      <c r="B292" s="212"/>
      <c r="C292" s="165"/>
      <c r="D292" s="279" t="s">
        <v>702</v>
      </c>
      <c r="E292" s="180"/>
      <c r="F292" s="190"/>
      <c r="G292" s="397"/>
      <c r="H292" s="183"/>
      <c r="I292" s="180"/>
      <c r="J292" s="180">
        <v>6086</v>
      </c>
      <c r="K292" s="180"/>
      <c r="L292" s="193">
        <f>SUM(I292:K292)</f>
        <v>6086</v>
      </c>
      <c r="M292" s="398"/>
    </row>
    <row r="293" spans="1:13" ht="18" customHeight="1" x14ac:dyDescent="0.3">
      <c r="A293" s="177">
        <v>357</v>
      </c>
      <c r="B293" s="212"/>
      <c r="C293" s="165"/>
      <c r="D293" s="275" t="s">
        <v>745</v>
      </c>
      <c r="E293" s="180"/>
      <c r="F293" s="190"/>
      <c r="G293" s="397"/>
      <c r="H293" s="183"/>
      <c r="I293" s="399"/>
      <c r="J293" s="399"/>
      <c r="K293" s="399"/>
      <c r="L293" s="297">
        <f t="shared" ref="L293" si="33">SUM(I293:K293)</f>
        <v>0</v>
      </c>
      <c r="M293" s="398"/>
    </row>
    <row r="294" spans="1:13" ht="22.35" customHeight="1" x14ac:dyDescent="0.3">
      <c r="A294" s="177">
        <v>359</v>
      </c>
      <c r="B294" s="212"/>
      <c r="C294" s="195">
        <v>158</v>
      </c>
      <c r="D294" s="373" t="s">
        <v>538</v>
      </c>
      <c r="E294" s="189">
        <f>F294+G294+L296+M295</f>
        <v>23775</v>
      </c>
      <c r="F294" s="190"/>
      <c r="G294" s="397"/>
      <c r="H294" s="183" t="s">
        <v>24</v>
      </c>
      <c r="I294" s="180"/>
      <c r="J294" s="180"/>
      <c r="K294" s="180"/>
      <c r="L294" s="213"/>
      <c r="M294" s="398"/>
    </row>
    <row r="295" spans="1:13" ht="18" customHeight="1" x14ac:dyDescent="0.3">
      <c r="A295" s="177">
        <v>360</v>
      </c>
      <c r="B295" s="212"/>
      <c r="C295" s="165"/>
      <c r="D295" s="390" t="s">
        <v>239</v>
      </c>
      <c r="E295" s="180"/>
      <c r="F295" s="190"/>
      <c r="G295" s="397"/>
      <c r="H295" s="183"/>
      <c r="I295" s="1226"/>
      <c r="J295" s="1226">
        <v>23775</v>
      </c>
      <c r="K295" s="1226"/>
      <c r="L295" s="1221">
        <f>SUM(I295:K295)</f>
        <v>23775</v>
      </c>
      <c r="M295" s="398"/>
    </row>
    <row r="296" spans="1:13" ht="18" customHeight="1" x14ac:dyDescent="0.3">
      <c r="A296" s="177">
        <v>361</v>
      </c>
      <c r="B296" s="212"/>
      <c r="C296" s="165"/>
      <c r="D296" s="279" t="s">
        <v>702</v>
      </c>
      <c r="E296" s="180"/>
      <c r="F296" s="190"/>
      <c r="G296" s="397"/>
      <c r="H296" s="183"/>
      <c r="I296" s="180"/>
      <c r="J296" s="180">
        <v>23775</v>
      </c>
      <c r="K296" s="180"/>
      <c r="L296" s="193">
        <f>SUM(I296:K296)</f>
        <v>23775</v>
      </c>
      <c r="M296" s="398"/>
    </row>
    <row r="297" spans="1:13" ht="18" customHeight="1" x14ac:dyDescent="0.3">
      <c r="A297" s="177">
        <v>362</v>
      </c>
      <c r="B297" s="212"/>
      <c r="C297" s="165"/>
      <c r="D297" s="275" t="s">
        <v>745</v>
      </c>
      <c r="E297" s="180"/>
      <c r="F297" s="190"/>
      <c r="G297" s="397"/>
      <c r="H297" s="183"/>
      <c r="I297" s="399"/>
      <c r="J297" s="399">
        <v>23774</v>
      </c>
      <c r="K297" s="399"/>
      <c r="L297" s="297">
        <f t="shared" ref="L297" si="34">SUM(I297:K297)</f>
        <v>23774</v>
      </c>
      <c r="M297" s="398"/>
    </row>
    <row r="298" spans="1:13" ht="22.35" customHeight="1" x14ac:dyDescent="0.3">
      <c r="A298" s="177">
        <v>364</v>
      </c>
      <c r="B298" s="212"/>
      <c r="C298" s="195">
        <v>159</v>
      </c>
      <c r="D298" s="373" t="s">
        <v>539</v>
      </c>
      <c r="E298" s="189">
        <f>F298+G298+L300+M299</f>
        <v>22225</v>
      </c>
      <c r="F298" s="190"/>
      <c r="G298" s="397"/>
      <c r="H298" s="183" t="s">
        <v>24</v>
      </c>
      <c r="I298" s="180"/>
      <c r="J298" s="180"/>
      <c r="K298" s="180"/>
      <c r="L298" s="213"/>
      <c r="M298" s="398"/>
    </row>
    <row r="299" spans="1:13" ht="18" customHeight="1" x14ac:dyDescent="0.3">
      <c r="A299" s="177">
        <v>365</v>
      </c>
      <c r="B299" s="212"/>
      <c r="C299" s="165"/>
      <c r="D299" s="390" t="s">
        <v>239</v>
      </c>
      <c r="E299" s="180"/>
      <c r="F299" s="190"/>
      <c r="G299" s="397"/>
      <c r="H299" s="183"/>
      <c r="I299" s="1226">
        <v>22225</v>
      </c>
      <c r="J299" s="1226"/>
      <c r="K299" s="1226"/>
      <c r="L299" s="1221">
        <f>SUM(I299:K299)</f>
        <v>22225</v>
      </c>
      <c r="M299" s="398"/>
    </row>
    <row r="300" spans="1:13" ht="18" customHeight="1" x14ac:dyDescent="0.3">
      <c r="A300" s="177">
        <v>366</v>
      </c>
      <c r="B300" s="212"/>
      <c r="C300" s="165"/>
      <c r="D300" s="279" t="s">
        <v>702</v>
      </c>
      <c r="E300" s="180"/>
      <c r="F300" s="190"/>
      <c r="G300" s="397"/>
      <c r="H300" s="183"/>
      <c r="I300" s="180">
        <v>22225</v>
      </c>
      <c r="J300" s="180"/>
      <c r="K300" s="180"/>
      <c r="L300" s="193">
        <f>SUM(I300:K300)</f>
        <v>22225</v>
      </c>
      <c r="M300" s="398"/>
    </row>
    <row r="301" spans="1:13" ht="18" customHeight="1" x14ac:dyDescent="0.3">
      <c r="A301" s="177">
        <v>367</v>
      </c>
      <c r="B301" s="212"/>
      <c r="C301" s="165"/>
      <c r="D301" s="275" t="s">
        <v>745</v>
      </c>
      <c r="E301" s="180"/>
      <c r="F301" s="190"/>
      <c r="G301" s="397"/>
      <c r="H301" s="183"/>
      <c r="I301" s="399">
        <v>18783</v>
      </c>
      <c r="J301" s="399"/>
      <c r="K301" s="399"/>
      <c r="L301" s="297">
        <f t="shared" ref="L301" si="35">SUM(I301:K301)</f>
        <v>18783</v>
      </c>
      <c r="M301" s="398"/>
    </row>
    <row r="302" spans="1:13" ht="22.35" customHeight="1" x14ac:dyDescent="0.3">
      <c r="A302" s="177">
        <v>369</v>
      </c>
      <c r="B302" s="212"/>
      <c r="C302" s="195">
        <v>160</v>
      </c>
      <c r="D302" s="373" t="s">
        <v>540</v>
      </c>
      <c r="E302" s="189">
        <f>F302+G302+L304+M303</f>
        <v>8446</v>
      </c>
      <c r="F302" s="190"/>
      <c r="G302" s="397"/>
      <c r="H302" s="183" t="s">
        <v>24</v>
      </c>
      <c r="I302" s="180"/>
      <c r="J302" s="180"/>
      <c r="K302" s="180"/>
      <c r="L302" s="213"/>
      <c r="M302" s="398"/>
    </row>
    <row r="303" spans="1:13" ht="18" customHeight="1" x14ac:dyDescent="0.3">
      <c r="A303" s="177">
        <v>370</v>
      </c>
      <c r="B303" s="212"/>
      <c r="C303" s="165"/>
      <c r="D303" s="390" t="s">
        <v>239</v>
      </c>
      <c r="E303" s="180"/>
      <c r="F303" s="190"/>
      <c r="G303" s="397"/>
      <c r="H303" s="183"/>
      <c r="I303" s="1226"/>
      <c r="J303" s="1226">
        <v>8446</v>
      </c>
      <c r="K303" s="1226"/>
      <c r="L303" s="1221">
        <f>SUM(I303:K303)</f>
        <v>8446</v>
      </c>
      <c r="M303" s="398"/>
    </row>
    <row r="304" spans="1:13" ht="18" customHeight="1" x14ac:dyDescent="0.3">
      <c r="A304" s="177">
        <v>371</v>
      </c>
      <c r="B304" s="212"/>
      <c r="C304" s="165"/>
      <c r="D304" s="279" t="s">
        <v>702</v>
      </c>
      <c r="E304" s="180"/>
      <c r="F304" s="190"/>
      <c r="G304" s="397"/>
      <c r="H304" s="183"/>
      <c r="I304" s="180"/>
      <c r="J304" s="180">
        <v>8446</v>
      </c>
      <c r="K304" s="180"/>
      <c r="L304" s="193">
        <f>SUM(I304:K304)</f>
        <v>8446</v>
      </c>
      <c r="M304" s="398"/>
    </row>
    <row r="305" spans="1:13" ht="18" customHeight="1" x14ac:dyDescent="0.3">
      <c r="A305" s="177">
        <v>372</v>
      </c>
      <c r="B305" s="212"/>
      <c r="C305" s="165"/>
      <c r="D305" s="275" t="s">
        <v>745</v>
      </c>
      <c r="E305" s="180"/>
      <c r="F305" s="190"/>
      <c r="G305" s="397"/>
      <c r="H305" s="183"/>
      <c r="I305" s="399"/>
      <c r="J305" s="399">
        <v>8446</v>
      </c>
      <c r="K305" s="399"/>
      <c r="L305" s="297">
        <f t="shared" ref="L305" si="36">SUM(I305:K305)</f>
        <v>8446</v>
      </c>
      <c r="M305" s="398"/>
    </row>
    <row r="306" spans="1:13" ht="22.35" customHeight="1" x14ac:dyDescent="0.3">
      <c r="A306" s="177">
        <v>374</v>
      </c>
      <c r="B306" s="212"/>
      <c r="C306" s="195">
        <v>161</v>
      </c>
      <c r="D306" s="373" t="s">
        <v>541</v>
      </c>
      <c r="E306" s="189">
        <f>F306+G306+L308+M307</f>
        <v>51443</v>
      </c>
      <c r="F306" s="190"/>
      <c r="G306" s="397"/>
      <c r="H306" s="183" t="s">
        <v>24</v>
      </c>
      <c r="I306" s="180"/>
      <c r="J306" s="180"/>
      <c r="K306" s="180"/>
      <c r="L306" s="213"/>
      <c r="M306" s="398"/>
    </row>
    <row r="307" spans="1:13" ht="18" customHeight="1" x14ac:dyDescent="0.3">
      <c r="A307" s="177">
        <v>375</v>
      </c>
      <c r="B307" s="212"/>
      <c r="C307" s="165"/>
      <c r="D307" s="390" t="s">
        <v>239</v>
      </c>
      <c r="E307" s="180"/>
      <c r="F307" s="190"/>
      <c r="G307" s="397"/>
      <c r="H307" s="183"/>
      <c r="I307" s="1226"/>
      <c r="J307" s="1226">
        <v>51443</v>
      </c>
      <c r="K307" s="1226"/>
      <c r="L307" s="1221">
        <f>SUM(I307:K307)</f>
        <v>51443</v>
      </c>
      <c r="M307" s="398"/>
    </row>
    <row r="308" spans="1:13" ht="18" customHeight="1" x14ac:dyDescent="0.3">
      <c r="A308" s="177">
        <v>376</v>
      </c>
      <c r="B308" s="212"/>
      <c r="C308" s="165"/>
      <c r="D308" s="279" t="s">
        <v>702</v>
      </c>
      <c r="E308" s="180"/>
      <c r="F308" s="190"/>
      <c r="G308" s="397"/>
      <c r="H308" s="183"/>
      <c r="I308" s="180"/>
      <c r="J308" s="180">
        <v>51443</v>
      </c>
      <c r="K308" s="180"/>
      <c r="L308" s="193">
        <f>SUM(I308:K308)</f>
        <v>51443</v>
      </c>
      <c r="M308" s="398"/>
    </row>
    <row r="309" spans="1:13" ht="18" customHeight="1" x14ac:dyDescent="0.3">
      <c r="A309" s="177">
        <v>377</v>
      </c>
      <c r="B309" s="212"/>
      <c r="C309" s="165"/>
      <c r="D309" s="275" t="s">
        <v>745</v>
      </c>
      <c r="E309" s="180"/>
      <c r="F309" s="190"/>
      <c r="G309" s="397"/>
      <c r="H309" s="183"/>
      <c r="I309" s="399"/>
      <c r="J309" s="399">
        <v>51443</v>
      </c>
      <c r="K309" s="399"/>
      <c r="L309" s="297">
        <f t="shared" ref="L309" si="37">SUM(I309:K309)</f>
        <v>51443</v>
      </c>
      <c r="M309" s="398"/>
    </row>
    <row r="310" spans="1:13" ht="22.35" customHeight="1" x14ac:dyDescent="0.3">
      <c r="A310" s="177">
        <v>379</v>
      </c>
      <c r="B310" s="212"/>
      <c r="C310" s="195">
        <v>162</v>
      </c>
      <c r="D310" s="373" t="s">
        <v>542</v>
      </c>
      <c r="E310" s="189">
        <f>F310+G310+L312+M311</f>
        <v>47838</v>
      </c>
      <c r="F310" s="190"/>
      <c r="G310" s="397"/>
      <c r="H310" s="183" t="s">
        <v>24</v>
      </c>
      <c r="I310" s="180"/>
      <c r="J310" s="180"/>
      <c r="K310" s="180"/>
      <c r="L310" s="213"/>
      <c r="M310" s="398"/>
    </row>
    <row r="311" spans="1:13" ht="18" customHeight="1" x14ac:dyDescent="0.3">
      <c r="A311" s="177">
        <v>380</v>
      </c>
      <c r="B311" s="212"/>
      <c r="C311" s="165"/>
      <c r="D311" s="390" t="s">
        <v>239</v>
      </c>
      <c r="E311" s="180"/>
      <c r="F311" s="190"/>
      <c r="G311" s="397"/>
      <c r="H311" s="183"/>
      <c r="I311" s="1226"/>
      <c r="J311" s="1226">
        <v>47838</v>
      </c>
      <c r="K311" s="1226"/>
      <c r="L311" s="1221">
        <f>SUM(I311:K311)</f>
        <v>47838</v>
      </c>
      <c r="M311" s="398"/>
    </row>
    <row r="312" spans="1:13" ht="18" customHeight="1" x14ac:dyDescent="0.3">
      <c r="A312" s="177">
        <v>381</v>
      </c>
      <c r="B312" s="212"/>
      <c r="C312" s="165"/>
      <c r="D312" s="279" t="s">
        <v>702</v>
      </c>
      <c r="E312" s="180"/>
      <c r="F312" s="190"/>
      <c r="G312" s="397"/>
      <c r="H312" s="183"/>
      <c r="I312" s="180"/>
      <c r="J312" s="180">
        <v>47838</v>
      </c>
      <c r="K312" s="180"/>
      <c r="L312" s="193">
        <f>SUM(I312:K312)</f>
        <v>47838</v>
      </c>
      <c r="M312" s="398"/>
    </row>
    <row r="313" spans="1:13" ht="18" customHeight="1" x14ac:dyDescent="0.3">
      <c r="A313" s="177">
        <v>382</v>
      </c>
      <c r="B313" s="212"/>
      <c r="C313" s="165"/>
      <c r="D313" s="275" t="s">
        <v>745</v>
      </c>
      <c r="E313" s="180"/>
      <c r="F313" s="190"/>
      <c r="G313" s="397"/>
      <c r="H313" s="183"/>
      <c r="I313" s="399"/>
      <c r="J313" s="399">
        <v>47838</v>
      </c>
      <c r="K313" s="399"/>
      <c r="L313" s="297">
        <f t="shared" ref="L313" si="38">SUM(I313:K313)</f>
        <v>47838</v>
      </c>
      <c r="M313" s="398"/>
    </row>
    <row r="314" spans="1:13" ht="22.35" customHeight="1" x14ac:dyDescent="0.3">
      <c r="A314" s="177">
        <v>384</v>
      </c>
      <c r="B314" s="212"/>
      <c r="C314" s="195">
        <v>163</v>
      </c>
      <c r="D314" s="373" t="s">
        <v>543</v>
      </c>
      <c r="E314" s="189">
        <f>F314+G314+L316+M315</f>
        <v>1207</v>
      </c>
      <c r="F314" s="190"/>
      <c r="G314" s="397"/>
      <c r="H314" s="183" t="s">
        <v>24</v>
      </c>
      <c r="I314" s="180"/>
      <c r="J314" s="180"/>
      <c r="K314" s="180"/>
      <c r="L314" s="213"/>
      <c r="M314" s="398"/>
    </row>
    <row r="315" spans="1:13" ht="18" customHeight="1" x14ac:dyDescent="0.3">
      <c r="A315" s="177">
        <v>385</v>
      </c>
      <c r="B315" s="212"/>
      <c r="C315" s="165"/>
      <c r="D315" s="390" t="s">
        <v>239</v>
      </c>
      <c r="E315" s="180"/>
      <c r="F315" s="190"/>
      <c r="G315" s="397"/>
      <c r="H315" s="183"/>
      <c r="I315" s="1226"/>
      <c r="J315" s="1226">
        <v>1207</v>
      </c>
      <c r="K315" s="1226"/>
      <c r="L315" s="1221">
        <f>SUM(I315:K315)</f>
        <v>1207</v>
      </c>
      <c r="M315" s="398"/>
    </row>
    <row r="316" spans="1:13" ht="18" customHeight="1" x14ac:dyDescent="0.3">
      <c r="A316" s="177">
        <v>386</v>
      </c>
      <c r="B316" s="212"/>
      <c r="C316" s="165"/>
      <c r="D316" s="279" t="s">
        <v>702</v>
      </c>
      <c r="E316" s="180"/>
      <c r="F316" s="190"/>
      <c r="G316" s="397"/>
      <c r="H316" s="183"/>
      <c r="I316" s="180"/>
      <c r="J316" s="180">
        <v>1207</v>
      </c>
      <c r="K316" s="180"/>
      <c r="L316" s="193">
        <f>SUM(I316:K316)</f>
        <v>1207</v>
      </c>
      <c r="M316" s="398"/>
    </row>
    <row r="317" spans="1:13" ht="18" customHeight="1" x14ac:dyDescent="0.3">
      <c r="A317" s="177">
        <v>387</v>
      </c>
      <c r="B317" s="212"/>
      <c r="C317" s="165"/>
      <c r="D317" s="275" t="s">
        <v>745</v>
      </c>
      <c r="E317" s="180"/>
      <c r="F317" s="190"/>
      <c r="G317" s="397"/>
      <c r="H317" s="183"/>
      <c r="I317" s="399"/>
      <c r="J317" s="399">
        <v>1207</v>
      </c>
      <c r="K317" s="399"/>
      <c r="L317" s="297">
        <f t="shared" ref="L317" si="39">SUM(I317:K317)</f>
        <v>1207</v>
      </c>
      <c r="M317" s="398"/>
    </row>
    <row r="318" spans="1:13" ht="33" x14ac:dyDescent="0.3">
      <c r="A318" s="177">
        <v>389</v>
      </c>
      <c r="B318" s="212"/>
      <c r="C318" s="165">
        <v>164</v>
      </c>
      <c r="D318" s="402" t="s">
        <v>544</v>
      </c>
      <c r="E318" s="189">
        <f>F318+G318+L320+M319</f>
        <v>6108</v>
      </c>
      <c r="F318" s="190"/>
      <c r="G318" s="397"/>
      <c r="H318" s="183" t="s">
        <v>23</v>
      </c>
      <c r="I318" s="180"/>
      <c r="J318" s="180"/>
      <c r="K318" s="180"/>
      <c r="L318" s="213"/>
      <c r="M318" s="398"/>
    </row>
    <row r="319" spans="1:13" ht="18" customHeight="1" x14ac:dyDescent="0.3">
      <c r="A319" s="177">
        <v>390</v>
      </c>
      <c r="B319" s="212"/>
      <c r="C319" s="165"/>
      <c r="D319" s="390" t="s">
        <v>239</v>
      </c>
      <c r="E319" s="180"/>
      <c r="F319" s="190"/>
      <c r="G319" s="397"/>
      <c r="H319" s="183"/>
      <c r="I319" s="1226"/>
      <c r="J319" s="1226">
        <v>6108</v>
      </c>
      <c r="K319" s="1226"/>
      <c r="L319" s="1221">
        <f>SUM(I319:K319)</f>
        <v>6108</v>
      </c>
      <c r="M319" s="398"/>
    </row>
    <row r="320" spans="1:13" ht="18" customHeight="1" x14ac:dyDescent="0.3">
      <c r="A320" s="177">
        <v>391</v>
      </c>
      <c r="B320" s="212"/>
      <c r="C320" s="165"/>
      <c r="D320" s="279" t="s">
        <v>702</v>
      </c>
      <c r="E320" s="180"/>
      <c r="F320" s="190"/>
      <c r="G320" s="397"/>
      <c r="H320" s="183"/>
      <c r="I320" s="180"/>
      <c r="J320" s="180">
        <v>6108</v>
      </c>
      <c r="K320" s="180"/>
      <c r="L320" s="193">
        <f>SUM(I320:K320)</f>
        <v>6108</v>
      </c>
      <c r="M320" s="398"/>
    </row>
    <row r="321" spans="1:13" ht="18" customHeight="1" x14ac:dyDescent="0.3">
      <c r="A321" s="177">
        <v>392</v>
      </c>
      <c r="B321" s="212"/>
      <c r="C321" s="165"/>
      <c r="D321" s="275" t="s">
        <v>745</v>
      </c>
      <c r="E321" s="180"/>
      <c r="F321" s="190"/>
      <c r="G321" s="397"/>
      <c r="H321" s="183"/>
      <c r="I321" s="399"/>
      <c r="J321" s="399">
        <v>6108</v>
      </c>
      <c r="K321" s="399"/>
      <c r="L321" s="297">
        <f t="shared" ref="L321" si="40">SUM(I321:K321)</f>
        <v>6108</v>
      </c>
      <c r="M321" s="398"/>
    </row>
    <row r="322" spans="1:13" ht="22.35" customHeight="1" x14ac:dyDescent="0.3">
      <c r="A322" s="177">
        <v>394</v>
      </c>
      <c r="B322" s="212"/>
      <c r="C322" s="195">
        <v>166</v>
      </c>
      <c r="D322" s="402" t="s">
        <v>545</v>
      </c>
      <c r="E322" s="189">
        <f>F322+G322+L324+M323</f>
        <v>3500</v>
      </c>
      <c r="F322" s="190"/>
      <c r="G322" s="397"/>
      <c r="H322" s="183" t="s">
        <v>24</v>
      </c>
      <c r="I322" s="180"/>
      <c r="J322" s="180"/>
      <c r="K322" s="180"/>
      <c r="L322" s="213"/>
      <c r="M322" s="398"/>
    </row>
    <row r="323" spans="1:13" ht="18" customHeight="1" x14ac:dyDescent="0.3">
      <c r="A323" s="177">
        <v>395</v>
      </c>
      <c r="B323" s="212"/>
      <c r="C323" s="165"/>
      <c r="D323" s="390" t="s">
        <v>239</v>
      </c>
      <c r="E323" s="180"/>
      <c r="F323" s="190"/>
      <c r="G323" s="397"/>
      <c r="H323" s="183"/>
      <c r="I323" s="1226"/>
      <c r="J323" s="1226">
        <v>3500</v>
      </c>
      <c r="K323" s="1226"/>
      <c r="L323" s="1221">
        <f>SUM(I323:K323)</f>
        <v>3500</v>
      </c>
      <c r="M323" s="398"/>
    </row>
    <row r="324" spans="1:13" ht="18" customHeight="1" x14ac:dyDescent="0.3">
      <c r="A324" s="177">
        <v>396</v>
      </c>
      <c r="B324" s="212"/>
      <c r="C324" s="165"/>
      <c r="D324" s="279" t="s">
        <v>702</v>
      </c>
      <c r="E324" s="180"/>
      <c r="F324" s="190"/>
      <c r="G324" s="397"/>
      <c r="H324" s="183"/>
      <c r="I324" s="180"/>
      <c r="J324" s="180">
        <v>3500</v>
      </c>
      <c r="K324" s="180"/>
      <c r="L324" s="193">
        <f>SUM(I324:K324)</f>
        <v>3500</v>
      </c>
      <c r="M324" s="398"/>
    </row>
    <row r="325" spans="1:13" ht="18" customHeight="1" x14ac:dyDescent="0.3">
      <c r="A325" s="177">
        <v>397</v>
      </c>
      <c r="B325" s="212"/>
      <c r="C325" s="165"/>
      <c r="D325" s="275" t="s">
        <v>745</v>
      </c>
      <c r="E325" s="180"/>
      <c r="F325" s="190"/>
      <c r="G325" s="397"/>
      <c r="H325" s="183"/>
      <c r="I325" s="399"/>
      <c r="J325" s="399"/>
      <c r="K325" s="399"/>
      <c r="L325" s="297">
        <f t="shared" ref="L325" si="41">SUM(I325:K325)</f>
        <v>0</v>
      </c>
      <c r="M325" s="398"/>
    </row>
    <row r="326" spans="1:13" ht="22.35" customHeight="1" x14ac:dyDescent="0.3">
      <c r="A326" s="177">
        <v>399</v>
      </c>
      <c r="B326" s="212"/>
      <c r="C326" s="195">
        <v>167</v>
      </c>
      <c r="D326" s="402" t="s">
        <v>546</v>
      </c>
      <c r="E326" s="189">
        <f>F326+G326+L328+M327</f>
        <v>5200</v>
      </c>
      <c r="F326" s="190"/>
      <c r="G326" s="397"/>
      <c r="H326" s="183" t="s">
        <v>23</v>
      </c>
      <c r="I326" s="180"/>
      <c r="J326" s="180"/>
      <c r="K326" s="180"/>
      <c r="L326" s="213"/>
      <c r="M326" s="398"/>
    </row>
    <row r="327" spans="1:13" ht="18" customHeight="1" x14ac:dyDescent="0.3">
      <c r="A327" s="177">
        <v>400</v>
      </c>
      <c r="B327" s="212"/>
      <c r="C327" s="165"/>
      <c r="D327" s="390" t="s">
        <v>239</v>
      </c>
      <c r="E327" s="180"/>
      <c r="F327" s="190"/>
      <c r="G327" s="397"/>
      <c r="H327" s="183"/>
      <c r="I327" s="1226"/>
      <c r="J327" s="1226">
        <v>5200</v>
      </c>
      <c r="K327" s="1226"/>
      <c r="L327" s="1221">
        <f>SUM(I327:K327)</f>
        <v>5200</v>
      </c>
      <c r="M327" s="398"/>
    </row>
    <row r="328" spans="1:13" ht="18" customHeight="1" x14ac:dyDescent="0.3">
      <c r="A328" s="177">
        <v>401</v>
      </c>
      <c r="B328" s="212"/>
      <c r="C328" s="165"/>
      <c r="D328" s="279" t="s">
        <v>702</v>
      </c>
      <c r="E328" s="180"/>
      <c r="F328" s="190"/>
      <c r="G328" s="397"/>
      <c r="H328" s="183"/>
      <c r="I328" s="180"/>
      <c r="J328" s="180">
        <v>5200</v>
      </c>
      <c r="K328" s="180"/>
      <c r="L328" s="193">
        <f>SUM(I328:K328)</f>
        <v>5200</v>
      </c>
      <c r="M328" s="398"/>
    </row>
    <row r="329" spans="1:13" ht="18" customHeight="1" x14ac:dyDescent="0.3">
      <c r="A329" s="177">
        <v>402</v>
      </c>
      <c r="B329" s="212"/>
      <c r="C329" s="165"/>
      <c r="D329" s="275" t="s">
        <v>745</v>
      </c>
      <c r="E329" s="180"/>
      <c r="F329" s="190"/>
      <c r="G329" s="397"/>
      <c r="H329" s="183"/>
      <c r="I329" s="399"/>
      <c r="J329" s="399"/>
      <c r="K329" s="399"/>
      <c r="L329" s="297">
        <f t="shared" ref="L329" si="42">SUM(I329:K329)</f>
        <v>0</v>
      </c>
      <c r="M329" s="398"/>
    </row>
    <row r="330" spans="1:13" ht="22.35" customHeight="1" x14ac:dyDescent="0.3">
      <c r="A330" s="177">
        <v>404</v>
      </c>
      <c r="B330" s="212"/>
      <c r="C330" s="195">
        <v>168</v>
      </c>
      <c r="D330" s="401" t="s">
        <v>547</v>
      </c>
      <c r="E330" s="189">
        <f>F330+G330+L332+M331</f>
        <v>260000</v>
      </c>
      <c r="F330" s="190"/>
      <c r="G330" s="397"/>
      <c r="H330" s="183" t="s">
        <v>23</v>
      </c>
      <c r="I330" s="180"/>
      <c r="J330" s="180"/>
      <c r="K330" s="180"/>
      <c r="L330" s="213"/>
      <c r="M330" s="398"/>
    </row>
    <row r="331" spans="1:13" ht="18" customHeight="1" x14ac:dyDescent="0.3">
      <c r="A331" s="177">
        <v>405</v>
      </c>
      <c r="B331" s="212"/>
      <c r="C331" s="165"/>
      <c r="D331" s="390" t="s">
        <v>239</v>
      </c>
      <c r="E331" s="180"/>
      <c r="F331" s="190"/>
      <c r="G331" s="397"/>
      <c r="H331" s="183"/>
      <c r="I331" s="1226"/>
      <c r="J331" s="1226">
        <v>260000</v>
      </c>
      <c r="K331" s="1226"/>
      <c r="L331" s="1221">
        <f>SUM(I331:K331)</f>
        <v>260000</v>
      </c>
      <c r="M331" s="398"/>
    </row>
    <row r="332" spans="1:13" ht="18" customHeight="1" x14ac:dyDescent="0.3">
      <c r="A332" s="177">
        <v>406</v>
      </c>
      <c r="B332" s="212"/>
      <c r="C332" s="165"/>
      <c r="D332" s="279" t="s">
        <v>702</v>
      </c>
      <c r="E332" s="180"/>
      <c r="F332" s="181"/>
      <c r="G332" s="397"/>
      <c r="H332" s="183"/>
      <c r="I332" s="180"/>
      <c r="J332" s="180">
        <v>260000</v>
      </c>
      <c r="K332" s="180"/>
      <c r="L332" s="193">
        <f>SUM(I332:K332)</f>
        <v>260000</v>
      </c>
      <c r="M332" s="398"/>
    </row>
    <row r="333" spans="1:13" ht="18" customHeight="1" x14ac:dyDescent="0.3">
      <c r="A333" s="177">
        <v>407</v>
      </c>
      <c r="B333" s="212"/>
      <c r="C333" s="165"/>
      <c r="D333" s="275" t="s">
        <v>745</v>
      </c>
      <c r="E333" s="180"/>
      <c r="F333" s="181"/>
      <c r="G333" s="397"/>
      <c r="H333" s="183"/>
      <c r="I333" s="399"/>
      <c r="J333" s="399"/>
      <c r="K333" s="399"/>
      <c r="L333" s="297">
        <f t="shared" ref="L333" si="43">SUM(I333:K333)</f>
        <v>0</v>
      </c>
      <c r="M333" s="398"/>
    </row>
    <row r="334" spans="1:13" ht="33.75" customHeight="1" x14ac:dyDescent="0.3">
      <c r="A334" s="177">
        <v>409</v>
      </c>
      <c r="B334" s="212"/>
      <c r="C334" s="165">
        <v>169</v>
      </c>
      <c r="D334" s="373" t="s">
        <v>548</v>
      </c>
      <c r="E334" s="189">
        <f>F334+G334+L336+M335</f>
        <v>63500</v>
      </c>
      <c r="F334" s="181"/>
      <c r="G334" s="397"/>
      <c r="H334" s="183" t="s">
        <v>24</v>
      </c>
      <c r="I334" s="180"/>
      <c r="J334" s="180"/>
      <c r="K334" s="180"/>
      <c r="L334" s="213"/>
      <c r="M334" s="398"/>
    </row>
    <row r="335" spans="1:13" ht="18" customHeight="1" x14ac:dyDescent="0.3">
      <c r="A335" s="177">
        <v>410</v>
      </c>
      <c r="B335" s="212"/>
      <c r="C335" s="165"/>
      <c r="D335" s="390" t="s">
        <v>239</v>
      </c>
      <c r="E335" s="180"/>
      <c r="F335" s="181"/>
      <c r="G335" s="397"/>
      <c r="H335" s="183"/>
      <c r="I335" s="1226"/>
      <c r="J335" s="1226">
        <v>63500</v>
      </c>
      <c r="K335" s="1226"/>
      <c r="L335" s="1221">
        <f>SUM(I335:K335)</f>
        <v>63500</v>
      </c>
      <c r="M335" s="398"/>
    </row>
    <row r="336" spans="1:13" ht="18" customHeight="1" x14ac:dyDescent="0.3">
      <c r="A336" s="177">
        <v>411</v>
      </c>
      <c r="B336" s="212"/>
      <c r="C336" s="165"/>
      <c r="D336" s="279" t="s">
        <v>702</v>
      </c>
      <c r="E336" s="180"/>
      <c r="F336" s="181"/>
      <c r="G336" s="397"/>
      <c r="H336" s="183"/>
      <c r="I336" s="180"/>
      <c r="J336" s="180">
        <v>63500</v>
      </c>
      <c r="K336" s="180"/>
      <c r="L336" s="193">
        <f>SUM(I336:K336)</f>
        <v>63500</v>
      </c>
      <c r="M336" s="398"/>
    </row>
    <row r="337" spans="1:13" ht="18" customHeight="1" x14ac:dyDescent="0.3">
      <c r="A337" s="177">
        <v>412</v>
      </c>
      <c r="B337" s="212"/>
      <c r="C337" s="165"/>
      <c r="D337" s="275" t="s">
        <v>745</v>
      </c>
      <c r="E337" s="180"/>
      <c r="F337" s="181"/>
      <c r="G337" s="397"/>
      <c r="H337" s="183"/>
      <c r="I337" s="399"/>
      <c r="J337" s="399"/>
      <c r="K337" s="399"/>
      <c r="L337" s="297">
        <f t="shared" ref="L337" si="44">SUM(I337:K337)</f>
        <v>0</v>
      </c>
      <c r="M337" s="398"/>
    </row>
    <row r="338" spans="1:13" ht="49.5" x14ac:dyDescent="0.3">
      <c r="A338" s="177">
        <v>414</v>
      </c>
      <c r="B338" s="212"/>
      <c r="C338" s="165">
        <v>170</v>
      </c>
      <c r="D338" s="373" t="s">
        <v>603</v>
      </c>
      <c r="E338" s="189">
        <f>F338+G338+L340+M339</f>
        <v>101337</v>
      </c>
      <c r="F338" s="181"/>
      <c r="G338" s="397"/>
      <c r="H338" s="183" t="s">
        <v>24</v>
      </c>
      <c r="I338" s="180"/>
      <c r="J338" s="180"/>
      <c r="K338" s="180"/>
      <c r="L338" s="213"/>
      <c r="M338" s="398"/>
    </row>
    <row r="339" spans="1:13" ht="18" customHeight="1" x14ac:dyDescent="0.3">
      <c r="A339" s="177">
        <v>415</v>
      </c>
      <c r="B339" s="212"/>
      <c r="C339" s="165"/>
      <c r="D339" s="390" t="s">
        <v>239</v>
      </c>
      <c r="E339" s="180"/>
      <c r="F339" s="181"/>
      <c r="G339" s="397"/>
      <c r="H339" s="183"/>
      <c r="I339" s="1226"/>
      <c r="J339" s="1226">
        <f>123337-15500-6500</f>
        <v>101337</v>
      </c>
      <c r="K339" s="1226"/>
      <c r="L339" s="1221">
        <f>SUM(I339:K339)</f>
        <v>101337</v>
      </c>
      <c r="M339" s="398"/>
    </row>
    <row r="340" spans="1:13" ht="18" customHeight="1" x14ac:dyDescent="0.3">
      <c r="A340" s="177">
        <v>416</v>
      </c>
      <c r="B340" s="212"/>
      <c r="C340" s="165"/>
      <c r="D340" s="279" t="s">
        <v>702</v>
      </c>
      <c r="E340" s="180"/>
      <c r="F340" s="181"/>
      <c r="G340" s="397"/>
      <c r="H340" s="183"/>
      <c r="I340" s="180"/>
      <c r="J340" s="180">
        <v>101337</v>
      </c>
      <c r="K340" s="180"/>
      <c r="L340" s="193">
        <f>SUM(I340:K340)</f>
        <v>101337</v>
      </c>
      <c r="M340" s="398"/>
    </row>
    <row r="341" spans="1:13" ht="18" customHeight="1" x14ac:dyDescent="0.3">
      <c r="A341" s="177">
        <v>417</v>
      </c>
      <c r="B341" s="212"/>
      <c r="C341" s="165"/>
      <c r="D341" s="275" t="s">
        <v>745</v>
      </c>
      <c r="E341" s="180"/>
      <c r="F341" s="181"/>
      <c r="G341" s="397"/>
      <c r="H341" s="183"/>
      <c r="I341" s="399"/>
      <c r="J341" s="399"/>
      <c r="K341" s="399"/>
      <c r="L341" s="297">
        <f t="shared" ref="L341" si="45">SUM(I341:K341)</f>
        <v>0</v>
      </c>
      <c r="M341" s="398"/>
    </row>
    <row r="342" spans="1:13" ht="22.5" customHeight="1" x14ac:dyDescent="0.3">
      <c r="A342" s="177">
        <v>419</v>
      </c>
      <c r="B342" s="212"/>
      <c r="C342" s="165">
        <v>171</v>
      </c>
      <c r="D342" s="373" t="s">
        <v>632</v>
      </c>
      <c r="E342" s="189">
        <f>F342+G342+L344+M343</f>
        <v>0</v>
      </c>
      <c r="F342" s="181"/>
      <c r="G342" s="397"/>
      <c r="H342" s="183" t="s">
        <v>24</v>
      </c>
      <c r="I342" s="180"/>
      <c r="J342" s="180"/>
      <c r="K342" s="180"/>
      <c r="L342" s="213"/>
      <c r="M342" s="398"/>
    </row>
    <row r="343" spans="1:13" ht="18" customHeight="1" x14ac:dyDescent="0.3">
      <c r="A343" s="177">
        <v>420</v>
      </c>
      <c r="B343" s="212"/>
      <c r="C343" s="165"/>
      <c r="D343" s="390" t="s">
        <v>239</v>
      </c>
      <c r="E343" s="180"/>
      <c r="F343" s="181"/>
      <c r="G343" s="397"/>
      <c r="H343" s="183"/>
      <c r="I343" s="1226"/>
      <c r="J343" s="1226">
        <f>5000+6500</f>
        <v>11500</v>
      </c>
      <c r="K343" s="1226"/>
      <c r="L343" s="1221">
        <f>SUM(I343:K343)</f>
        <v>11500</v>
      </c>
      <c r="M343" s="398"/>
    </row>
    <row r="344" spans="1:13" ht="18" customHeight="1" x14ac:dyDescent="0.3">
      <c r="A344" s="177">
        <v>421</v>
      </c>
      <c r="B344" s="212"/>
      <c r="C344" s="165"/>
      <c r="D344" s="279" t="s">
        <v>702</v>
      </c>
      <c r="E344" s="180"/>
      <c r="F344" s="181"/>
      <c r="G344" s="397"/>
      <c r="H344" s="183"/>
      <c r="I344" s="180"/>
      <c r="J344" s="180">
        <v>0</v>
      </c>
      <c r="K344" s="180"/>
      <c r="L344" s="193">
        <f>SUM(I344:K344)</f>
        <v>0</v>
      </c>
      <c r="M344" s="398"/>
    </row>
    <row r="345" spans="1:13" ht="18" customHeight="1" x14ac:dyDescent="0.3">
      <c r="A345" s="177">
        <v>422</v>
      </c>
      <c r="B345" s="212"/>
      <c r="C345" s="165"/>
      <c r="D345" s="275" t="s">
        <v>745</v>
      </c>
      <c r="E345" s="180"/>
      <c r="F345" s="181"/>
      <c r="G345" s="397"/>
      <c r="H345" s="183"/>
      <c r="I345" s="399"/>
      <c r="J345" s="399">
        <v>0</v>
      </c>
      <c r="K345" s="399"/>
      <c r="L345" s="297">
        <f t="shared" ref="L345" si="46">SUM(I345:K345)</f>
        <v>0</v>
      </c>
      <c r="M345" s="398"/>
    </row>
    <row r="346" spans="1:13" ht="22.35" customHeight="1" x14ac:dyDescent="0.3">
      <c r="A346" s="177">
        <v>424</v>
      </c>
      <c r="B346" s="212"/>
      <c r="C346" s="195">
        <v>172</v>
      </c>
      <c r="D346" s="401" t="s">
        <v>549</v>
      </c>
      <c r="E346" s="189">
        <f>F346+G346+L348+M347</f>
        <v>15000</v>
      </c>
      <c r="F346" s="181"/>
      <c r="G346" s="397"/>
      <c r="H346" s="183" t="s">
        <v>23</v>
      </c>
      <c r="I346" s="180"/>
      <c r="J346" s="180"/>
      <c r="K346" s="180"/>
      <c r="L346" s="213"/>
      <c r="M346" s="398"/>
    </row>
    <row r="347" spans="1:13" ht="18" customHeight="1" x14ac:dyDescent="0.3">
      <c r="A347" s="177">
        <v>425</v>
      </c>
      <c r="B347" s="212"/>
      <c r="C347" s="165"/>
      <c r="D347" s="390" t="s">
        <v>239</v>
      </c>
      <c r="E347" s="180"/>
      <c r="F347" s="181"/>
      <c r="G347" s="397"/>
      <c r="H347" s="183"/>
      <c r="I347" s="1226"/>
      <c r="J347" s="1226">
        <v>15000</v>
      </c>
      <c r="K347" s="1226"/>
      <c r="L347" s="1221">
        <f>SUM(I347:K347)</f>
        <v>15000</v>
      </c>
      <c r="M347" s="398"/>
    </row>
    <row r="348" spans="1:13" ht="18" customHeight="1" x14ac:dyDescent="0.3">
      <c r="A348" s="177">
        <v>426</v>
      </c>
      <c r="B348" s="212"/>
      <c r="C348" s="165"/>
      <c r="D348" s="279" t="s">
        <v>702</v>
      </c>
      <c r="E348" s="180"/>
      <c r="F348" s="181"/>
      <c r="G348" s="397"/>
      <c r="H348" s="183"/>
      <c r="I348" s="180"/>
      <c r="J348" s="180">
        <v>15000</v>
      </c>
      <c r="K348" s="180"/>
      <c r="L348" s="193">
        <f>SUM(I348:K348)</f>
        <v>15000</v>
      </c>
      <c r="M348" s="398"/>
    </row>
    <row r="349" spans="1:13" ht="18" customHeight="1" x14ac:dyDescent="0.3">
      <c r="A349" s="177">
        <v>427</v>
      </c>
      <c r="B349" s="212"/>
      <c r="C349" s="165"/>
      <c r="D349" s="275" t="s">
        <v>745</v>
      </c>
      <c r="E349" s="180"/>
      <c r="F349" s="181"/>
      <c r="G349" s="397"/>
      <c r="H349" s="183"/>
      <c r="I349" s="399"/>
      <c r="J349" s="399"/>
      <c r="K349" s="399"/>
      <c r="L349" s="297">
        <f t="shared" ref="L349" si="47">SUM(I349:K349)</f>
        <v>0</v>
      </c>
      <c r="M349" s="398"/>
    </row>
    <row r="350" spans="1:13" ht="32.25" customHeight="1" x14ac:dyDescent="0.3">
      <c r="A350" s="177">
        <v>429</v>
      </c>
      <c r="B350" s="212"/>
      <c r="C350" s="165">
        <v>174</v>
      </c>
      <c r="D350" s="369" t="s">
        <v>633</v>
      </c>
      <c r="E350" s="189">
        <f>F350+G350+L352+M351</f>
        <v>15500</v>
      </c>
      <c r="F350" s="181"/>
      <c r="G350" s="397"/>
      <c r="H350" s="183" t="s">
        <v>24</v>
      </c>
      <c r="I350" s="180"/>
      <c r="J350" s="180"/>
      <c r="K350" s="180"/>
      <c r="L350" s="213"/>
      <c r="M350" s="398"/>
    </row>
    <row r="351" spans="1:13" ht="18" customHeight="1" x14ac:dyDescent="0.3">
      <c r="A351" s="177">
        <v>430</v>
      </c>
      <c r="B351" s="212"/>
      <c r="C351" s="165"/>
      <c r="D351" s="390" t="s">
        <v>239</v>
      </c>
      <c r="E351" s="189"/>
      <c r="F351" s="181"/>
      <c r="G351" s="397"/>
      <c r="H351" s="183"/>
      <c r="I351" s="1226"/>
      <c r="J351" s="1226">
        <v>15500</v>
      </c>
      <c r="K351" s="1226"/>
      <c r="L351" s="1221">
        <f>SUM(I351:K351)</f>
        <v>15500</v>
      </c>
      <c r="M351" s="398"/>
    </row>
    <row r="352" spans="1:13" ht="18" customHeight="1" x14ac:dyDescent="0.3">
      <c r="A352" s="177">
        <v>431</v>
      </c>
      <c r="B352" s="212"/>
      <c r="C352" s="355"/>
      <c r="D352" s="279" t="s">
        <v>702</v>
      </c>
      <c r="E352" s="189"/>
      <c r="F352" s="181"/>
      <c r="G352" s="397"/>
      <c r="H352" s="183"/>
      <c r="I352" s="180"/>
      <c r="J352" s="180">
        <v>15500</v>
      </c>
      <c r="K352" s="180"/>
      <c r="L352" s="193">
        <f>SUM(I352:K352)</f>
        <v>15500</v>
      </c>
      <c r="M352" s="398"/>
    </row>
    <row r="353" spans="1:13" ht="18" customHeight="1" x14ac:dyDescent="0.3">
      <c r="A353" s="177">
        <v>432</v>
      </c>
      <c r="B353" s="212"/>
      <c r="C353" s="355"/>
      <c r="D353" s="275" t="s">
        <v>745</v>
      </c>
      <c r="E353" s="189"/>
      <c r="F353" s="190"/>
      <c r="G353" s="397"/>
      <c r="H353" s="183"/>
      <c r="I353" s="399"/>
      <c r="J353" s="399">
        <v>15097</v>
      </c>
      <c r="K353" s="399"/>
      <c r="L353" s="297">
        <f t="shared" ref="L353:L379" si="48">SUM(I353:K353)</f>
        <v>15097</v>
      </c>
      <c r="M353" s="398"/>
    </row>
    <row r="354" spans="1:13" ht="22.35" customHeight="1" x14ac:dyDescent="0.3">
      <c r="A354" s="177">
        <v>434</v>
      </c>
      <c r="B354" s="212"/>
      <c r="C354" s="355">
        <v>175</v>
      </c>
      <c r="D354" s="369" t="s">
        <v>661</v>
      </c>
      <c r="E354" s="189">
        <f>F354+G354+L355</f>
        <v>1000</v>
      </c>
      <c r="F354" s="190"/>
      <c r="G354" s="397"/>
      <c r="H354" s="183" t="s">
        <v>24</v>
      </c>
      <c r="I354" s="180"/>
      <c r="J354" s="180"/>
      <c r="K354" s="180"/>
      <c r="L354" s="213"/>
      <c r="M354" s="398"/>
    </row>
    <row r="355" spans="1:13" ht="18" customHeight="1" x14ac:dyDescent="0.3">
      <c r="A355" s="177">
        <v>435</v>
      </c>
      <c r="B355" s="212"/>
      <c r="C355" s="355"/>
      <c r="D355" s="279" t="s">
        <v>702</v>
      </c>
      <c r="E355" s="189"/>
      <c r="F355" s="190"/>
      <c r="G355" s="397"/>
      <c r="H355" s="183"/>
      <c r="I355" s="180"/>
      <c r="J355" s="180">
        <v>1000</v>
      </c>
      <c r="K355" s="180"/>
      <c r="L355" s="193">
        <f t="shared" si="48"/>
        <v>1000</v>
      </c>
      <c r="M355" s="398"/>
    </row>
    <row r="356" spans="1:13" ht="18" customHeight="1" x14ac:dyDescent="0.3">
      <c r="A356" s="177">
        <v>436</v>
      </c>
      <c r="B356" s="212"/>
      <c r="C356" s="355"/>
      <c r="D356" s="275" t="s">
        <v>745</v>
      </c>
      <c r="E356" s="189"/>
      <c r="F356" s="190"/>
      <c r="G356" s="397"/>
      <c r="H356" s="183"/>
      <c r="I356" s="180"/>
      <c r="J356" s="399">
        <v>157</v>
      </c>
      <c r="K356" s="180"/>
      <c r="L356" s="297">
        <f t="shared" si="48"/>
        <v>157</v>
      </c>
      <c r="M356" s="398"/>
    </row>
    <row r="357" spans="1:13" ht="22.5" customHeight="1" x14ac:dyDescent="0.3">
      <c r="A357" s="177">
        <v>438</v>
      </c>
      <c r="B357" s="212"/>
      <c r="C357" s="355">
        <v>176</v>
      </c>
      <c r="D357" s="369" t="s">
        <v>280</v>
      </c>
      <c r="E357" s="364">
        <f>F357+G357+L358</f>
        <v>5500</v>
      </c>
      <c r="F357" s="357"/>
      <c r="G357" s="397"/>
      <c r="H357" s="183" t="s">
        <v>24</v>
      </c>
      <c r="I357" s="180"/>
      <c r="J357" s="180"/>
      <c r="K357" s="180"/>
      <c r="L357" s="213"/>
      <c r="M357" s="398"/>
    </row>
    <row r="358" spans="1:13" ht="18" customHeight="1" x14ac:dyDescent="0.3">
      <c r="A358" s="177">
        <v>439</v>
      </c>
      <c r="B358" s="212"/>
      <c r="C358" s="355"/>
      <c r="D358" s="279" t="s">
        <v>702</v>
      </c>
      <c r="E358" s="364"/>
      <c r="F358" s="357"/>
      <c r="G358" s="397"/>
      <c r="H358" s="183"/>
      <c r="I358" s="180"/>
      <c r="J358" s="180"/>
      <c r="K358" s="180">
        <v>5500</v>
      </c>
      <c r="L358" s="193">
        <f t="shared" si="48"/>
        <v>5500</v>
      </c>
      <c r="M358" s="398"/>
    </row>
    <row r="359" spans="1:13" ht="18" customHeight="1" x14ac:dyDescent="0.3">
      <c r="A359" s="177">
        <v>440</v>
      </c>
      <c r="B359" s="212"/>
      <c r="C359" s="355"/>
      <c r="D359" s="275" t="s">
        <v>745</v>
      </c>
      <c r="E359" s="364"/>
      <c r="F359" s="357"/>
      <c r="G359" s="397"/>
      <c r="H359" s="183"/>
      <c r="I359" s="180"/>
      <c r="J359" s="180"/>
      <c r="K359" s="399"/>
      <c r="L359" s="297">
        <f t="shared" si="48"/>
        <v>0</v>
      </c>
      <c r="M359" s="398"/>
    </row>
    <row r="360" spans="1:13" ht="37.5" customHeight="1" x14ac:dyDescent="0.3">
      <c r="A360" s="177">
        <v>442</v>
      </c>
      <c r="B360" s="212"/>
      <c r="C360" s="355">
        <v>177</v>
      </c>
      <c r="D360" s="369" t="s">
        <v>690</v>
      </c>
      <c r="E360" s="364">
        <f>F360+G360+L361</f>
        <v>6174</v>
      </c>
      <c r="F360" s="357"/>
      <c r="G360" s="397"/>
      <c r="H360" s="183" t="s">
        <v>23</v>
      </c>
      <c r="I360" s="180"/>
      <c r="J360" s="180"/>
      <c r="K360" s="180"/>
      <c r="L360" s="213"/>
      <c r="M360" s="398"/>
    </row>
    <row r="361" spans="1:13" ht="18" customHeight="1" x14ac:dyDescent="0.3">
      <c r="A361" s="177">
        <v>443</v>
      </c>
      <c r="B361" s="212"/>
      <c r="C361" s="355"/>
      <c r="D361" s="279" t="s">
        <v>702</v>
      </c>
      <c r="E361" s="364"/>
      <c r="F361" s="357"/>
      <c r="G361" s="397"/>
      <c r="H361" s="183"/>
      <c r="I361" s="180"/>
      <c r="J361" s="180">
        <v>6174</v>
      </c>
      <c r="K361" s="180"/>
      <c r="L361" s="297">
        <f t="shared" si="48"/>
        <v>6174</v>
      </c>
      <c r="M361" s="398"/>
    </row>
    <row r="362" spans="1:13" ht="18" customHeight="1" x14ac:dyDescent="0.3">
      <c r="A362" s="177">
        <v>444</v>
      </c>
      <c r="B362" s="212"/>
      <c r="C362" s="355"/>
      <c r="D362" s="275" t="s">
        <v>745</v>
      </c>
      <c r="E362" s="364"/>
      <c r="F362" s="357"/>
      <c r="G362" s="397"/>
      <c r="H362" s="183"/>
      <c r="I362" s="180"/>
      <c r="J362" s="399"/>
      <c r="K362" s="399"/>
      <c r="L362" s="297">
        <f t="shared" si="48"/>
        <v>0</v>
      </c>
      <c r="M362" s="398"/>
    </row>
    <row r="363" spans="1:13" ht="22.5" customHeight="1" x14ac:dyDescent="0.3">
      <c r="A363" s="177">
        <v>446</v>
      </c>
      <c r="B363" s="212"/>
      <c r="C363" s="355">
        <v>178</v>
      </c>
      <c r="D363" s="369" t="s">
        <v>680</v>
      </c>
      <c r="E363" s="364">
        <f>F363+G363+L364</f>
        <v>8700</v>
      </c>
      <c r="F363" s="357"/>
      <c r="G363" s="397"/>
      <c r="H363" s="183" t="s">
        <v>24</v>
      </c>
      <c r="I363" s="180"/>
      <c r="J363" s="180"/>
      <c r="K363" s="180"/>
      <c r="L363" s="213"/>
      <c r="M363" s="398"/>
    </row>
    <row r="364" spans="1:13" ht="18" customHeight="1" x14ac:dyDescent="0.3">
      <c r="A364" s="177">
        <v>447</v>
      </c>
      <c r="B364" s="212"/>
      <c r="C364" s="355"/>
      <c r="D364" s="279" t="s">
        <v>702</v>
      </c>
      <c r="E364" s="364"/>
      <c r="F364" s="357"/>
      <c r="G364" s="397"/>
      <c r="H364" s="183"/>
      <c r="I364" s="180"/>
      <c r="J364" s="180">
        <v>8700</v>
      </c>
      <c r="K364" s="180"/>
      <c r="L364" s="297">
        <f t="shared" si="48"/>
        <v>8700</v>
      </c>
      <c r="M364" s="398"/>
    </row>
    <row r="365" spans="1:13" ht="18" customHeight="1" x14ac:dyDescent="0.3">
      <c r="A365" s="177">
        <v>448</v>
      </c>
      <c r="B365" s="212"/>
      <c r="C365" s="355"/>
      <c r="D365" s="275" t="s">
        <v>745</v>
      </c>
      <c r="E365" s="364"/>
      <c r="F365" s="357"/>
      <c r="G365" s="397"/>
      <c r="H365" s="183"/>
      <c r="I365" s="180"/>
      <c r="J365" s="399"/>
      <c r="K365" s="180"/>
      <c r="L365" s="297">
        <f t="shared" si="48"/>
        <v>0</v>
      </c>
      <c r="M365" s="398"/>
    </row>
    <row r="366" spans="1:13" ht="32.25" customHeight="1" x14ac:dyDescent="0.3">
      <c r="A366" s="177">
        <v>450</v>
      </c>
      <c r="B366" s="212"/>
      <c r="C366" s="355">
        <v>179</v>
      </c>
      <c r="D366" s="369" t="s">
        <v>682</v>
      </c>
      <c r="E366" s="364">
        <f>F366+G366+L367</f>
        <v>1500</v>
      </c>
      <c r="F366" s="357"/>
      <c r="G366" s="397"/>
      <c r="H366" s="183" t="s">
        <v>24</v>
      </c>
      <c r="I366" s="180"/>
      <c r="J366" s="180"/>
      <c r="K366" s="180"/>
      <c r="L366" s="213"/>
      <c r="M366" s="398"/>
    </row>
    <row r="367" spans="1:13" ht="18" customHeight="1" x14ac:dyDescent="0.3">
      <c r="A367" s="177">
        <v>451</v>
      </c>
      <c r="B367" s="212"/>
      <c r="C367" s="355"/>
      <c r="D367" s="279" t="s">
        <v>702</v>
      </c>
      <c r="E367" s="364"/>
      <c r="F367" s="357"/>
      <c r="G367" s="397"/>
      <c r="H367" s="183"/>
      <c r="I367" s="180"/>
      <c r="J367" s="180"/>
      <c r="K367" s="180">
        <v>1500</v>
      </c>
      <c r="L367" s="193">
        <f t="shared" si="48"/>
        <v>1500</v>
      </c>
      <c r="M367" s="398"/>
    </row>
    <row r="368" spans="1:13" ht="18" customHeight="1" x14ac:dyDescent="0.3">
      <c r="A368" s="177">
        <v>452</v>
      </c>
      <c r="B368" s="212"/>
      <c r="C368" s="355"/>
      <c r="D368" s="275" t="s">
        <v>745</v>
      </c>
      <c r="E368" s="364"/>
      <c r="F368" s="357"/>
      <c r="G368" s="397"/>
      <c r="H368" s="183"/>
      <c r="I368" s="180"/>
      <c r="J368" s="399"/>
      <c r="K368" s="399"/>
      <c r="L368" s="297">
        <f t="shared" si="48"/>
        <v>0</v>
      </c>
      <c r="M368" s="398"/>
    </row>
    <row r="369" spans="1:13" ht="54" customHeight="1" x14ac:dyDescent="0.3">
      <c r="A369" s="177">
        <v>454</v>
      </c>
      <c r="B369" s="212"/>
      <c r="C369" s="355">
        <v>180</v>
      </c>
      <c r="D369" s="395" t="s">
        <v>815</v>
      </c>
      <c r="E369" s="364">
        <f>F369+G369+L370+M371</f>
        <v>36760</v>
      </c>
      <c r="F369" s="357"/>
      <c r="G369" s="397"/>
      <c r="H369" s="183" t="s">
        <v>23</v>
      </c>
      <c r="I369" s="180"/>
      <c r="J369" s="180"/>
      <c r="K369" s="180"/>
      <c r="L369" s="213"/>
      <c r="M369" s="398"/>
    </row>
    <row r="370" spans="1:13" ht="18" customHeight="1" x14ac:dyDescent="0.3">
      <c r="A370" s="177">
        <v>455</v>
      </c>
      <c r="B370" s="212"/>
      <c r="C370" s="355"/>
      <c r="D370" s="279" t="s">
        <v>702</v>
      </c>
      <c r="E370" s="364"/>
      <c r="F370" s="357"/>
      <c r="G370" s="397"/>
      <c r="H370" s="183"/>
      <c r="I370" s="180"/>
      <c r="J370" s="180"/>
      <c r="K370" s="180">
        <v>36760</v>
      </c>
      <c r="L370" s="297">
        <f t="shared" si="48"/>
        <v>36760</v>
      </c>
      <c r="M370" s="398"/>
    </row>
    <row r="371" spans="1:13" ht="18" customHeight="1" x14ac:dyDescent="0.3">
      <c r="A371" s="177">
        <v>456</v>
      </c>
      <c r="B371" s="212"/>
      <c r="C371" s="355"/>
      <c r="D371" s="275" t="s">
        <v>745</v>
      </c>
      <c r="E371" s="189"/>
      <c r="F371" s="357"/>
      <c r="G371" s="397"/>
      <c r="H371" s="183"/>
      <c r="I371" s="180"/>
      <c r="J371" s="180"/>
      <c r="K371" s="180">
        <v>36760</v>
      </c>
      <c r="L371" s="297">
        <f t="shared" si="48"/>
        <v>36760</v>
      </c>
      <c r="M371" s="398"/>
    </row>
    <row r="372" spans="1:13" ht="22.5" customHeight="1" x14ac:dyDescent="0.3">
      <c r="A372" s="177">
        <v>458</v>
      </c>
      <c r="B372" s="212"/>
      <c r="C372" s="355">
        <v>181</v>
      </c>
      <c r="D372" s="395" t="s">
        <v>705</v>
      </c>
      <c r="E372" s="189">
        <f>F372+G372+L373</f>
        <v>22597</v>
      </c>
      <c r="F372" s="190"/>
      <c r="G372" s="397"/>
      <c r="H372" s="183" t="s">
        <v>23</v>
      </c>
      <c r="I372" s="180"/>
      <c r="J372" s="180"/>
      <c r="K372" s="180"/>
      <c r="L372" s="213"/>
      <c r="M372" s="398"/>
    </row>
    <row r="373" spans="1:13" ht="18" customHeight="1" x14ac:dyDescent="0.3">
      <c r="A373" s="177">
        <v>459</v>
      </c>
      <c r="B373" s="212"/>
      <c r="C373" s="355"/>
      <c r="D373" s="279" t="s">
        <v>702</v>
      </c>
      <c r="E373" s="189"/>
      <c r="F373" s="190"/>
      <c r="G373" s="397"/>
      <c r="H373" s="183"/>
      <c r="I373" s="180"/>
      <c r="J373" s="180">
        <v>22597</v>
      </c>
      <c r="K373" s="180"/>
      <c r="L373" s="297">
        <f t="shared" si="48"/>
        <v>22597</v>
      </c>
      <c r="M373" s="398"/>
    </row>
    <row r="374" spans="1:13" ht="18" customHeight="1" x14ac:dyDescent="0.3">
      <c r="A374" s="177">
        <v>460</v>
      </c>
      <c r="B374" s="212"/>
      <c r="C374" s="355"/>
      <c r="D374" s="275" t="s">
        <v>746</v>
      </c>
      <c r="E374" s="189"/>
      <c r="F374" s="190"/>
      <c r="G374" s="397"/>
      <c r="H374" s="183"/>
      <c r="I374" s="180"/>
      <c r="J374" s="399"/>
      <c r="K374" s="180"/>
      <c r="L374" s="297">
        <f t="shared" si="48"/>
        <v>0</v>
      </c>
      <c r="M374" s="398"/>
    </row>
    <row r="375" spans="1:13" ht="22.5" customHeight="1" x14ac:dyDescent="0.3">
      <c r="A375" s="177">
        <v>462</v>
      </c>
      <c r="B375" s="212"/>
      <c r="C375" s="355">
        <v>182</v>
      </c>
      <c r="D375" s="395" t="s">
        <v>709</v>
      </c>
      <c r="E375" s="189">
        <f>F375+G375+L376</f>
        <v>1000</v>
      </c>
      <c r="F375" s="190"/>
      <c r="G375" s="397"/>
      <c r="H375" s="183" t="s">
        <v>24</v>
      </c>
      <c r="I375" s="180"/>
      <c r="J375" s="180"/>
      <c r="K375" s="180"/>
      <c r="L375" s="213"/>
      <c r="M375" s="398"/>
    </row>
    <row r="376" spans="1:13" ht="18" customHeight="1" x14ac:dyDescent="0.3">
      <c r="A376" s="177">
        <v>463</v>
      </c>
      <c r="B376" s="212"/>
      <c r="C376" s="355"/>
      <c r="D376" s="279" t="s">
        <v>702</v>
      </c>
      <c r="E376" s="189"/>
      <c r="F376" s="190"/>
      <c r="G376" s="397"/>
      <c r="H376" s="183"/>
      <c r="I376" s="180"/>
      <c r="J376" s="180">
        <v>1000</v>
      </c>
      <c r="K376" s="180"/>
      <c r="L376" s="297">
        <f t="shared" si="48"/>
        <v>1000</v>
      </c>
      <c r="M376" s="398"/>
    </row>
    <row r="377" spans="1:13" ht="18" customHeight="1" x14ac:dyDescent="0.3">
      <c r="A377" s="177">
        <v>464</v>
      </c>
      <c r="B377" s="212"/>
      <c r="C377" s="355"/>
      <c r="D377" s="275" t="s">
        <v>745</v>
      </c>
      <c r="E377" s="189"/>
      <c r="F377" s="190"/>
      <c r="G377" s="397"/>
      <c r="H377" s="183"/>
      <c r="I377" s="180"/>
      <c r="J377" s="399"/>
      <c r="K377" s="180"/>
      <c r="L377" s="297">
        <f t="shared" si="48"/>
        <v>0</v>
      </c>
      <c r="M377" s="398"/>
    </row>
    <row r="378" spans="1:13" ht="22.5" customHeight="1" x14ac:dyDescent="0.3">
      <c r="A378" s="177">
        <v>466</v>
      </c>
      <c r="B378" s="212"/>
      <c r="C378" s="355">
        <v>183</v>
      </c>
      <c r="D378" s="395" t="s">
        <v>716</v>
      </c>
      <c r="E378" s="364">
        <f>F378+G378+L379</f>
        <v>5200</v>
      </c>
      <c r="F378" s="357"/>
      <c r="G378" s="397"/>
      <c r="H378" s="183" t="s">
        <v>24</v>
      </c>
      <c r="I378" s="180"/>
      <c r="J378" s="180"/>
      <c r="K378" s="180"/>
      <c r="L378" s="213"/>
      <c r="M378" s="398"/>
    </row>
    <row r="379" spans="1:13" ht="18" customHeight="1" x14ac:dyDescent="0.3">
      <c r="A379" s="177">
        <v>467</v>
      </c>
      <c r="B379" s="212"/>
      <c r="C379" s="355"/>
      <c r="D379" s="119" t="s">
        <v>702</v>
      </c>
      <c r="E379" s="364"/>
      <c r="F379" s="357"/>
      <c r="G379" s="397"/>
      <c r="H379" s="183"/>
      <c r="I379" s="180"/>
      <c r="J379" s="180">
        <v>5200</v>
      </c>
      <c r="K379" s="180"/>
      <c r="L379" s="297">
        <f t="shared" si="48"/>
        <v>5200</v>
      </c>
      <c r="M379" s="398"/>
    </row>
    <row r="380" spans="1:13" ht="18" customHeight="1" x14ac:dyDescent="0.3">
      <c r="A380" s="177">
        <v>468</v>
      </c>
      <c r="B380" s="212"/>
      <c r="C380" s="355"/>
      <c r="D380" s="275" t="s">
        <v>745</v>
      </c>
      <c r="E380" s="364"/>
      <c r="F380" s="357"/>
      <c r="G380" s="397"/>
      <c r="H380" s="183"/>
      <c r="I380" s="180"/>
      <c r="J380" s="399"/>
      <c r="K380" s="180"/>
      <c r="L380" s="297">
        <f t="shared" ref="L380" si="49">SUM(I380:K380)</f>
        <v>0</v>
      </c>
      <c r="M380" s="398"/>
    </row>
    <row r="381" spans="1:13" ht="22.5" customHeight="1" x14ac:dyDescent="0.3">
      <c r="A381" s="177">
        <v>470</v>
      </c>
      <c r="B381" s="212"/>
      <c r="C381" s="355">
        <v>184</v>
      </c>
      <c r="D381" s="395" t="s">
        <v>717</v>
      </c>
      <c r="E381" s="364">
        <f>F381+G381+L382</f>
        <v>4000</v>
      </c>
      <c r="F381" s="357"/>
      <c r="G381" s="397"/>
      <c r="H381" s="183" t="s">
        <v>24</v>
      </c>
      <c r="I381" s="180"/>
      <c r="J381" s="180"/>
      <c r="K381" s="180"/>
      <c r="L381" s="213"/>
      <c r="M381" s="398"/>
    </row>
    <row r="382" spans="1:13" ht="18" customHeight="1" x14ac:dyDescent="0.3">
      <c r="A382" s="177">
        <v>471</v>
      </c>
      <c r="B382" s="212"/>
      <c r="C382" s="355"/>
      <c r="D382" s="119" t="s">
        <v>702</v>
      </c>
      <c r="E382" s="364"/>
      <c r="F382" s="357"/>
      <c r="G382" s="397"/>
      <c r="H382" s="183"/>
      <c r="I382" s="180"/>
      <c r="J382" s="180">
        <v>4000</v>
      </c>
      <c r="K382" s="180"/>
      <c r="L382" s="297">
        <f t="shared" ref="L382" si="50">SUM(I382:K382)</f>
        <v>4000</v>
      </c>
      <c r="M382" s="398"/>
    </row>
    <row r="383" spans="1:13" ht="18" customHeight="1" x14ac:dyDescent="0.3">
      <c r="A383" s="177">
        <v>472</v>
      </c>
      <c r="B383" s="212"/>
      <c r="C383" s="355"/>
      <c r="D383" s="275" t="s">
        <v>745</v>
      </c>
      <c r="E383" s="364"/>
      <c r="F383" s="357"/>
      <c r="G383" s="397"/>
      <c r="H383" s="183"/>
      <c r="I383" s="180"/>
      <c r="J383" s="399"/>
      <c r="K383" s="180"/>
      <c r="L383" s="297">
        <f t="shared" ref="L383:L386" si="51">SUM(I383:K383)</f>
        <v>0</v>
      </c>
      <c r="M383" s="398"/>
    </row>
    <row r="384" spans="1:13" ht="22.5" customHeight="1" x14ac:dyDescent="0.3">
      <c r="A384" s="177">
        <v>474</v>
      </c>
      <c r="B384" s="212"/>
      <c r="C384" s="355">
        <v>185</v>
      </c>
      <c r="D384" s="395" t="s">
        <v>741</v>
      </c>
      <c r="E384" s="364">
        <f>F384+G384+L385</f>
        <v>445</v>
      </c>
      <c r="F384" s="357"/>
      <c r="G384" s="397"/>
      <c r="H384" s="183" t="s">
        <v>23</v>
      </c>
      <c r="I384" s="180"/>
      <c r="J384" s="180"/>
      <c r="K384" s="180"/>
      <c r="L384" s="213"/>
      <c r="M384" s="398"/>
    </row>
    <row r="385" spans="1:13" ht="18" customHeight="1" x14ac:dyDescent="0.3">
      <c r="A385" s="177">
        <v>475</v>
      </c>
      <c r="B385" s="212"/>
      <c r="C385" s="355"/>
      <c r="D385" s="119" t="s">
        <v>702</v>
      </c>
      <c r="E385" s="364"/>
      <c r="F385" s="357"/>
      <c r="G385" s="397"/>
      <c r="H385" s="183"/>
      <c r="I385" s="180"/>
      <c r="J385" s="180">
        <v>445</v>
      </c>
      <c r="K385" s="180"/>
      <c r="L385" s="297">
        <f t="shared" ref="L385" si="52">SUM(I385:K385)</f>
        <v>445</v>
      </c>
      <c r="M385" s="398"/>
    </row>
    <row r="386" spans="1:13" ht="18" customHeight="1" x14ac:dyDescent="0.3">
      <c r="A386" s="177">
        <v>476</v>
      </c>
      <c r="B386" s="212"/>
      <c r="C386" s="355"/>
      <c r="D386" s="275" t="s">
        <v>745</v>
      </c>
      <c r="E386" s="364"/>
      <c r="F386" s="357"/>
      <c r="G386" s="397"/>
      <c r="H386" s="183"/>
      <c r="I386" s="180"/>
      <c r="J386" s="399"/>
      <c r="K386" s="180"/>
      <c r="L386" s="297">
        <f t="shared" si="51"/>
        <v>0</v>
      </c>
      <c r="M386" s="398"/>
    </row>
    <row r="387" spans="1:13" ht="22.5" customHeight="1" x14ac:dyDescent="0.35">
      <c r="A387" s="177">
        <v>478</v>
      </c>
      <c r="B387" s="212"/>
      <c r="C387" s="355"/>
      <c r="D387" s="403" t="s">
        <v>241</v>
      </c>
      <c r="E387" s="364"/>
      <c r="F387" s="357"/>
      <c r="G387" s="397"/>
      <c r="H387" s="183" t="s">
        <v>23</v>
      </c>
      <c r="I387" s="180"/>
      <c r="J387" s="180"/>
      <c r="K387" s="180"/>
      <c r="L387" s="213"/>
      <c r="M387" s="398"/>
    </row>
    <row r="388" spans="1:13" ht="18" customHeight="1" x14ac:dyDescent="0.3">
      <c r="A388" s="177">
        <v>479</v>
      </c>
      <c r="B388" s="212"/>
      <c r="C388" s="355">
        <v>186</v>
      </c>
      <c r="D388" s="395" t="s">
        <v>735</v>
      </c>
      <c r="E388" s="364">
        <f>F388+G388+L389</f>
        <v>3000</v>
      </c>
      <c r="F388" s="357"/>
      <c r="G388" s="397"/>
      <c r="H388" s="183"/>
      <c r="I388" s="180"/>
      <c r="J388" s="180"/>
      <c r="K388" s="180"/>
      <c r="L388" s="213"/>
      <c r="M388" s="398"/>
    </row>
    <row r="389" spans="1:13" ht="18" customHeight="1" x14ac:dyDescent="0.3">
      <c r="A389" s="177">
        <v>480</v>
      </c>
      <c r="B389" s="212"/>
      <c r="C389" s="355"/>
      <c r="D389" s="119" t="s">
        <v>702</v>
      </c>
      <c r="E389" s="364"/>
      <c r="F389" s="357"/>
      <c r="G389" s="397"/>
      <c r="H389" s="183"/>
      <c r="I389" s="180"/>
      <c r="J389" s="180">
        <v>3000</v>
      </c>
      <c r="K389" s="180"/>
      <c r="L389" s="297">
        <f t="shared" ref="L389" si="53">SUM(I389:K389)</f>
        <v>3000</v>
      </c>
      <c r="M389" s="398"/>
    </row>
    <row r="390" spans="1:13" ht="18" customHeight="1" x14ac:dyDescent="0.3">
      <c r="A390" s="177">
        <v>481</v>
      </c>
      <c r="B390" s="212"/>
      <c r="C390" s="355"/>
      <c r="D390" s="275" t="s">
        <v>745</v>
      </c>
      <c r="E390" s="364"/>
      <c r="F390" s="357"/>
      <c r="G390" s="397"/>
      <c r="H390" s="183"/>
      <c r="I390" s="180"/>
      <c r="J390" s="399">
        <v>0</v>
      </c>
      <c r="K390" s="180"/>
      <c r="L390" s="297">
        <f t="shared" ref="L390" si="54">SUM(I390:K390)</f>
        <v>0</v>
      </c>
      <c r="M390" s="398"/>
    </row>
    <row r="391" spans="1:13" ht="22.5" customHeight="1" x14ac:dyDescent="0.35">
      <c r="A391" s="177">
        <v>483</v>
      </c>
      <c r="B391" s="212"/>
      <c r="C391" s="355"/>
      <c r="D391" s="404" t="s">
        <v>246</v>
      </c>
      <c r="E391" s="364"/>
      <c r="F391" s="357"/>
      <c r="G391" s="397"/>
      <c r="H391" s="183" t="s">
        <v>23</v>
      </c>
      <c r="I391" s="180"/>
      <c r="J391" s="180"/>
      <c r="K391" s="180"/>
      <c r="L391" s="213"/>
      <c r="M391" s="398"/>
    </row>
    <row r="392" spans="1:13" ht="18" customHeight="1" x14ac:dyDescent="0.3">
      <c r="A392" s="177">
        <v>484</v>
      </c>
      <c r="B392" s="212"/>
      <c r="C392" s="355">
        <v>187</v>
      </c>
      <c r="D392" s="395" t="s">
        <v>736</v>
      </c>
      <c r="E392" s="364">
        <f>F392+G392+L393</f>
        <v>5700</v>
      </c>
      <c r="F392" s="357"/>
      <c r="G392" s="397"/>
      <c r="H392" s="183"/>
      <c r="I392" s="180"/>
      <c r="J392" s="180"/>
      <c r="K392" s="180"/>
      <c r="L392" s="213"/>
      <c r="M392" s="398"/>
    </row>
    <row r="393" spans="1:13" ht="18" customHeight="1" x14ac:dyDescent="0.3">
      <c r="A393" s="177">
        <v>485</v>
      </c>
      <c r="B393" s="212"/>
      <c r="C393" s="355"/>
      <c r="D393" s="119" t="s">
        <v>702</v>
      </c>
      <c r="E393" s="364"/>
      <c r="F393" s="357"/>
      <c r="G393" s="397"/>
      <c r="H393" s="183"/>
      <c r="I393" s="180"/>
      <c r="J393" s="180">
        <v>5700</v>
      </c>
      <c r="K393" s="180"/>
      <c r="L393" s="297">
        <f t="shared" ref="L393" si="55">SUM(I393:K393)</f>
        <v>5700</v>
      </c>
      <c r="M393" s="398"/>
    </row>
    <row r="394" spans="1:13" ht="18" customHeight="1" x14ac:dyDescent="0.3">
      <c r="A394" s="177">
        <v>486</v>
      </c>
      <c r="B394" s="212"/>
      <c r="C394" s="355"/>
      <c r="D394" s="275" t="s">
        <v>745</v>
      </c>
      <c r="E394" s="364"/>
      <c r="F394" s="357"/>
      <c r="G394" s="397"/>
      <c r="H394" s="183"/>
      <c r="I394" s="180"/>
      <c r="J394" s="399"/>
      <c r="K394" s="180"/>
      <c r="L394" s="297">
        <f t="shared" ref="L394" si="56">SUM(I394:K394)</f>
        <v>0</v>
      </c>
      <c r="M394" s="398"/>
    </row>
    <row r="395" spans="1:13" ht="18" customHeight="1" x14ac:dyDescent="0.3">
      <c r="A395" s="177">
        <v>488</v>
      </c>
      <c r="B395" s="212"/>
      <c r="C395" s="355">
        <v>188</v>
      </c>
      <c r="D395" s="395" t="s">
        <v>737</v>
      </c>
      <c r="E395" s="364">
        <f>F395+G395+L396</f>
        <v>1800</v>
      </c>
      <c r="F395" s="357"/>
      <c r="G395" s="397"/>
      <c r="H395" s="183"/>
      <c r="I395" s="180"/>
      <c r="J395" s="180"/>
      <c r="K395" s="180"/>
      <c r="L395" s="213"/>
      <c r="M395" s="398"/>
    </row>
    <row r="396" spans="1:13" ht="18" customHeight="1" x14ac:dyDescent="0.3">
      <c r="A396" s="177">
        <v>489</v>
      </c>
      <c r="B396" s="212"/>
      <c r="C396" s="355"/>
      <c r="D396" s="119" t="s">
        <v>702</v>
      </c>
      <c r="E396" s="364"/>
      <c r="F396" s="357"/>
      <c r="G396" s="397"/>
      <c r="H396" s="183"/>
      <c r="I396" s="180"/>
      <c r="J396" s="180">
        <v>1800</v>
      </c>
      <c r="K396" s="180"/>
      <c r="L396" s="297">
        <f t="shared" ref="L396" si="57">SUM(I396:K396)</f>
        <v>1800</v>
      </c>
      <c r="M396" s="398"/>
    </row>
    <row r="397" spans="1:13" ht="18" customHeight="1" x14ac:dyDescent="0.3">
      <c r="A397" s="177">
        <v>490</v>
      </c>
      <c r="B397" s="212"/>
      <c r="C397" s="355"/>
      <c r="D397" s="275" t="s">
        <v>745</v>
      </c>
      <c r="E397" s="364"/>
      <c r="F397" s="357"/>
      <c r="G397" s="397"/>
      <c r="H397" s="183"/>
      <c r="I397" s="180"/>
      <c r="J397" s="399"/>
      <c r="K397" s="180"/>
      <c r="L397" s="297">
        <f t="shared" ref="L397" si="58">SUM(I397:K397)</f>
        <v>0</v>
      </c>
      <c r="M397" s="398"/>
    </row>
    <row r="398" spans="1:13" ht="33.75" customHeight="1" x14ac:dyDescent="0.3">
      <c r="A398" s="177">
        <v>492</v>
      </c>
      <c r="B398" s="212"/>
      <c r="C398" s="355">
        <v>189</v>
      </c>
      <c r="D398" s="395" t="s">
        <v>720</v>
      </c>
      <c r="E398" s="364">
        <f>F398+G398+L399</f>
        <v>1500</v>
      </c>
      <c r="F398" s="357"/>
      <c r="G398" s="397"/>
      <c r="H398" s="183" t="s">
        <v>24</v>
      </c>
      <c r="I398" s="180"/>
      <c r="J398" s="180"/>
      <c r="K398" s="180"/>
      <c r="L398" s="213"/>
      <c r="M398" s="398"/>
    </row>
    <row r="399" spans="1:13" ht="18" customHeight="1" x14ac:dyDescent="0.3">
      <c r="A399" s="177">
        <v>493</v>
      </c>
      <c r="B399" s="212"/>
      <c r="C399" s="355"/>
      <c r="D399" s="119" t="s">
        <v>702</v>
      </c>
      <c r="E399" s="364"/>
      <c r="F399" s="357"/>
      <c r="G399" s="397"/>
      <c r="H399" s="183"/>
      <c r="I399" s="180"/>
      <c r="J399" s="180"/>
      <c r="K399" s="180">
        <v>1500</v>
      </c>
      <c r="L399" s="297">
        <f t="shared" ref="L399" si="59">SUM(I399:K399)</f>
        <v>1500</v>
      </c>
      <c r="M399" s="398"/>
    </row>
    <row r="400" spans="1:13" ht="18" customHeight="1" thickBot="1" x14ac:dyDescent="0.35">
      <c r="A400" s="177">
        <v>494</v>
      </c>
      <c r="B400" s="212"/>
      <c r="C400" s="355"/>
      <c r="D400" s="275" t="s">
        <v>745</v>
      </c>
      <c r="E400" s="364"/>
      <c r="F400" s="357"/>
      <c r="G400" s="397"/>
      <c r="H400" s="183"/>
      <c r="I400" s="180"/>
      <c r="J400" s="399"/>
      <c r="K400" s="399"/>
      <c r="L400" s="297">
        <f t="shared" ref="L400" si="60">SUM(I400:K400)</f>
        <v>0</v>
      </c>
      <c r="M400" s="398"/>
    </row>
    <row r="401" spans="1:13" ht="27" customHeight="1" thickTop="1" x14ac:dyDescent="0.3">
      <c r="A401" s="177">
        <v>496</v>
      </c>
      <c r="B401" s="238"/>
      <c r="C401" s="239"/>
      <c r="D401" s="1344" t="s">
        <v>13</v>
      </c>
      <c r="E401" s="1344"/>
      <c r="F401" s="1344"/>
      <c r="G401" s="1345"/>
      <c r="H401" s="240"/>
      <c r="I401" s="405"/>
      <c r="J401" s="405"/>
      <c r="K401" s="405"/>
      <c r="L401" s="241"/>
      <c r="M401" s="406"/>
    </row>
    <row r="402" spans="1:13" ht="20.100000000000001" customHeight="1" x14ac:dyDescent="0.3">
      <c r="A402" s="177">
        <v>497</v>
      </c>
      <c r="B402" s="407"/>
      <c r="C402" s="408"/>
      <c r="D402" s="281" t="s">
        <v>239</v>
      </c>
      <c r="E402" s="409"/>
      <c r="F402" s="409"/>
      <c r="G402" s="410"/>
      <c r="H402" s="294"/>
      <c r="I402" s="1227">
        <f>I351+I347+I343+I339+I335+I331+I327+I323+I319+I315+I311+I307+I303+I299+I295+I291+I287+I283+I279+I275+I271+I267+I263+I259+I255+I248+I244+I240+I236+I232+I228+I224+I220+I216+I212+I208+I204+I200+I196+I192+I188+I184+I180+I176+I172+I168+I164+I160+I156+I152+I148+I144+I140+I136+I132+I128+I124+I120+I115+I54+I49+I45+I39+I35+I23+I19+I15+I11</f>
        <v>42784</v>
      </c>
      <c r="J402" s="1227">
        <f>J351+J347+J343+J339+J335+J331+J327+J323+J319+J315+J311+J307+J303+J299+J295+J291+J287+J283+J279+J275+J271+J267+J263+J259+J255+J248+J244+J240+J236+J232+J228+J224+J220+J216+J212+J208+J204+J200+J196+J192+J188+J184+J180+J176+J172+J168+J164+J160+J156+J152+J148+J144+J140+J136+J132+J128+J124+J120+J115+J54+J49+J45+J39+J35+J23+J19+J15+J11</f>
        <v>1765434</v>
      </c>
      <c r="K402" s="1227">
        <f>K351+K347+K343+K339+K335+K331+K327+K323+K319+K315+K311+K307+K303+K299+K295+K291+K287+K283+K279+K275+K271+K267+K263+K259+K255+K248+K244+K240+K236+K232+K228+K224+K220+K216+K212+K208+K204+K200+K196+K192+K188+K184+K180+K176+K172+K168+K164+K160+K156+K152+K148+K144+K140+K136+K132+K128+K124+K120+K115+K54+K49+K45+K39+K35+K23+K19+K15+K11</f>
        <v>358394</v>
      </c>
      <c r="L402" s="1227">
        <f>SUM(I402:K402)</f>
        <v>2166612</v>
      </c>
      <c r="M402" s="304">
        <f>SUM(M11:M401)</f>
        <v>2863998</v>
      </c>
    </row>
    <row r="403" spans="1:13" ht="20.100000000000001" customHeight="1" x14ac:dyDescent="0.3">
      <c r="A403" s="177">
        <v>498</v>
      </c>
      <c r="B403" s="407"/>
      <c r="C403" s="408"/>
      <c r="D403" s="119" t="s">
        <v>702</v>
      </c>
      <c r="E403" s="409"/>
      <c r="F403" s="409"/>
      <c r="G403" s="410"/>
      <c r="H403" s="244"/>
      <c r="I403" s="245">
        <f>I352+I348+I344+I340+I336+I332+I328+I324+I320+I316+I312+I308+I304+I300+I296+I292+I288+I284+I280+I276+I272+I268+I264+I260+I256+I249+I245+I241+I237+I233+I229+I225+I221+I217+I213+I209+I205+I201+I197+I193+I189+I185+I181+I177+I173+I169+I165+I161+I157+I153+I149+I145+I141+I137+I133+I129+I121+I116+I55+I50+I46+I40+I36+I24+I20+I16+I12+I370+I367+I364+I361+I358+I355+I252+I32+I29+I125+I373+I376+I379+I382+I385+I389+I393+I396+I399</f>
        <v>56161</v>
      </c>
      <c r="J403" s="245">
        <f>J352+J348+J344+J340+J336+J332+J328+J324+J320+J316+J312+J308+J304+J300+J296+J292+J288+J284+J280+J276+J272+J268+J264+J260+J256+J249+J245+J241+J237+J233+J229+J225+J221+J217+J213+J209+J205+J201+J197+J193+J189+J185+J181+J177+J173+J169+J165+J161+J157+J153+J149+J145+J141+J137+J133+J129+J121+J116+J55+J50+J46+J40+J36+J24+J20+J16+J12+J370+J367+J364+J361+J358+J355+J252+J32+J29+J125+J373+J376+J379+J382+J385+J389+J393+J396+J399</f>
        <v>2056151</v>
      </c>
      <c r="K403" s="245">
        <f>K352+K348+K344+K340+K336+K332+K328+K324+K320+K316+K312+K308+K304+K300+K296+K292+K288+K284+K280+K276+K272+K268+K264+K260+K256+K249+K245+K241+K237+K233+K229+K225+K221+K217+K213+K209+K205+K201+K197+K193+K189+K185+K181+K177+K173+K169+K165+K161+K157+K153+K149+K145+K141+K137+K133+K129+K121+K116+K55+K50+K46+K40+K36+K24+K20+K16+K12+K370+K367+K364+K361+K358+K355+K252+K32+K29+K125+K373+K376+K379+K382+K385+K389+K393+K396+K399</f>
        <v>406404</v>
      </c>
      <c r="L403" s="247">
        <f>SUM(I403:K403)</f>
        <v>2518716</v>
      </c>
      <c r="M403" s="246"/>
    </row>
    <row r="404" spans="1:13" ht="20.100000000000001" customHeight="1" thickBot="1" x14ac:dyDescent="0.35">
      <c r="A404" s="177">
        <v>499</v>
      </c>
      <c r="B404" s="411"/>
      <c r="C404" s="243"/>
      <c r="D404" s="275" t="s">
        <v>745</v>
      </c>
      <c r="E404" s="412"/>
      <c r="F404" s="412"/>
      <c r="G404" s="413"/>
      <c r="H404" s="244"/>
      <c r="I404" s="414">
        <f>I353+I349+I345+I341+I337+I333+I329+I325+I321+I317+I313+I309+I305+I301+I297+I293+I289+I285+I281+I277+I273+I269+I265+I261+I257+I250+I246+I242+I238+I234+I230+I226+I222+I218+I214+I210+I206+I202+I198+I194+I190+I186+I182+I178+I174+I170+I166+I162+I158+I154+I150+I146+I142+I138+I134+I130+I126+I122+I117+I56+I51+I47+I41+I37+I25+I21+I17+I13+I356+I359+I362+I253+I368+I365+I371+I33+I30+I374+I377+I380+I383+I400+I390+I394+I397+I386</f>
        <v>29168</v>
      </c>
      <c r="J404" s="414">
        <f>J353+J349+J345+J341+J337+J333+J329+J325+J321+J317+J313+J309+J305+J301+J297+J293+J289+J285+J281+J277+J273+J269+J265+J261+J257+J250+J246+J242+J238+J234+J230+J226+J222+J218+J214+J210+J206+J202+J198+J194+J190+J186+J182+J178+J174+J170+J166+J162+J158+J154+J150+J146+J142+J138+J134+J130+J126+J122+J117+J56+J51+J47+J41+J37+J25+J21+J17+J13+J356+J359+J362+J253+J368+J365+J371+J33+J30+J374+J377+J380+J383+J400+J390+J394+J397+J386</f>
        <v>792038</v>
      </c>
      <c r="K404" s="414">
        <f>K353+K349+K345+K341+K337+K333+K329+K325+K321+K317+K313+K309+K305+K301+K297+K293+K289+K285+K281+K277+K273+K269+K265+K261+K257+K250+K246+K242+K238+K234+K230+K226+K222+K218+K214+K210+K206+K202+K198+K194+K190+K186+K182+K178+K174+K170+K166+K162+K158+K154+K150+K146+K142+K138+K134+K130+K126+K122+K117+K56+K51+K47+K41+K37+K25+K21+K17+K13+K356+K359+K362+K253+K368+K365+K371+K33+K30+K374+K377+K380+K383+K400+K390+K394+K397+K386</f>
        <v>214932</v>
      </c>
      <c r="L404" s="415">
        <f>SUM(I404:K404)</f>
        <v>1036138</v>
      </c>
      <c r="M404" s="246"/>
    </row>
    <row r="405" spans="1:13" ht="20.100000000000001" customHeight="1" thickTop="1" x14ac:dyDescent="0.3">
      <c r="A405" s="177">
        <v>501</v>
      </c>
      <c r="B405" s="416"/>
      <c r="C405" s="239"/>
      <c r="D405" s="1341" t="s">
        <v>92</v>
      </c>
      <c r="E405" s="1342"/>
      <c r="F405" s="1342"/>
      <c r="G405" s="1343"/>
      <c r="H405" s="417"/>
      <c r="I405" s="418"/>
      <c r="J405" s="418"/>
      <c r="K405" s="418"/>
      <c r="L405" s="419"/>
      <c r="M405" s="420"/>
    </row>
    <row r="406" spans="1:13" ht="20.100000000000001" customHeight="1" x14ac:dyDescent="0.3">
      <c r="A406" s="177">
        <v>502</v>
      </c>
      <c r="B406" s="242"/>
      <c r="C406" s="243"/>
      <c r="D406" s="280" t="s">
        <v>239</v>
      </c>
      <c r="E406" s="288"/>
      <c r="F406" s="288"/>
      <c r="G406" s="287"/>
      <c r="H406" s="244"/>
      <c r="I406" s="1224">
        <f>I347+I327+I319+I212+I208+I124+I120+I23+I19+I15+I11+I331</f>
        <v>0</v>
      </c>
      <c r="J406" s="1228">
        <f>J347+J327+J319+J212+J208+J124+J120+J23+J19+J15+J11+J331</f>
        <v>395676</v>
      </c>
      <c r="K406" s="1228">
        <f>K347+K327+K319+K212+K208+K124+K120+K23+K19+K15+K11+K331</f>
        <v>354544</v>
      </c>
      <c r="L406" s="1229">
        <f>SUM(I406:K406)</f>
        <v>750220</v>
      </c>
      <c r="M406" s="246"/>
    </row>
    <row r="407" spans="1:13" ht="20.100000000000001" customHeight="1" x14ac:dyDescent="0.3">
      <c r="A407" s="177">
        <v>503</v>
      </c>
      <c r="B407" s="242"/>
      <c r="C407" s="243"/>
      <c r="D407" s="119" t="s">
        <v>702</v>
      </c>
      <c r="E407" s="288"/>
      <c r="F407" s="288"/>
      <c r="G407" s="287"/>
      <c r="H407" s="244"/>
      <c r="I407" s="189">
        <f>I370+I361+I348+I332+I328+I320+I213+I209+I125+I121+I24+I20+I16+I12+I373+I385+I389+I393+I396</f>
        <v>0</v>
      </c>
      <c r="J407" s="189">
        <f>J370+J361+J348+J332+J328+J320+J213+J209+J125+J121+J24+J20+J16+J12+J373+J385+J389+J393+J396-1174</f>
        <v>434218</v>
      </c>
      <c r="K407" s="189">
        <f>K370+K361+K348+K332+K328+K320+K213+K209+K125+K121+K24+K20+K16+K12+K373+K385+K389+K393+K396</f>
        <v>391304</v>
      </c>
      <c r="L407" s="247">
        <f>SUM(I407:K407)</f>
        <v>825522</v>
      </c>
      <c r="M407" s="246"/>
    </row>
    <row r="408" spans="1:13" ht="20.100000000000001" customHeight="1" x14ac:dyDescent="0.3">
      <c r="A408" s="177">
        <v>504</v>
      </c>
      <c r="B408" s="242"/>
      <c r="C408" s="243"/>
      <c r="D408" s="275" t="s">
        <v>745</v>
      </c>
      <c r="E408" s="283"/>
      <c r="F408" s="283"/>
      <c r="G408" s="277"/>
      <c r="H408" s="244"/>
      <c r="I408" s="380">
        <f>I349+I329+I321+I214+I210+I126+I122+I25+I21+I17+I13+I333+I368+I365+I371+I374+I390+I394+I397+I386</f>
        <v>0</v>
      </c>
      <c r="J408" s="380">
        <f>J349+J329+J321+J214+J210+J126+J122+J25+J21+J17+J13+J333+J362+J371+J374+J390+J394+J397+J386</f>
        <v>6489</v>
      </c>
      <c r="K408" s="380">
        <f>K349+K329+K321+K214+K210+K126+K122+K25+K21+K17+K13+K333+K368+K365+K371+K374+K390+K394+K397+K386</f>
        <v>214032</v>
      </c>
      <c r="L408" s="415">
        <f t="shared" ref="L408" si="61">SUM(I408:K408)</f>
        <v>220521</v>
      </c>
      <c r="M408" s="246"/>
    </row>
    <row r="409" spans="1:13" ht="20.100000000000001" customHeight="1" x14ac:dyDescent="0.3">
      <c r="A409" s="177">
        <v>506</v>
      </c>
      <c r="B409" s="242"/>
      <c r="C409" s="243"/>
      <c r="D409" s="308" t="s">
        <v>93</v>
      </c>
      <c r="E409" s="288"/>
      <c r="F409" s="288"/>
      <c r="G409" s="284"/>
      <c r="H409" s="244"/>
      <c r="I409" s="245"/>
      <c r="J409" s="245"/>
      <c r="K409" s="245"/>
      <c r="L409" s="248"/>
      <c r="M409" s="246"/>
    </row>
    <row r="410" spans="1:13" ht="20.100000000000001" customHeight="1" x14ac:dyDescent="0.3">
      <c r="A410" s="177">
        <v>507</v>
      </c>
      <c r="B410" s="242"/>
      <c r="C410" s="243"/>
      <c r="D410" s="268" t="s">
        <v>239</v>
      </c>
      <c r="E410" s="288"/>
      <c r="F410" s="288"/>
      <c r="G410" s="421"/>
      <c r="H410" s="313"/>
      <c r="I410" s="1220">
        <f>I351+I339+I335+I323+I315+I311+I307+I303+I299+I295+I291+I287+I283+I279+I275+I271+I267+I263+I259+I255+I248+I244+I240+I236+I232+I228+I224+I220+I216+I204+I200+I196+I192+I188+I184+I180+I176+I172+I168+I164+I156+I152+I148+I144+I140+I136+I132+I128+I115+I54+I49+I45+I39+I35+I160+I343</f>
        <v>42784</v>
      </c>
      <c r="J410" s="1220">
        <f>J351+J339+J335+J323+J315+J311+J307+J303+J299+J295+J291+J287+J283+J279+J275+J271+J267+J263+J259+J255+J248+J244+J240+J236+J232+J228+J224+J220+J216+J204+J200+J196+J192+J188+J184+J180+J176+J172+J168+J164+J156+J152+J148+J144+J140+J136+J132+J128+J115+J54+J49+J45+J39+J35+J160+J343</f>
        <v>1369758</v>
      </c>
      <c r="K410" s="1220">
        <f>K351+K339+K335+K323+K315+K311+K307+K303+K299+K295+K291+K287+K283+K279+K275+K271+K267+K263+K259+K255+K248+K244+K240+K236+K232+K228+K224+K220+K216+K204+K200+K196+K192+K188+K184+K180+K176+K172+K168+K164+K156+K152+K148+K144+K140+K136+K132+K128+K115+K54+K49+K45+K39+K35+K160+K343</f>
        <v>3850</v>
      </c>
      <c r="L410" s="1229">
        <f>SUM(I410:K410)</f>
        <v>1416392</v>
      </c>
      <c r="M410" s="246"/>
    </row>
    <row r="411" spans="1:13" ht="20.100000000000001" customHeight="1" x14ac:dyDescent="0.3">
      <c r="A411" s="177">
        <v>508</v>
      </c>
      <c r="B411" s="242"/>
      <c r="C411" s="243"/>
      <c r="D411" s="119" t="s">
        <v>702</v>
      </c>
      <c r="E411" s="288"/>
      <c r="F411" s="288"/>
      <c r="G411" s="421"/>
      <c r="H411" s="313"/>
      <c r="I411" s="192">
        <f>I352+I340+I336+I324+I316+I312+I308+I304+I300+I296+I292+I288+I284+I280+I276+I272+I268+I264+I260+I256+I249+I245+I241+I237+I233+I229+I225+I221+I217+I205+I201+I197+I193+I189+I185+I181+I177+I173+I169+I165+I157+I153+I149+I145+I141+I137+I133+I129+I116+I55+I50+I46+I40+I36+I161+I344+I367+I364+I358+I355+I252+I32+I29+I376+I379+I382+I399</f>
        <v>56161</v>
      </c>
      <c r="J411" s="192">
        <f>J352+J340+J336+J324+J316+J312+J308+J304+J300+J296+J292+J288+J284+J280+J276+J272+J268+J264+J260+J256+J249+J245+J241+J237+J233+J229+J225+J221+J217+J205+J201+J197+J193+J189+J185+J181+J177+J173+J169+J165+J157+J153+J149+J145+J141+J137+J133+J129+J116+J55+J50+J46+J40+J36+J161+J344+J367+J364+J358+J355+J252+J32+J29+J376+J379+J382+J399+1174</f>
        <v>1621933</v>
      </c>
      <c r="K411" s="192">
        <f>K352+K340+K336+K324+K316+K312+K308+K304+K300+K296+K292+K288+K284+K280+K276+K272+K268+K264+K260+K256+K249+K245+K241+K237+K233+K229+K225+K221+K217+K205+K201+K197+K193+K189+K185+K181+K177+K173+K169+K165+K157+K153+K149+K145+K141+K137+K133+K129+K116+K55+K50+K46+K40+K36+K161+K344+K367+K364+K358+K355+K252+K32+K29+K376+K379+K382+K399</f>
        <v>15100</v>
      </c>
      <c r="L411" s="247">
        <f>SUM(I411:K411)</f>
        <v>1693194</v>
      </c>
      <c r="M411" s="246"/>
    </row>
    <row r="412" spans="1:13" ht="20.100000000000001" customHeight="1" thickBot="1" x14ac:dyDescent="0.35">
      <c r="A412" s="177">
        <v>509</v>
      </c>
      <c r="B412" s="211"/>
      <c r="C412" s="301"/>
      <c r="D412" s="302" t="s">
        <v>745</v>
      </c>
      <c r="E412" s="425"/>
      <c r="F412" s="425"/>
      <c r="G412" s="314"/>
      <c r="H412" s="443"/>
      <c r="I412" s="431">
        <f>I353+I341+I337+I325+I317+I313+I309+I305+I301+I297+I293+I289+I285+I281+I277+I273+I269+I265+I261+I257+I250+I246+I242+I238+I234+I230+I226+I222+I218+I206+I202+I198+I194+I190+I186+I182+I178+I174+I170+I166+I158+I154+I150+I146+I142+I138+I134+I130+I117+I56+I51+I47+I41+I37+I162+I345+I356+I359+I362+I253+I33+I30+I377+I380+I383+I400</f>
        <v>29168</v>
      </c>
      <c r="J412" s="431">
        <f>J353+J341+J337+J325+J317+J313+J309+J305+J301+J297+J293+J289+J285+J281+J277+J273+J269+J265+J261+J257+J250+J246+J242+J238+J234+J230+J226+J222+J218+J206+J202+J198+J194+J190+J186+J182+J178+J174+J170+J166+J158+J154+J150+J146+J142+J138+J134+J130+J117+J56+J51+J47+J41+J37+J162+J345+J356+J359+J365+J368+J253+J33+J30+J377+J380+J383+J400</f>
        <v>785549</v>
      </c>
      <c r="K412" s="431">
        <f>K353+K341+K337+K325+K317+K313+K309+K305+K301+K297+K293+K289+K285+K281+K277+K273+K269+K265+K261+K257+K250+K246+K242+K238+K234+K230+K226+K222+K218+K206+K202+K198+K194+K190+K186+K182+K178+K174+K170+K166+K158+K154+K150+K146+K142+K138+K134+K130+K117+K56+K51+K47+K41+K37+K162+K345+K356+K359+K362+K253+K33+K30+K377+K380+K383+K400</f>
        <v>900</v>
      </c>
      <c r="L412" s="444">
        <f t="shared" ref="L412" si="62">SUM(I412:K412)</f>
        <v>815617</v>
      </c>
      <c r="M412" s="312"/>
    </row>
    <row r="413" spans="1:13" ht="18" customHeight="1" x14ac:dyDescent="0.3">
      <c r="B413" s="205" t="s">
        <v>25</v>
      </c>
      <c r="C413" s="426"/>
      <c r="D413" s="426"/>
      <c r="E413" s="441"/>
      <c r="F413" s="442"/>
      <c r="G413" s="422"/>
      <c r="H413" s="208"/>
      <c r="I413" s="422"/>
      <c r="J413" s="422"/>
      <c r="K413" s="422"/>
      <c r="L413" s="441"/>
      <c r="M413" s="432"/>
    </row>
    <row r="414" spans="1:13" ht="18" customHeight="1" x14ac:dyDescent="0.3">
      <c r="B414" s="205" t="s">
        <v>26</v>
      </c>
      <c r="C414" s="205"/>
      <c r="D414" s="205"/>
      <c r="E414" s="424"/>
      <c r="F414" s="423"/>
      <c r="G414" s="422"/>
      <c r="H414" s="208"/>
      <c r="I414" s="422"/>
      <c r="J414" s="422"/>
      <c r="K414" s="422"/>
      <c r="L414" s="422"/>
    </row>
    <row r="415" spans="1:13" ht="18" customHeight="1" x14ac:dyDescent="0.3">
      <c r="B415" s="205" t="s">
        <v>27</v>
      </c>
      <c r="C415" s="205"/>
      <c r="D415" s="205"/>
      <c r="E415" s="424"/>
      <c r="F415" s="423"/>
      <c r="G415" s="422"/>
      <c r="H415" s="208"/>
      <c r="I415" s="422"/>
      <c r="J415" s="422"/>
      <c r="K415" s="422"/>
      <c r="L415" s="422"/>
    </row>
  </sheetData>
  <mergeCells count="17">
    <mergeCell ref="I1:M1"/>
    <mergeCell ref="B2:M2"/>
    <mergeCell ref="B3:M3"/>
    <mergeCell ref="I6:L6"/>
    <mergeCell ref="M6:M8"/>
    <mergeCell ref="E6:E8"/>
    <mergeCell ref="B6:B8"/>
    <mergeCell ref="C6:C8"/>
    <mergeCell ref="D6:D8"/>
    <mergeCell ref="J7:K7"/>
    <mergeCell ref="L7:L8"/>
    <mergeCell ref="H6:H8"/>
    <mergeCell ref="G6:G8"/>
    <mergeCell ref="F6:F8"/>
    <mergeCell ref="D405:G405"/>
    <mergeCell ref="D401:G401"/>
    <mergeCell ref="B1:D1"/>
  </mergeCells>
  <printOptions horizontalCentered="1"/>
  <pageMargins left="0.19685039370078741" right="0.19685039370078741" top="0.59055118110236227" bottom="0.59055118110236227" header="0.51181102362204722" footer="0.51181102362204722"/>
  <pageSetup paperSize="9" scale="54" fitToHeight="0" orientation="portrait"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R95"/>
  <sheetViews>
    <sheetView view="pageBreakPreview" topLeftCell="A70" zoomScaleNormal="100" zoomScaleSheetLayoutView="100" workbookViewId="0">
      <selection activeCell="O88" sqref="O88"/>
    </sheetView>
  </sheetViews>
  <sheetFormatPr defaultColWidth="9.28515625" defaultRowHeight="15" x14ac:dyDescent="0.3"/>
  <cols>
    <col min="1" max="1" width="3.5703125" style="168" customWidth="1"/>
    <col min="2" max="2" width="5.7109375" style="169" customWidth="1"/>
    <col min="3" max="3" width="5.7109375" style="170" customWidth="1"/>
    <col min="4" max="4" width="59.7109375" style="171" customWidth="1"/>
    <col min="5" max="7" width="10.7109375" style="55" customWidth="1"/>
    <col min="8" max="8" width="6.7109375" style="172" customWidth="1"/>
    <col min="9" max="10" width="14.7109375" style="55" customWidth="1"/>
    <col min="11" max="11" width="15.7109375" style="55" customWidth="1"/>
    <col min="12" max="12" width="13.7109375" style="204" customWidth="1"/>
    <col min="13" max="16384" width="9.28515625" style="56"/>
  </cols>
  <sheetData>
    <row r="1" spans="1:250" s="16" customFormat="1" ht="18" customHeight="1" x14ac:dyDescent="0.3">
      <c r="A1" s="166"/>
      <c r="B1" s="1346" t="s">
        <v>759</v>
      </c>
      <c r="C1" s="1346"/>
      <c r="D1" s="1346"/>
      <c r="E1" s="53"/>
      <c r="F1" s="53"/>
      <c r="G1" s="53"/>
      <c r="H1" s="167"/>
      <c r="I1" s="1374"/>
      <c r="J1" s="1374"/>
      <c r="K1" s="1374"/>
      <c r="L1" s="137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row>
    <row r="2" spans="1:250" s="16" customFormat="1" ht="18" customHeight="1" x14ac:dyDescent="0.35">
      <c r="A2" s="168"/>
      <c r="B2" s="1348" t="s">
        <v>14</v>
      </c>
      <c r="C2" s="1348"/>
      <c r="D2" s="1348"/>
      <c r="E2" s="1348"/>
      <c r="F2" s="1348"/>
      <c r="G2" s="1348"/>
      <c r="H2" s="1348"/>
      <c r="I2" s="1348"/>
      <c r="J2" s="1348"/>
      <c r="K2" s="1348"/>
      <c r="L2" s="1348"/>
    </row>
    <row r="3" spans="1:250" s="16" customFormat="1" ht="18" customHeight="1" x14ac:dyDescent="0.3">
      <c r="A3" s="168"/>
      <c r="B3" s="1349" t="s">
        <v>767</v>
      </c>
      <c r="C3" s="1349"/>
      <c r="D3" s="1349"/>
      <c r="E3" s="1349"/>
      <c r="F3" s="1349"/>
      <c r="G3" s="1349"/>
      <c r="H3" s="1349"/>
      <c r="I3" s="1349"/>
      <c r="J3" s="1349"/>
      <c r="K3" s="1349"/>
      <c r="L3" s="1349"/>
    </row>
    <row r="4" spans="1:250" ht="18" customHeight="1" x14ac:dyDescent="0.3">
      <c r="L4" s="57" t="s">
        <v>0</v>
      </c>
    </row>
    <row r="5" spans="1:250" s="9" customFormat="1" ht="18" customHeight="1" thickBot="1" x14ac:dyDescent="0.25">
      <c r="A5" s="168"/>
      <c r="B5" s="173" t="s">
        <v>1</v>
      </c>
      <c r="C5" s="174" t="s">
        <v>3</v>
      </c>
      <c r="D5" s="174" t="s">
        <v>2</v>
      </c>
      <c r="E5" s="174" t="s">
        <v>4</v>
      </c>
      <c r="F5" s="174" t="s">
        <v>5</v>
      </c>
      <c r="G5" s="174" t="s">
        <v>15</v>
      </c>
      <c r="H5" s="174" t="s">
        <v>16</v>
      </c>
      <c r="I5" s="174" t="s">
        <v>28</v>
      </c>
      <c r="J5" s="174" t="s">
        <v>23</v>
      </c>
      <c r="K5" s="174" t="s">
        <v>33</v>
      </c>
      <c r="L5" s="174" t="s">
        <v>34</v>
      </c>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row>
    <row r="6" spans="1:250" ht="30" customHeight="1" x14ac:dyDescent="0.3">
      <c r="B6" s="1356" t="s">
        <v>18</v>
      </c>
      <c r="C6" s="1359" t="s">
        <v>19</v>
      </c>
      <c r="D6" s="1362" t="s">
        <v>6</v>
      </c>
      <c r="E6" s="1338" t="s">
        <v>21</v>
      </c>
      <c r="F6" s="1338" t="s">
        <v>634</v>
      </c>
      <c r="G6" s="1335" t="s">
        <v>676</v>
      </c>
      <c r="H6" s="1368" t="s">
        <v>232</v>
      </c>
      <c r="I6" s="1375" t="s">
        <v>508</v>
      </c>
      <c r="J6" s="1375"/>
      <c r="K6" s="1376"/>
      <c r="L6" s="1353" t="s">
        <v>509</v>
      </c>
    </row>
    <row r="7" spans="1:250" ht="45" customHeight="1" x14ac:dyDescent="0.3">
      <c r="B7" s="1357"/>
      <c r="C7" s="1360"/>
      <c r="D7" s="1363"/>
      <c r="E7" s="1339"/>
      <c r="F7" s="1339"/>
      <c r="G7" s="1336"/>
      <c r="H7" s="1369"/>
      <c r="I7" s="172" t="s">
        <v>35</v>
      </c>
      <c r="J7" s="231" t="s">
        <v>120</v>
      </c>
      <c r="K7" s="1366" t="s">
        <v>96</v>
      </c>
      <c r="L7" s="1354"/>
    </row>
    <row r="8" spans="1:250" ht="53.25" customHeight="1" thickBot="1" x14ac:dyDescent="0.35">
      <c r="B8" s="1358"/>
      <c r="C8" s="1361"/>
      <c r="D8" s="1364"/>
      <c r="E8" s="1340"/>
      <c r="F8" s="1340"/>
      <c r="G8" s="1337"/>
      <c r="H8" s="1370"/>
      <c r="I8" s="175" t="s">
        <v>38</v>
      </c>
      <c r="J8" s="176" t="s">
        <v>182</v>
      </c>
      <c r="K8" s="1367"/>
      <c r="L8" s="1355"/>
    </row>
    <row r="9" spans="1:250" ht="23.25" customHeight="1" x14ac:dyDescent="0.3">
      <c r="A9" s="177">
        <v>1</v>
      </c>
      <c r="B9" s="178">
        <v>18</v>
      </c>
      <c r="C9" s="79" t="s">
        <v>22</v>
      </c>
      <c r="D9" s="179"/>
      <c r="E9" s="180"/>
      <c r="F9" s="181"/>
      <c r="G9" s="182"/>
      <c r="H9" s="183"/>
      <c r="I9" s="184"/>
      <c r="J9" s="185"/>
      <c r="K9" s="186"/>
      <c r="L9" s="187"/>
    </row>
    <row r="10" spans="1:250" ht="20.100000000000001" customHeight="1" x14ac:dyDescent="0.3">
      <c r="A10" s="177">
        <v>2</v>
      </c>
      <c r="B10" s="188"/>
      <c r="C10" s="195">
        <v>1</v>
      </c>
      <c r="D10" s="196" t="s">
        <v>290</v>
      </c>
      <c r="E10" s="189">
        <f>F10+G10+K12+L11</f>
        <v>1253</v>
      </c>
      <c r="F10" s="190"/>
      <c r="G10" s="198"/>
      <c r="H10" s="199" t="s">
        <v>24</v>
      </c>
      <c r="I10" s="191"/>
      <c r="J10" s="192"/>
      <c r="K10" s="193"/>
      <c r="L10" s="194"/>
    </row>
    <row r="11" spans="1:250" ht="18" customHeight="1" x14ac:dyDescent="0.3">
      <c r="A11" s="177">
        <v>3</v>
      </c>
      <c r="B11" s="188"/>
      <c r="C11" s="195"/>
      <c r="D11" s="110" t="s">
        <v>239</v>
      </c>
      <c r="E11" s="189"/>
      <c r="F11" s="190"/>
      <c r="G11" s="198"/>
      <c r="H11" s="199"/>
      <c r="I11" s="191"/>
      <c r="J11" s="298">
        <v>1253</v>
      </c>
      <c r="K11" s="299">
        <f t="shared" ref="K11:K76" si="0">SUM(I11:J11)</f>
        <v>1253</v>
      </c>
      <c r="L11" s="194"/>
    </row>
    <row r="12" spans="1:250" ht="18" customHeight="1" x14ac:dyDescent="0.3">
      <c r="A12" s="177">
        <v>4</v>
      </c>
      <c r="B12" s="188"/>
      <c r="C12" s="195"/>
      <c r="D12" s="119" t="s">
        <v>702</v>
      </c>
      <c r="E12" s="189"/>
      <c r="F12" s="190"/>
      <c r="G12" s="198"/>
      <c r="H12" s="199"/>
      <c r="I12" s="191"/>
      <c r="J12" s="192">
        <v>1253</v>
      </c>
      <c r="K12" s="193">
        <f t="shared" si="0"/>
        <v>1253</v>
      </c>
      <c r="L12" s="194"/>
    </row>
    <row r="13" spans="1:250" ht="18" customHeight="1" x14ac:dyDescent="0.3">
      <c r="A13" s="177">
        <v>5</v>
      </c>
      <c r="B13" s="188"/>
      <c r="C13" s="195"/>
      <c r="D13" s="275" t="s">
        <v>745</v>
      </c>
      <c r="E13" s="189"/>
      <c r="F13" s="190"/>
      <c r="G13" s="198"/>
      <c r="H13" s="199"/>
      <c r="I13" s="295"/>
      <c r="J13" s="296"/>
      <c r="K13" s="297">
        <f t="shared" si="0"/>
        <v>0</v>
      </c>
      <c r="L13" s="194"/>
    </row>
    <row r="14" spans="1:250" ht="20.100000000000001" customHeight="1" x14ac:dyDescent="0.3">
      <c r="A14" s="177">
        <v>7</v>
      </c>
      <c r="B14" s="188"/>
      <c r="C14" s="195">
        <v>2</v>
      </c>
      <c r="D14" s="196" t="s">
        <v>411</v>
      </c>
      <c r="E14" s="189">
        <f>F14+G14+K16+L15</f>
        <v>21000</v>
      </c>
      <c r="F14" s="190"/>
      <c r="G14" s="198">
        <v>3354</v>
      </c>
      <c r="H14" s="199" t="s">
        <v>23</v>
      </c>
      <c r="I14" s="191"/>
      <c r="J14" s="192"/>
      <c r="K14" s="193"/>
      <c r="L14" s="194"/>
    </row>
    <row r="15" spans="1:250" ht="18" customHeight="1" x14ac:dyDescent="0.3">
      <c r="A15" s="177">
        <v>8</v>
      </c>
      <c r="B15" s="188"/>
      <c r="C15" s="195"/>
      <c r="D15" s="110" t="s">
        <v>239</v>
      </c>
      <c r="E15" s="189"/>
      <c r="F15" s="190"/>
      <c r="G15" s="198"/>
      <c r="H15" s="199"/>
      <c r="I15" s="191"/>
      <c r="J15" s="298">
        <v>17646</v>
      </c>
      <c r="K15" s="299">
        <f t="shared" si="0"/>
        <v>17646</v>
      </c>
      <c r="L15" s="194"/>
    </row>
    <row r="16" spans="1:250" ht="18" customHeight="1" x14ac:dyDescent="0.3">
      <c r="A16" s="177">
        <v>9</v>
      </c>
      <c r="B16" s="188"/>
      <c r="C16" s="195"/>
      <c r="D16" s="119" t="s">
        <v>702</v>
      </c>
      <c r="E16" s="189"/>
      <c r="F16" s="190"/>
      <c r="G16" s="198"/>
      <c r="H16" s="199"/>
      <c r="I16" s="191"/>
      <c r="J16" s="192">
        <v>17646</v>
      </c>
      <c r="K16" s="193">
        <f t="shared" si="0"/>
        <v>17646</v>
      </c>
      <c r="L16" s="194"/>
    </row>
    <row r="17" spans="1:12" ht="18" customHeight="1" x14ac:dyDescent="0.3">
      <c r="A17" s="177">
        <v>10</v>
      </c>
      <c r="B17" s="188"/>
      <c r="C17" s="195"/>
      <c r="D17" s="275" t="s">
        <v>745</v>
      </c>
      <c r="E17" s="189"/>
      <c r="F17" s="190"/>
      <c r="G17" s="198"/>
      <c r="H17" s="199"/>
      <c r="I17" s="295"/>
      <c r="J17" s="296">
        <v>17626</v>
      </c>
      <c r="K17" s="297">
        <f t="shared" si="0"/>
        <v>17626</v>
      </c>
      <c r="L17" s="194"/>
    </row>
    <row r="18" spans="1:12" ht="20.100000000000001" customHeight="1" x14ac:dyDescent="0.3">
      <c r="A18" s="177">
        <v>12</v>
      </c>
      <c r="B18" s="188"/>
      <c r="C18" s="195">
        <v>3</v>
      </c>
      <c r="D18" s="196" t="s">
        <v>342</v>
      </c>
      <c r="E18" s="189">
        <f>F18+G18</f>
        <v>20000</v>
      </c>
      <c r="F18" s="190">
        <v>1336</v>
      </c>
      <c r="G18" s="198">
        <v>18664</v>
      </c>
      <c r="H18" s="199" t="s">
        <v>23</v>
      </c>
      <c r="I18" s="191"/>
      <c r="J18" s="192"/>
      <c r="K18" s="193"/>
      <c r="L18" s="194"/>
    </row>
    <row r="19" spans="1:12" ht="20.100000000000001" customHeight="1" x14ac:dyDescent="0.3">
      <c r="A19" s="177">
        <v>13</v>
      </c>
      <c r="B19" s="188"/>
      <c r="C19" s="195">
        <v>4</v>
      </c>
      <c r="D19" s="196" t="s">
        <v>341</v>
      </c>
      <c r="E19" s="189">
        <f>F19+G19</f>
        <v>25000</v>
      </c>
      <c r="F19" s="190">
        <v>15000</v>
      </c>
      <c r="G19" s="198">
        <v>10000</v>
      </c>
      <c r="H19" s="199" t="s">
        <v>23</v>
      </c>
      <c r="I19" s="191"/>
      <c r="J19" s="192"/>
      <c r="K19" s="193"/>
      <c r="L19" s="194"/>
    </row>
    <row r="20" spans="1:12" ht="21.75" customHeight="1" x14ac:dyDescent="0.3">
      <c r="A20" s="177">
        <v>14</v>
      </c>
      <c r="B20" s="188"/>
      <c r="C20" s="195">
        <v>5</v>
      </c>
      <c r="D20" s="196" t="s">
        <v>314</v>
      </c>
      <c r="E20" s="189">
        <f>F20+G20+K22+L21</f>
        <v>60847</v>
      </c>
      <c r="F20" s="190">
        <v>12665</v>
      </c>
      <c r="G20" s="198">
        <v>27420</v>
      </c>
      <c r="H20" s="199" t="s">
        <v>23</v>
      </c>
      <c r="I20" s="191"/>
      <c r="J20" s="192"/>
      <c r="K20" s="193"/>
      <c r="L20" s="194"/>
    </row>
    <row r="21" spans="1:12" ht="18" customHeight="1" x14ac:dyDescent="0.3">
      <c r="A21" s="177">
        <v>15</v>
      </c>
      <c r="B21" s="188"/>
      <c r="C21" s="195"/>
      <c r="D21" s="110" t="s">
        <v>239</v>
      </c>
      <c r="E21" s="189"/>
      <c r="F21" s="190"/>
      <c r="G21" s="198"/>
      <c r="H21" s="199"/>
      <c r="I21" s="191"/>
      <c r="J21" s="298">
        <v>20762</v>
      </c>
      <c r="K21" s="299">
        <f t="shared" si="0"/>
        <v>20762</v>
      </c>
      <c r="L21" s="194"/>
    </row>
    <row r="22" spans="1:12" ht="18" customHeight="1" x14ac:dyDescent="0.3">
      <c r="A22" s="177">
        <v>16</v>
      </c>
      <c r="B22" s="188"/>
      <c r="C22" s="195"/>
      <c r="D22" s="119" t="s">
        <v>702</v>
      </c>
      <c r="E22" s="189"/>
      <c r="F22" s="190"/>
      <c r="G22" s="198"/>
      <c r="H22" s="199"/>
      <c r="I22" s="191"/>
      <c r="J22" s="192">
        <v>20762</v>
      </c>
      <c r="K22" s="193">
        <f t="shared" si="0"/>
        <v>20762</v>
      </c>
      <c r="L22" s="194"/>
    </row>
    <row r="23" spans="1:12" ht="18" customHeight="1" x14ac:dyDescent="0.3">
      <c r="A23" s="177">
        <v>17</v>
      </c>
      <c r="B23" s="188"/>
      <c r="C23" s="195"/>
      <c r="D23" s="275" t="s">
        <v>745</v>
      </c>
      <c r="E23" s="189"/>
      <c r="F23" s="190"/>
      <c r="G23" s="198"/>
      <c r="H23" s="199"/>
      <c r="I23" s="295"/>
      <c r="J23" s="296">
        <v>1461</v>
      </c>
      <c r="K23" s="297">
        <f t="shared" si="0"/>
        <v>1461</v>
      </c>
      <c r="L23" s="194"/>
    </row>
    <row r="24" spans="1:12" ht="21.75" customHeight="1" x14ac:dyDescent="0.3">
      <c r="A24" s="177">
        <v>19</v>
      </c>
      <c r="B24" s="188"/>
      <c r="C24" s="195">
        <v>6</v>
      </c>
      <c r="D24" s="196" t="s">
        <v>343</v>
      </c>
      <c r="E24" s="189">
        <f>F24+G24</f>
        <v>0</v>
      </c>
      <c r="F24" s="190"/>
      <c r="G24" s="198"/>
      <c r="H24" s="199" t="s">
        <v>24</v>
      </c>
      <c r="I24" s="191"/>
      <c r="J24" s="192"/>
      <c r="K24" s="193"/>
      <c r="L24" s="194"/>
    </row>
    <row r="25" spans="1:12" ht="20.100000000000001" customHeight="1" x14ac:dyDescent="0.3">
      <c r="A25" s="177">
        <v>20</v>
      </c>
      <c r="B25" s="188"/>
      <c r="C25" s="195">
        <v>7</v>
      </c>
      <c r="D25" s="196" t="s">
        <v>344</v>
      </c>
      <c r="E25" s="189">
        <f>F25+G25</f>
        <v>7000</v>
      </c>
      <c r="F25" s="190">
        <v>4000</v>
      </c>
      <c r="G25" s="198">
        <v>3000</v>
      </c>
      <c r="H25" s="199" t="s">
        <v>23</v>
      </c>
      <c r="I25" s="191"/>
      <c r="J25" s="192"/>
      <c r="K25" s="193"/>
      <c r="L25" s="194"/>
    </row>
    <row r="26" spans="1:12" ht="22.15" customHeight="1" x14ac:dyDescent="0.3">
      <c r="A26" s="177">
        <v>21</v>
      </c>
      <c r="B26" s="188"/>
      <c r="C26" s="195">
        <v>16</v>
      </c>
      <c r="D26" s="196" t="s">
        <v>404</v>
      </c>
      <c r="E26" s="189">
        <f>F26+G26</f>
        <v>2285</v>
      </c>
      <c r="F26" s="190"/>
      <c r="G26" s="198">
        <v>2285</v>
      </c>
      <c r="H26" s="199" t="s">
        <v>24</v>
      </c>
      <c r="I26" s="192"/>
      <c r="J26" s="192"/>
      <c r="K26" s="193"/>
      <c r="L26" s="197"/>
    </row>
    <row r="27" spans="1:12" ht="22.15" customHeight="1" x14ac:dyDescent="0.3">
      <c r="A27" s="177">
        <v>22</v>
      </c>
      <c r="B27" s="188"/>
      <c r="C27" s="195">
        <v>18</v>
      </c>
      <c r="D27" s="196" t="s">
        <v>493</v>
      </c>
      <c r="E27" s="189">
        <f>F27+G27+K29</f>
        <v>380000</v>
      </c>
      <c r="F27" s="190"/>
      <c r="G27" s="198">
        <v>209999</v>
      </c>
      <c r="H27" s="199" t="s">
        <v>24</v>
      </c>
      <c r="I27" s="191"/>
      <c r="J27" s="192"/>
      <c r="K27" s="193"/>
      <c r="L27" s="194"/>
    </row>
    <row r="28" spans="1:12" ht="18" customHeight="1" x14ac:dyDescent="0.3">
      <c r="A28" s="177">
        <v>23</v>
      </c>
      <c r="B28" s="188"/>
      <c r="C28" s="195"/>
      <c r="D28" s="110" t="s">
        <v>239</v>
      </c>
      <c r="E28" s="189"/>
      <c r="F28" s="190"/>
      <c r="G28" s="198"/>
      <c r="H28" s="199"/>
      <c r="I28" s="191"/>
      <c r="J28" s="298">
        <v>170001</v>
      </c>
      <c r="K28" s="299">
        <f>SUM(I28:J28)</f>
        <v>170001</v>
      </c>
      <c r="L28" s="197"/>
    </row>
    <row r="29" spans="1:12" ht="18" customHeight="1" x14ac:dyDescent="0.3">
      <c r="A29" s="177">
        <v>24</v>
      </c>
      <c r="B29" s="188"/>
      <c r="C29" s="195"/>
      <c r="D29" s="119" t="s">
        <v>702</v>
      </c>
      <c r="E29" s="189"/>
      <c r="F29" s="190"/>
      <c r="G29" s="198"/>
      <c r="H29" s="199"/>
      <c r="I29" s="191"/>
      <c r="J29" s="192">
        <v>170001</v>
      </c>
      <c r="K29" s="193">
        <f>SUM(I29:J29)</f>
        <v>170001</v>
      </c>
      <c r="L29" s="197"/>
    </row>
    <row r="30" spans="1:12" ht="18" customHeight="1" x14ac:dyDescent="0.3">
      <c r="A30" s="177">
        <v>25</v>
      </c>
      <c r="B30" s="188"/>
      <c r="C30" s="195"/>
      <c r="D30" s="275" t="s">
        <v>745</v>
      </c>
      <c r="E30" s="189"/>
      <c r="F30" s="190"/>
      <c r="G30" s="198"/>
      <c r="H30" s="199"/>
      <c r="I30" s="295"/>
      <c r="J30" s="296">
        <v>57975</v>
      </c>
      <c r="K30" s="297">
        <f>SUM(I30:J30)</f>
        <v>57975</v>
      </c>
      <c r="L30" s="197"/>
    </row>
    <row r="31" spans="1:12" ht="20.100000000000001" customHeight="1" x14ac:dyDescent="0.3">
      <c r="A31" s="177">
        <v>27</v>
      </c>
      <c r="B31" s="188"/>
      <c r="C31" s="195">
        <v>52</v>
      </c>
      <c r="D31" s="196" t="s">
        <v>410</v>
      </c>
      <c r="E31" s="189">
        <f>F31+G31+K33+L32</f>
        <v>35614</v>
      </c>
      <c r="F31" s="190"/>
      <c r="G31" s="198">
        <v>6149</v>
      </c>
      <c r="H31" s="199" t="s">
        <v>24</v>
      </c>
      <c r="I31" s="191"/>
      <c r="J31" s="192"/>
      <c r="K31" s="193"/>
      <c r="L31" s="194"/>
    </row>
    <row r="32" spans="1:12" ht="18" customHeight="1" x14ac:dyDescent="0.3">
      <c r="A32" s="177">
        <v>28</v>
      </c>
      <c r="B32" s="188"/>
      <c r="C32" s="195"/>
      <c r="D32" s="110" t="s">
        <v>239</v>
      </c>
      <c r="E32" s="189"/>
      <c r="F32" s="190"/>
      <c r="G32" s="198"/>
      <c r="H32" s="199"/>
      <c r="I32" s="191"/>
      <c r="J32" s="298">
        <v>29465</v>
      </c>
      <c r="K32" s="299">
        <f t="shared" si="0"/>
        <v>29465</v>
      </c>
      <c r="L32" s="194"/>
    </row>
    <row r="33" spans="1:12" ht="18" customHeight="1" x14ac:dyDescent="0.3">
      <c r="A33" s="177">
        <v>29</v>
      </c>
      <c r="B33" s="188"/>
      <c r="C33" s="195"/>
      <c r="D33" s="119" t="s">
        <v>702</v>
      </c>
      <c r="E33" s="189"/>
      <c r="F33" s="190"/>
      <c r="G33" s="198"/>
      <c r="H33" s="199"/>
      <c r="I33" s="191"/>
      <c r="J33" s="192">
        <v>29465</v>
      </c>
      <c r="K33" s="193">
        <f t="shared" si="0"/>
        <v>29465</v>
      </c>
      <c r="L33" s="194"/>
    </row>
    <row r="34" spans="1:12" ht="18" customHeight="1" x14ac:dyDescent="0.3">
      <c r="A34" s="177">
        <v>30</v>
      </c>
      <c r="B34" s="188"/>
      <c r="C34" s="195"/>
      <c r="D34" s="275" t="s">
        <v>745</v>
      </c>
      <c r="E34" s="189"/>
      <c r="F34" s="190"/>
      <c r="G34" s="198"/>
      <c r="H34" s="199"/>
      <c r="I34" s="295"/>
      <c r="J34" s="296">
        <v>29465</v>
      </c>
      <c r="K34" s="297">
        <f t="shared" si="0"/>
        <v>29465</v>
      </c>
      <c r="L34" s="194"/>
    </row>
    <row r="35" spans="1:12" ht="20.100000000000001" customHeight="1" x14ac:dyDescent="0.3">
      <c r="A35" s="177">
        <v>32</v>
      </c>
      <c r="B35" s="188"/>
      <c r="C35" s="195">
        <v>53</v>
      </c>
      <c r="D35" s="196" t="s">
        <v>816</v>
      </c>
      <c r="E35" s="189">
        <f>F35+G35+K37+L36</f>
        <v>3000</v>
      </c>
      <c r="F35" s="190"/>
      <c r="G35" s="198"/>
      <c r="H35" s="199" t="s">
        <v>24</v>
      </c>
      <c r="I35" s="191"/>
      <c r="J35" s="192"/>
      <c r="K35" s="193"/>
      <c r="L35" s="194"/>
    </row>
    <row r="36" spans="1:12" ht="18" customHeight="1" x14ac:dyDescent="0.3">
      <c r="A36" s="177">
        <v>33</v>
      </c>
      <c r="B36" s="188"/>
      <c r="C36" s="195"/>
      <c r="D36" s="110" t="s">
        <v>239</v>
      </c>
      <c r="E36" s="189"/>
      <c r="F36" s="190"/>
      <c r="G36" s="198"/>
      <c r="H36" s="199"/>
      <c r="I36" s="191"/>
      <c r="J36" s="298">
        <v>3000</v>
      </c>
      <c r="K36" s="299">
        <f t="shared" si="0"/>
        <v>3000</v>
      </c>
      <c r="L36" s="194"/>
    </row>
    <row r="37" spans="1:12" ht="18" customHeight="1" x14ac:dyDescent="0.3">
      <c r="A37" s="177">
        <v>34</v>
      </c>
      <c r="B37" s="188"/>
      <c r="C37" s="195"/>
      <c r="D37" s="119" t="s">
        <v>702</v>
      </c>
      <c r="E37" s="189"/>
      <c r="F37" s="190"/>
      <c r="G37" s="198"/>
      <c r="H37" s="199"/>
      <c r="I37" s="191"/>
      <c r="J37" s="192">
        <v>3000</v>
      </c>
      <c r="K37" s="193">
        <f t="shared" si="0"/>
        <v>3000</v>
      </c>
      <c r="L37" s="194"/>
    </row>
    <row r="38" spans="1:12" ht="18" customHeight="1" x14ac:dyDescent="0.3">
      <c r="A38" s="177">
        <v>35</v>
      </c>
      <c r="B38" s="188"/>
      <c r="C38" s="195"/>
      <c r="D38" s="275" t="s">
        <v>745</v>
      </c>
      <c r="E38" s="189"/>
      <c r="F38" s="190"/>
      <c r="G38" s="198"/>
      <c r="H38" s="199"/>
      <c r="I38" s="295"/>
      <c r="J38" s="296">
        <v>3000</v>
      </c>
      <c r="K38" s="297">
        <f t="shared" si="0"/>
        <v>3000</v>
      </c>
      <c r="L38" s="194"/>
    </row>
    <row r="39" spans="1:12" ht="22.5" customHeight="1" x14ac:dyDescent="0.35">
      <c r="A39" s="177">
        <v>37</v>
      </c>
      <c r="B39" s="188"/>
      <c r="C39" s="195"/>
      <c r="D39" s="232" t="s">
        <v>610</v>
      </c>
      <c r="E39" s="189"/>
      <c r="F39" s="190"/>
      <c r="G39" s="198"/>
      <c r="H39" s="199" t="s">
        <v>23</v>
      </c>
      <c r="I39" s="191"/>
      <c r="J39" s="192"/>
      <c r="K39" s="193"/>
      <c r="L39" s="194"/>
    </row>
    <row r="40" spans="1:12" ht="20.100000000000001" customHeight="1" x14ac:dyDescent="0.3">
      <c r="A40" s="177">
        <v>38</v>
      </c>
      <c r="B40" s="188"/>
      <c r="C40" s="195">
        <v>67</v>
      </c>
      <c r="D40" s="234" t="s">
        <v>495</v>
      </c>
      <c r="E40" s="189">
        <f>F40+G40+K42+L41</f>
        <v>36855</v>
      </c>
      <c r="F40" s="190"/>
      <c r="G40" s="198">
        <v>36855</v>
      </c>
      <c r="H40" s="199"/>
      <c r="I40" s="191"/>
      <c r="J40" s="192"/>
      <c r="K40" s="193"/>
      <c r="L40" s="194"/>
    </row>
    <row r="41" spans="1:12" ht="18" customHeight="1" x14ac:dyDescent="0.3">
      <c r="A41" s="177">
        <v>39</v>
      </c>
      <c r="B41" s="188"/>
      <c r="C41" s="195"/>
      <c r="D41" s="110" t="s">
        <v>369</v>
      </c>
      <c r="E41" s="189"/>
      <c r="F41" s="190"/>
      <c r="G41" s="198"/>
      <c r="H41" s="199"/>
      <c r="I41" s="191"/>
      <c r="J41" s="298">
        <v>4145</v>
      </c>
      <c r="K41" s="299">
        <f t="shared" si="0"/>
        <v>4145</v>
      </c>
      <c r="L41" s="194"/>
    </row>
    <row r="42" spans="1:12" ht="18" customHeight="1" x14ac:dyDescent="0.3">
      <c r="A42" s="177">
        <v>40</v>
      </c>
      <c r="B42" s="188"/>
      <c r="C42" s="195"/>
      <c r="D42" s="119" t="s">
        <v>701</v>
      </c>
      <c r="E42" s="189"/>
      <c r="F42" s="190"/>
      <c r="G42" s="198"/>
      <c r="H42" s="199"/>
      <c r="I42" s="191"/>
      <c r="J42" s="192">
        <v>0</v>
      </c>
      <c r="K42" s="193">
        <f t="shared" si="0"/>
        <v>0</v>
      </c>
      <c r="L42" s="194"/>
    </row>
    <row r="43" spans="1:12" ht="18" customHeight="1" x14ac:dyDescent="0.3">
      <c r="A43" s="177">
        <v>41</v>
      </c>
      <c r="B43" s="188"/>
      <c r="C43" s="195"/>
      <c r="D43" s="275" t="s">
        <v>744</v>
      </c>
      <c r="E43" s="189"/>
      <c r="F43" s="190"/>
      <c r="G43" s="198"/>
      <c r="H43" s="199"/>
      <c r="I43" s="295"/>
      <c r="J43" s="296"/>
      <c r="K43" s="297">
        <f t="shared" si="0"/>
        <v>0</v>
      </c>
      <c r="L43" s="194"/>
    </row>
    <row r="44" spans="1:12" ht="22.5" customHeight="1" x14ac:dyDescent="0.35">
      <c r="A44" s="177">
        <v>43</v>
      </c>
      <c r="B44" s="188"/>
      <c r="C44" s="195"/>
      <c r="D44" s="232" t="s">
        <v>285</v>
      </c>
      <c r="E44" s="189"/>
      <c r="F44" s="190"/>
      <c r="G44" s="198"/>
      <c r="H44" s="199" t="s">
        <v>23</v>
      </c>
      <c r="I44" s="191"/>
      <c r="J44" s="192"/>
      <c r="K44" s="193"/>
      <c r="L44" s="194"/>
    </row>
    <row r="45" spans="1:12" ht="18" customHeight="1" x14ac:dyDescent="0.3">
      <c r="A45" s="177">
        <v>44</v>
      </c>
      <c r="B45" s="188"/>
      <c r="C45" s="195"/>
      <c r="D45" s="233" t="s">
        <v>405</v>
      </c>
      <c r="E45" s="189"/>
      <c r="F45" s="190"/>
      <c r="G45" s="198"/>
      <c r="H45" s="199"/>
      <c r="I45" s="191"/>
      <c r="J45" s="192"/>
      <c r="K45" s="193"/>
      <c r="L45" s="194"/>
    </row>
    <row r="46" spans="1:12" ht="18" customHeight="1" x14ac:dyDescent="0.3">
      <c r="A46" s="177">
        <v>45</v>
      </c>
      <c r="B46" s="188"/>
      <c r="C46" s="195">
        <v>68</v>
      </c>
      <c r="D46" s="235" t="s">
        <v>505</v>
      </c>
      <c r="E46" s="189">
        <f>F46+G46+K48+L47</f>
        <v>3000</v>
      </c>
      <c r="F46" s="190"/>
      <c r="G46" s="198"/>
      <c r="H46" s="199"/>
      <c r="I46" s="191"/>
      <c r="J46" s="192"/>
      <c r="K46" s="193"/>
      <c r="L46" s="194"/>
    </row>
    <row r="47" spans="1:12" ht="18" customHeight="1" x14ac:dyDescent="0.3">
      <c r="A47" s="177">
        <v>46</v>
      </c>
      <c r="B47" s="188"/>
      <c r="C47" s="195"/>
      <c r="D47" s="110" t="s">
        <v>369</v>
      </c>
      <c r="E47" s="189"/>
      <c r="F47" s="190"/>
      <c r="G47" s="198"/>
      <c r="H47" s="199"/>
      <c r="I47" s="191"/>
      <c r="J47" s="298">
        <v>3000</v>
      </c>
      <c r="K47" s="299">
        <f t="shared" si="0"/>
        <v>3000</v>
      </c>
      <c r="L47" s="194"/>
    </row>
    <row r="48" spans="1:12" ht="18" customHeight="1" x14ac:dyDescent="0.3">
      <c r="A48" s="177">
        <v>47</v>
      </c>
      <c r="B48" s="188"/>
      <c r="C48" s="195"/>
      <c r="D48" s="119" t="s">
        <v>701</v>
      </c>
      <c r="E48" s="189"/>
      <c r="F48" s="190"/>
      <c r="G48" s="198"/>
      <c r="H48" s="199"/>
      <c r="I48" s="191"/>
      <c r="J48" s="192">
        <v>3000</v>
      </c>
      <c r="K48" s="193">
        <f t="shared" si="0"/>
        <v>3000</v>
      </c>
      <c r="L48" s="197"/>
    </row>
    <row r="49" spans="1:12" ht="18" customHeight="1" x14ac:dyDescent="0.3">
      <c r="A49" s="177">
        <v>48</v>
      </c>
      <c r="B49" s="188"/>
      <c r="C49" s="195"/>
      <c r="D49" s="275" t="s">
        <v>744</v>
      </c>
      <c r="E49" s="189"/>
      <c r="F49" s="190"/>
      <c r="G49" s="198"/>
      <c r="H49" s="199"/>
      <c r="I49" s="295"/>
      <c r="J49" s="296">
        <v>2986</v>
      </c>
      <c r="K49" s="297">
        <f t="shared" si="0"/>
        <v>2986</v>
      </c>
      <c r="L49" s="197"/>
    </row>
    <row r="50" spans="1:12" ht="22.5" customHeight="1" x14ac:dyDescent="0.35">
      <c r="A50" s="177">
        <v>50</v>
      </c>
      <c r="B50" s="188"/>
      <c r="C50" s="165"/>
      <c r="D50" s="236" t="s">
        <v>620</v>
      </c>
      <c r="E50" s="189"/>
      <c r="F50" s="190"/>
      <c r="G50" s="198"/>
      <c r="H50" s="199" t="s">
        <v>23</v>
      </c>
      <c r="I50" s="192"/>
      <c r="J50" s="192"/>
      <c r="K50" s="200"/>
      <c r="L50" s="197"/>
    </row>
    <row r="51" spans="1:12" ht="20.100000000000001" customHeight="1" x14ac:dyDescent="0.3">
      <c r="A51" s="177">
        <v>51</v>
      </c>
      <c r="B51" s="188"/>
      <c r="C51" s="195">
        <v>43</v>
      </c>
      <c r="D51" s="210" t="s">
        <v>407</v>
      </c>
      <c r="E51" s="189">
        <f>F51+G51+K53+L52</f>
        <v>38341</v>
      </c>
      <c r="F51" s="190"/>
      <c r="G51" s="198"/>
      <c r="H51" s="199"/>
      <c r="I51" s="192"/>
      <c r="J51" s="192"/>
      <c r="K51" s="200"/>
      <c r="L51" s="197"/>
    </row>
    <row r="52" spans="1:12" ht="18" customHeight="1" x14ac:dyDescent="0.3">
      <c r="A52" s="177">
        <v>52</v>
      </c>
      <c r="B52" s="188"/>
      <c r="C52" s="165"/>
      <c r="D52" s="201" t="s">
        <v>369</v>
      </c>
      <c r="E52" s="189"/>
      <c r="F52" s="190"/>
      <c r="G52" s="198"/>
      <c r="H52" s="199"/>
      <c r="I52" s="192"/>
      <c r="J52" s="298">
        <v>38341</v>
      </c>
      <c r="K52" s="315">
        <f>SUM(I52:J52)</f>
        <v>38341</v>
      </c>
      <c r="L52" s="197"/>
    </row>
    <row r="53" spans="1:12" ht="18" customHeight="1" x14ac:dyDescent="0.3">
      <c r="A53" s="177">
        <v>53</v>
      </c>
      <c r="B53" s="188"/>
      <c r="C53" s="165"/>
      <c r="D53" s="119" t="s">
        <v>701</v>
      </c>
      <c r="E53" s="189"/>
      <c r="F53" s="190"/>
      <c r="G53" s="198"/>
      <c r="H53" s="199"/>
      <c r="I53" s="192"/>
      <c r="J53" s="192">
        <v>38341</v>
      </c>
      <c r="K53" s="200">
        <f>SUM(I53:J53)</f>
        <v>38341</v>
      </c>
      <c r="L53" s="197"/>
    </row>
    <row r="54" spans="1:12" ht="18" customHeight="1" x14ac:dyDescent="0.3">
      <c r="A54" s="177">
        <v>54</v>
      </c>
      <c r="B54" s="188"/>
      <c r="C54" s="165"/>
      <c r="D54" s="275" t="s">
        <v>744</v>
      </c>
      <c r="E54" s="189"/>
      <c r="F54" s="190"/>
      <c r="G54" s="198"/>
      <c r="H54" s="199"/>
      <c r="I54" s="296"/>
      <c r="J54" s="296">
        <v>38250</v>
      </c>
      <c r="K54" s="203">
        <f>SUM(I54:J54)</f>
        <v>38250</v>
      </c>
      <c r="L54" s="197"/>
    </row>
    <row r="55" spans="1:12" ht="20.100000000000001" customHeight="1" x14ac:dyDescent="0.3">
      <c r="A55" s="177">
        <v>56</v>
      </c>
      <c r="B55" s="188"/>
      <c r="C55" s="195">
        <v>48</v>
      </c>
      <c r="D55" s="210" t="s">
        <v>406</v>
      </c>
      <c r="E55" s="189">
        <f>F55+G55+K57+L56</f>
        <v>8682</v>
      </c>
      <c r="F55" s="190"/>
      <c r="G55" s="198"/>
      <c r="H55" s="199" t="s">
        <v>23</v>
      </c>
      <c r="I55" s="192"/>
      <c r="J55" s="192"/>
      <c r="K55" s="200"/>
      <c r="L55" s="197"/>
    </row>
    <row r="56" spans="1:12" ht="18" customHeight="1" x14ac:dyDescent="0.3">
      <c r="A56" s="177">
        <v>57</v>
      </c>
      <c r="B56" s="188"/>
      <c r="C56" s="165"/>
      <c r="D56" s="163" t="s">
        <v>369</v>
      </c>
      <c r="E56" s="189"/>
      <c r="F56" s="190"/>
      <c r="G56" s="198"/>
      <c r="H56" s="199"/>
      <c r="I56" s="192"/>
      <c r="J56" s="298">
        <v>8800</v>
      </c>
      <c r="K56" s="315">
        <f>SUM(I56:J56)</f>
        <v>8800</v>
      </c>
      <c r="L56" s="197"/>
    </row>
    <row r="57" spans="1:12" ht="18" customHeight="1" x14ac:dyDescent="0.3">
      <c r="A57" s="177">
        <v>58</v>
      </c>
      <c r="B57" s="188"/>
      <c r="C57" s="165"/>
      <c r="D57" s="119" t="s">
        <v>701</v>
      </c>
      <c r="E57" s="189"/>
      <c r="F57" s="190"/>
      <c r="G57" s="198"/>
      <c r="H57" s="199"/>
      <c r="I57" s="191"/>
      <c r="J57" s="192">
        <v>8682</v>
      </c>
      <c r="K57" s="200">
        <f>SUM(I57:J57)</f>
        <v>8682</v>
      </c>
      <c r="L57" s="197"/>
    </row>
    <row r="58" spans="1:12" ht="18" customHeight="1" x14ac:dyDescent="0.3">
      <c r="A58" s="177">
        <v>59</v>
      </c>
      <c r="B58" s="188"/>
      <c r="C58" s="165"/>
      <c r="D58" s="275" t="s">
        <v>744</v>
      </c>
      <c r="E58" s="189"/>
      <c r="F58" s="190"/>
      <c r="G58" s="198"/>
      <c r="H58" s="199"/>
      <c r="I58" s="295"/>
      <c r="J58" s="296">
        <v>8682</v>
      </c>
      <c r="K58" s="297">
        <f>SUM(I58:J58)</f>
        <v>8682</v>
      </c>
      <c r="L58" s="197"/>
    </row>
    <row r="59" spans="1:12" ht="34.5" customHeight="1" x14ac:dyDescent="0.3">
      <c r="A59" s="177">
        <v>61</v>
      </c>
      <c r="B59" s="212"/>
      <c r="C59" s="355">
        <v>79</v>
      </c>
      <c r="D59" s="210" t="s">
        <v>659</v>
      </c>
      <c r="E59" s="189">
        <f>F59+G59+K60</f>
        <v>438</v>
      </c>
      <c r="F59" s="190"/>
      <c r="G59" s="290"/>
      <c r="H59" s="291" t="s">
        <v>23</v>
      </c>
      <c r="I59" s="292"/>
      <c r="J59" s="293"/>
      <c r="K59" s="213"/>
      <c r="L59" s="187"/>
    </row>
    <row r="60" spans="1:12" ht="18" customHeight="1" x14ac:dyDescent="0.3">
      <c r="A60" s="177">
        <v>62</v>
      </c>
      <c r="B60" s="212"/>
      <c r="C60" s="355"/>
      <c r="D60" s="119" t="s">
        <v>701</v>
      </c>
      <c r="E60" s="189"/>
      <c r="F60" s="190"/>
      <c r="G60" s="290"/>
      <c r="H60" s="291"/>
      <c r="I60" s="292"/>
      <c r="J60" s="293">
        <v>438</v>
      </c>
      <c r="K60" s="200">
        <f>SUM(I60:J60)</f>
        <v>438</v>
      </c>
      <c r="L60" s="187"/>
    </row>
    <row r="61" spans="1:12" ht="20.100000000000001" customHeight="1" x14ac:dyDescent="0.3">
      <c r="A61" s="177">
        <v>63</v>
      </c>
      <c r="B61" s="212"/>
      <c r="C61" s="289"/>
      <c r="D61" s="275" t="s">
        <v>744</v>
      </c>
      <c r="E61" s="189"/>
      <c r="F61" s="190"/>
      <c r="G61" s="290"/>
      <c r="H61" s="291"/>
      <c r="I61" s="292"/>
      <c r="J61" s="317">
        <v>438</v>
      </c>
      <c r="K61" s="297">
        <f t="shared" ref="K61" si="1">SUM(I61:J61)</f>
        <v>438</v>
      </c>
      <c r="L61" s="187"/>
    </row>
    <row r="62" spans="1:12" ht="22.5" customHeight="1" x14ac:dyDescent="0.35">
      <c r="A62" s="177">
        <v>65</v>
      </c>
      <c r="B62" s="188"/>
      <c r="C62" s="195"/>
      <c r="D62" s="237" t="s">
        <v>282</v>
      </c>
      <c r="E62" s="180"/>
      <c r="F62" s="181"/>
      <c r="G62" s="198"/>
      <c r="H62" s="199" t="s">
        <v>23</v>
      </c>
      <c r="I62" s="191"/>
      <c r="J62" s="192"/>
      <c r="K62" s="193"/>
      <c r="L62" s="194"/>
    </row>
    <row r="63" spans="1:12" ht="18" customHeight="1" x14ac:dyDescent="0.3">
      <c r="A63" s="177">
        <v>66</v>
      </c>
      <c r="B63" s="188"/>
      <c r="C63" s="195">
        <v>70</v>
      </c>
      <c r="D63" s="210" t="s">
        <v>408</v>
      </c>
      <c r="E63" s="189"/>
      <c r="F63" s="190"/>
      <c r="G63" s="198"/>
      <c r="H63" s="199"/>
      <c r="I63" s="191"/>
      <c r="J63" s="192"/>
      <c r="K63" s="193"/>
      <c r="L63" s="194"/>
    </row>
    <row r="64" spans="1:12" ht="18" customHeight="1" x14ac:dyDescent="0.3">
      <c r="A64" s="177">
        <v>67</v>
      </c>
      <c r="B64" s="188"/>
      <c r="C64" s="195"/>
      <c r="D64" s="210" t="s">
        <v>409</v>
      </c>
      <c r="E64" s="189">
        <f>F64+G64+K66+L65</f>
        <v>26000</v>
      </c>
      <c r="F64" s="190"/>
      <c r="G64" s="198"/>
      <c r="H64" s="199"/>
      <c r="I64" s="191"/>
      <c r="J64" s="192"/>
      <c r="K64" s="200"/>
      <c r="L64" s="194"/>
    </row>
    <row r="65" spans="1:12" ht="18" customHeight="1" x14ac:dyDescent="0.3">
      <c r="A65" s="177">
        <v>68</v>
      </c>
      <c r="B65" s="188"/>
      <c r="C65" s="195"/>
      <c r="D65" s="163" t="s">
        <v>369</v>
      </c>
      <c r="E65" s="189"/>
      <c r="F65" s="190"/>
      <c r="G65" s="198"/>
      <c r="H65" s="199"/>
      <c r="I65" s="191"/>
      <c r="J65" s="298">
        <v>26000</v>
      </c>
      <c r="K65" s="315">
        <f>SUM(I65:J65)</f>
        <v>26000</v>
      </c>
      <c r="L65" s="194"/>
    </row>
    <row r="66" spans="1:12" ht="18" customHeight="1" x14ac:dyDescent="0.3">
      <c r="A66" s="177">
        <v>69</v>
      </c>
      <c r="B66" s="188"/>
      <c r="C66" s="195"/>
      <c r="D66" s="119" t="s">
        <v>701</v>
      </c>
      <c r="E66" s="189"/>
      <c r="F66" s="190"/>
      <c r="G66" s="198"/>
      <c r="H66" s="199"/>
      <c r="I66" s="191"/>
      <c r="J66" s="192">
        <v>26000</v>
      </c>
      <c r="K66" s="200">
        <f>SUM(I66:J66)</f>
        <v>26000</v>
      </c>
      <c r="L66" s="194"/>
    </row>
    <row r="67" spans="1:12" ht="18" customHeight="1" x14ac:dyDescent="0.3">
      <c r="A67" s="177">
        <v>70</v>
      </c>
      <c r="B67" s="188"/>
      <c r="C67" s="195"/>
      <c r="D67" s="275" t="s">
        <v>744</v>
      </c>
      <c r="E67" s="189"/>
      <c r="F67" s="190"/>
      <c r="G67" s="198"/>
      <c r="H67" s="199"/>
      <c r="I67" s="295"/>
      <c r="J67" s="296">
        <v>1067</v>
      </c>
      <c r="K67" s="203">
        <f>SUM(I67:J67)</f>
        <v>1067</v>
      </c>
      <c r="L67" s="194"/>
    </row>
    <row r="68" spans="1:12" ht="22.5" customHeight="1" x14ac:dyDescent="0.35">
      <c r="A68" s="177">
        <v>72</v>
      </c>
      <c r="B68" s="188"/>
      <c r="C68" s="195"/>
      <c r="D68" s="232" t="s">
        <v>30</v>
      </c>
      <c r="E68" s="189"/>
      <c r="F68" s="190"/>
      <c r="G68" s="198"/>
      <c r="H68" s="199" t="s">
        <v>23</v>
      </c>
      <c r="I68" s="191"/>
      <c r="J68" s="192"/>
      <c r="K68" s="193"/>
      <c r="L68" s="194"/>
    </row>
    <row r="69" spans="1:12" ht="18" customHeight="1" x14ac:dyDescent="0.3">
      <c r="A69" s="177">
        <v>73</v>
      </c>
      <c r="B69" s="188"/>
      <c r="C69" s="195">
        <v>75</v>
      </c>
      <c r="D69" s="210" t="s">
        <v>519</v>
      </c>
      <c r="E69" s="189">
        <f>F69+G69+K71+L70</f>
        <v>3500</v>
      </c>
      <c r="F69" s="190"/>
      <c r="G69" s="198"/>
      <c r="H69" s="199"/>
      <c r="I69" s="191"/>
      <c r="J69" s="192"/>
      <c r="K69" s="193"/>
      <c r="L69" s="194"/>
    </row>
    <row r="70" spans="1:12" ht="18" customHeight="1" x14ac:dyDescent="0.3">
      <c r="A70" s="177">
        <v>74</v>
      </c>
      <c r="B70" s="188"/>
      <c r="C70" s="195"/>
      <c r="D70" s="110" t="s">
        <v>369</v>
      </c>
      <c r="E70" s="189"/>
      <c r="F70" s="190"/>
      <c r="G70" s="198"/>
      <c r="H70" s="199"/>
      <c r="I70" s="191"/>
      <c r="J70" s="298">
        <v>3500</v>
      </c>
      <c r="K70" s="299">
        <f t="shared" si="0"/>
        <v>3500</v>
      </c>
      <c r="L70" s="194"/>
    </row>
    <row r="71" spans="1:12" ht="18" customHeight="1" x14ac:dyDescent="0.3">
      <c r="A71" s="177">
        <v>75</v>
      </c>
      <c r="B71" s="188"/>
      <c r="C71" s="195"/>
      <c r="D71" s="119" t="s">
        <v>701</v>
      </c>
      <c r="E71" s="189"/>
      <c r="F71" s="190"/>
      <c r="G71" s="198"/>
      <c r="H71" s="199"/>
      <c r="I71" s="191"/>
      <c r="J71" s="192">
        <v>3500</v>
      </c>
      <c r="K71" s="193">
        <f t="shared" si="0"/>
        <v>3500</v>
      </c>
      <c r="L71" s="194"/>
    </row>
    <row r="72" spans="1:12" ht="18" customHeight="1" x14ac:dyDescent="0.3">
      <c r="A72" s="177">
        <v>76</v>
      </c>
      <c r="B72" s="188"/>
      <c r="C72" s="195"/>
      <c r="D72" s="275" t="s">
        <v>744</v>
      </c>
      <c r="E72" s="189"/>
      <c r="F72" s="190"/>
      <c r="G72" s="198"/>
      <c r="H72" s="199"/>
      <c r="I72" s="295"/>
      <c r="J72" s="296">
        <v>3420</v>
      </c>
      <c r="K72" s="297">
        <f t="shared" si="0"/>
        <v>3420</v>
      </c>
      <c r="L72" s="194"/>
    </row>
    <row r="73" spans="1:12" ht="22.5" customHeight="1" x14ac:dyDescent="0.35">
      <c r="A73" s="177">
        <v>78</v>
      </c>
      <c r="B73" s="188"/>
      <c r="C73" s="195">
        <v>78</v>
      </c>
      <c r="D73" s="261" t="s">
        <v>520</v>
      </c>
      <c r="E73" s="189">
        <f>F73+G73+K75+L74</f>
        <v>270000</v>
      </c>
      <c r="F73" s="190"/>
      <c r="G73" s="198">
        <v>7430</v>
      </c>
      <c r="H73" s="199" t="s">
        <v>23</v>
      </c>
      <c r="I73" s="191"/>
      <c r="J73" s="192"/>
      <c r="K73" s="193"/>
      <c r="L73" s="194"/>
    </row>
    <row r="74" spans="1:12" ht="18" customHeight="1" x14ac:dyDescent="0.3">
      <c r="A74" s="177">
        <v>79</v>
      </c>
      <c r="B74" s="188"/>
      <c r="C74" s="195"/>
      <c r="D74" s="110" t="s">
        <v>369</v>
      </c>
      <c r="E74" s="189"/>
      <c r="F74" s="190"/>
      <c r="G74" s="198"/>
      <c r="H74" s="199"/>
      <c r="I74" s="191"/>
      <c r="J74" s="298">
        <v>262570</v>
      </c>
      <c r="K74" s="299">
        <f t="shared" si="0"/>
        <v>262570</v>
      </c>
      <c r="L74" s="194"/>
    </row>
    <row r="75" spans="1:12" ht="18" customHeight="1" x14ac:dyDescent="0.3">
      <c r="A75" s="177">
        <v>80</v>
      </c>
      <c r="B75" s="212"/>
      <c r="C75" s="289"/>
      <c r="D75" s="119" t="s">
        <v>701</v>
      </c>
      <c r="E75" s="189"/>
      <c r="F75" s="190"/>
      <c r="G75" s="290"/>
      <c r="H75" s="291"/>
      <c r="I75" s="292"/>
      <c r="J75" s="293">
        <v>262570</v>
      </c>
      <c r="K75" s="193">
        <f t="shared" si="0"/>
        <v>262570</v>
      </c>
      <c r="L75" s="187"/>
    </row>
    <row r="76" spans="1:12" ht="18" customHeight="1" x14ac:dyDescent="0.3">
      <c r="A76" s="177">
        <v>81</v>
      </c>
      <c r="B76" s="212"/>
      <c r="C76" s="289"/>
      <c r="D76" s="275" t="s">
        <v>744</v>
      </c>
      <c r="E76" s="189"/>
      <c r="F76" s="190"/>
      <c r="G76" s="290"/>
      <c r="H76" s="291"/>
      <c r="I76" s="316"/>
      <c r="J76" s="317">
        <v>10097</v>
      </c>
      <c r="K76" s="297">
        <f t="shared" si="0"/>
        <v>10097</v>
      </c>
      <c r="L76" s="187"/>
    </row>
    <row r="77" spans="1:12" ht="56.25" customHeight="1" x14ac:dyDescent="0.35">
      <c r="A77" s="177">
        <v>83</v>
      </c>
      <c r="B77" s="212"/>
      <c r="C77" s="355">
        <v>81</v>
      </c>
      <c r="D77" s="261" t="s">
        <v>706</v>
      </c>
      <c r="E77" s="364">
        <f>F77+G77+K78</f>
        <v>3707</v>
      </c>
      <c r="F77" s="357"/>
      <c r="G77" s="290"/>
      <c r="H77" s="291" t="s">
        <v>23</v>
      </c>
      <c r="I77" s="292"/>
      <c r="J77" s="293"/>
      <c r="K77" s="213"/>
      <c r="L77" s="187"/>
    </row>
    <row r="78" spans="1:12" ht="18" customHeight="1" x14ac:dyDescent="0.3">
      <c r="A78" s="177">
        <v>84</v>
      </c>
      <c r="B78" s="212"/>
      <c r="C78" s="355"/>
      <c r="D78" s="119" t="s">
        <v>701</v>
      </c>
      <c r="E78" s="364"/>
      <c r="F78" s="357"/>
      <c r="G78" s="290"/>
      <c r="H78" s="291"/>
      <c r="I78" s="292"/>
      <c r="J78" s="293">
        <v>3707</v>
      </c>
      <c r="K78" s="193">
        <f t="shared" ref="K78" si="2">SUM(I78:J78)</f>
        <v>3707</v>
      </c>
      <c r="L78" s="187"/>
    </row>
    <row r="79" spans="1:12" ht="18" customHeight="1" thickBot="1" x14ac:dyDescent="0.35">
      <c r="A79" s="177">
        <v>85</v>
      </c>
      <c r="B79" s="212"/>
      <c r="C79" s="289"/>
      <c r="D79" s="275" t="s">
        <v>744</v>
      </c>
      <c r="E79" s="189"/>
      <c r="F79" s="190"/>
      <c r="G79" s="290"/>
      <c r="H79" s="291"/>
      <c r="I79" s="292"/>
      <c r="J79" s="293"/>
      <c r="K79" s="297">
        <f t="shared" ref="K79" si="3">SUM(I79:J79)</f>
        <v>0</v>
      </c>
      <c r="L79" s="187"/>
    </row>
    <row r="80" spans="1:12" ht="25.15" customHeight="1" thickTop="1" x14ac:dyDescent="0.3">
      <c r="A80" s="177">
        <v>87</v>
      </c>
      <c r="B80" s="238"/>
      <c r="C80" s="239"/>
      <c r="D80" s="1344" t="s">
        <v>13</v>
      </c>
      <c r="E80" s="1344"/>
      <c r="F80" s="1344"/>
      <c r="G80" s="1345"/>
      <c r="H80" s="240"/>
      <c r="I80" s="251"/>
      <c r="J80" s="252"/>
      <c r="K80" s="241"/>
      <c r="L80" s="253"/>
    </row>
    <row r="81" spans="1:252" ht="20.100000000000001" customHeight="1" x14ac:dyDescent="0.3">
      <c r="A81" s="177">
        <v>88</v>
      </c>
      <c r="B81" s="300"/>
      <c r="C81" s="301"/>
      <c r="D81" s="110" t="s">
        <v>239</v>
      </c>
      <c r="E81" s="278"/>
      <c r="F81" s="278"/>
      <c r="G81" s="303"/>
      <c r="H81" s="294"/>
      <c r="I81" s="318">
        <f>I74+I70+I65+I56+I52+I47+I41+I36+I32+I28+I21+I15+I11</f>
        <v>0</v>
      </c>
      <c r="J81" s="318">
        <f>J74+J70+J65+J56+J52+J47+J41+J36+J32+J28+J21+J15+J11</f>
        <v>588483</v>
      </c>
      <c r="K81" s="319">
        <f>SUM(I81:J81)</f>
        <v>588483</v>
      </c>
      <c r="L81" s="304"/>
    </row>
    <row r="82" spans="1:252" ht="20.100000000000001" customHeight="1" x14ac:dyDescent="0.3">
      <c r="A82" s="177">
        <v>89</v>
      </c>
      <c r="B82" s="300"/>
      <c r="C82" s="301"/>
      <c r="D82" s="119" t="s">
        <v>702</v>
      </c>
      <c r="E82" s="278"/>
      <c r="F82" s="278"/>
      <c r="G82" s="303"/>
      <c r="H82" s="244"/>
      <c r="I82" s="245">
        <f>I75+I71+I66+I57+I53+I48+I42+I37+I33+I29+I22+I16+I12+I60+I78</f>
        <v>0</v>
      </c>
      <c r="J82" s="245">
        <f>J75+J71+J66+J57+J53+J48+J42+J37+J33+J29+J22+J16+J12+J60+J78</f>
        <v>588365</v>
      </c>
      <c r="K82" s="247">
        <f>SUM(I82:J82)</f>
        <v>588365</v>
      </c>
      <c r="L82" s="246"/>
    </row>
    <row r="83" spans="1:252" ht="20.100000000000001" customHeight="1" thickBot="1" x14ac:dyDescent="0.35">
      <c r="A83" s="177">
        <v>90</v>
      </c>
      <c r="B83" s="460"/>
      <c r="C83" s="461"/>
      <c r="D83" s="462" t="s">
        <v>745</v>
      </c>
      <c r="E83" s="463"/>
      <c r="F83" s="463"/>
      <c r="G83" s="464"/>
      <c r="H83" s="465"/>
      <c r="I83" s="466">
        <f>I76+I72+I67+I58+I54+I49+I43+I38+I34+I30+I23+I17+I13+I61+I79</f>
        <v>0</v>
      </c>
      <c r="J83" s="466">
        <f>J76+J72+J67+J58+J54+J49+J43+J38+J34+J30+J23+J17+J13+J61+J79</f>
        <v>174467</v>
      </c>
      <c r="K83" s="467">
        <f>SUM(I83:J83)</f>
        <v>174467</v>
      </c>
      <c r="L83" s="468"/>
    </row>
    <row r="84" spans="1:252" ht="20.100000000000001" customHeight="1" thickTop="1" x14ac:dyDescent="0.3">
      <c r="A84" s="177">
        <v>92</v>
      </c>
      <c r="B84" s="249"/>
      <c r="C84" s="250"/>
      <c r="D84" s="1371" t="s">
        <v>92</v>
      </c>
      <c r="E84" s="1372"/>
      <c r="F84" s="1372"/>
      <c r="G84" s="1373"/>
      <c r="H84" s="305"/>
      <c r="I84" s="306"/>
      <c r="J84" s="306"/>
      <c r="K84" s="248"/>
      <c r="L84" s="307"/>
    </row>
    <row r="85" spans="1:252" ht="20.100000000000001" customHeight="1" x14ac:dyDescent="0.3">
      <c r="A85" s="177">
        <v>93</v>
      </c>
      <c r="B85" s="242"/>
      <c r="C85" s="243"/>
      <c r="D85" s="280" t="s">
        <v>239</v>
      </c>
      <c r="E85" s="288"/>
      <c r="F85" s="288"/>
      <c r="G85" s="287"/>
      <c r="H85" s="244"/>
      <c r="I85" s="192">
        <f>I70+I65+I56+I52+I47+I41+I21+I15</f>
        <v>0</v>
      </c>
      <c r="J85" s="192">
        <f>J70+J65+J56+J52+J47+J41+J21+J15+J74</f>
        <v>384764</v>
      </c>
      <c r="K85" s="247">
        <f>SUM(I85:J85)</f>
        <v>384764</v>
      </c>
      <c r="L85" s="246"/>
    </row>
    <row r="86" spans="1:252" ht="20.100000000000001" customHeight="1" x14ac:dyDescent="0.3">
      <c r="A86" s="177">
        <v>94</v>
      </c>
      <c r="B86" s="242"/>
      <c r="C86" s="243"/>
      <c r="D86" s="119" t="s">
        <v>702</v>
      </c>
      <c r="E86" s="288"/>
      <c r="F86" s="288"/>
      <c r="G86" s="287"/>
      <c r="H86" s="244"/>
      <c r="I86" s="192">
        <f>I71+I66+I57+I53+I48+I42+I22+I16+I75+I60+I78</f>
        <v>0</v>
      </c>
      <c r="J86" s="192">
        <f>J71+J66+J57+J53+J48+J42+J22+J16+J75+J60+J78</f>
        <v>384646</v>
      </c>
      <c r="K86" s="247">
        <f>SUM(I86:J86)</f>
        <v>384646</v>
      </c>
      <c r="L86" s="246"/>
    </row>
    <row r="87" spans="1:252" ht="20.100000000000001" customHeight="1" x14ac:dyDescent="0.3">
      <c r="A87" s="177">
        <v>95</v>
      </c>
      <c r="B87" s="242"/>
      <c r="C87" s="243"/>
      <c r="D87" s="275" t="s">
        <v>745</v>
      </c>
      <c r="E87" s="283"/>
      <c r="F87" s="283"/>
      <c r="G87" s="277"/>
      <c r="H87" s="244"/>
      <c r="I87" s="296">
        <f>I72+I67+I58+I54+I49+I43+I23+I17+I61+I79+I76</f>
        <v>0</v>
      </c>
      <c r="J87" s="296">
        <f>J72+J67+J58+J54+J49+J43+J23+J17+J61+J79+J76</f>
        <v>84027</v>
      </c>
      <c r="K87" s="297">
        <f t="shared" ref="K87" si="4">SUM(I87:J87)</f>
        <v>84027</v>
      </c>
      <c r="L87" s="246"/>
    </row>
    <row r="88" spans="1:252" ht="20.100000000000001" customHeight="1" x14ac:dyDescent="0.3">
      <c r="A88" s="177">
        <v>97</v>
      </c>
      <c r="B88" s="242"/>
      <c r="C88" s="243"/>
      <c r="D88" s="308" t="s">
        <v>93</v>
      </c>
      <c r="E88" s="288"/>
      <c r="F88" s="288"/>
      <c r="G88" s="284"/>
      <c r="H88" s="244"/>
      <c r="I88" s="192"/>
      <c r="J88" s="192"/>
      <c r="K88" s="247"/>
      <c r="L88" s="246"/>
    </row>
    <row r="89" spans="1:252" ht="20.100000000000001" customHeight="1" x14ac:dyDescent="0.3">
      <c r="A89" s="177">
        <v>98</v>
      </c>
      <c r="B89" s="300"/>
      <c r="C89" s="301"/>
      <c r="D89" s="285" t="s">
        <v>239</v>
      </c>
      <c r="E89" s="309"/>
      <c r="F89" s="309"/>
      <c r="G89" s="286"/>
      <c r="H89" s="310"/>
      <c r="I89" s="311">
        <f>I36+I32+I11</f>
        <v>0</v>
      </c>
      <c r="J89" s="311">
        <f>J36+J32+J11+J28</f>
        <v>203719</v>
      </c>
      <c r="K89" s="202">
        <f>SUM(I89:J89)</f>
        <v>203719</v>
      </c>
      <c r="L89" s="312"/>
    </row>
    <row r="90" spans="1:252" ht="20.100000000000001" customHeight="1" x14ac:dyDescent="0.3">
      <c r="A90" s="177">
        <v>99</v>
      </c>
      <c r="B90" s="300"/>
      <c r="C90" s="301"/>
      <c r="D90" s="119" t="s">
        <v>702</v>
      </c>
      <c r="E90" s="309"/>
      <c r="F90" s="309"/>
      <c r="G90" s="286"/>
      <c r="H90" s="363"/>
      <c r="I90" s="311">
        <f>I37+I33+I12+I29</f>
        <v>0</v>
      </c>
      <c r="J90" s="311">
        <f>J37+J33+J12+J29</f>
        <v>203719</v>
      </c>
      <c r="K90" s="202">
        <f>SUM(I90:J90)</f>
        <v>203719</v>
      </c>
      <c r="L90" s="312"/>
    </row>
    <row r="91" spans="1:252" ht="20.100000000000001" customHeight="1" thickBot="1" x14ac:dyDescent="0.35">
      <c r="A91" s="177">
        <v>100</v>
      </c>
      <c r="B91" s="300"/>
      <c r="C91" s="301"/>
      <c r="D91" s="427" t="s">
        <v>745</v>
      </c>
      <c r="E91" s="425"/>
      <c r="F91" s="425"/>
      <c r="G91" s="314"/>
      <c r="H91" s="363"/>
      <c r="I91" s="320">
        <f>I38+I34+I13+I30</f>
        <v>0</v>
      </c>
      <c r="J91" s="431">
        <f>J38+J34+J13+J30</f>
        <v>90440</v>
      </c>
      <c r="K91" s="203">
        <f t="shared" ref="K91" si="5">SUM(I91:J91)</f>
        <v>90440</v>
      </c>
      <c r="L91" s="312"/>
    </row>
    <row r="92" spans="1:252" ht="18" customHeight="1" x14ac:dyDescent="0.3">
      <c r="A92" s="177"/>
      <c r="B92" s="426" t="s">
        <v>25</v>
      </c>
      <c r="C92" s="426"/>
      <c r="D92" s="426"/>
      <c r="E92" s="428"/>
      <c r="F92" s="429"/>
      <c r="G92" s="428"/>
      <c r="H92" s="430"/>
      <c r="I92" s="428"/>
      <c r="J92" s="206"/>
      <c r="K92" s="428"/>
      <c r="L92" s="432"/>
    </row>
    <row r="93" spans="1:252" ht="18" customHeight="1" x14ac:dyDescent="0.3">
      <c r="A93" s="177"/>
      <c r="B93" s="205" t="s">
        <v>26</v>
      </c>
      <c r="C93" s="205"/>
      <c r="D93" s="205"/>
      <c r="E93" s="209"/>
      <c r="F93" s="207"/>
      <c r="G93" s="206"/>
      <c r="H93" s="208"/>
      <c r="I93" s="206"/>
      <c r="J93" s="206"/>
      <c r="K93" s="206"/>
    </row>
    <row r="94" spans="1:252" ht="18" customHeight="1" x14ac:dyDescent="0.3">
      <c r="A94" s="177"/>
      <c r="B94" s="205" t="s">
        <v>27</v>
      </c>
      <c r="C94" s="205"/>
      <c r="D94" s="205"/>
      <c r="E94" s="209"/>
      <c r="F94" s="207"/>
      <c r="G94" s="206"/>
      <c r="H94" s="208"/>
      <c r="I94" s="206"/>
      <c r="J94" s="206"/>
      <c r="K94" s="206"/>
    </row>
    <row r="95" spans="1:252" s="55" customFormat="1" x14ac:dyDescent="0.3">
      <c r="A95" s="168"/>
      <c r="B95" s="169"/>
      <c r="C95" s="170"/>
      <c r="D95" s="171"/>
      <c r="H95" s="172"/>
      <c r="L95" s="204"/>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c r="CW95" s="56"/>
      <c r="CX95" s="56"/>
      <c r="CY95" s="56"/>
      <c r="CZ95" s="56"/>
      <c r="DA95" s="56"/>
      <c r="DB95" s="56"/>
      <c r="DC95" s="56"/>
      <c r="DD95" s="56"/>
      <c r="DE95" s="56"/>
      <c r="DF95" s="56"/>
      <c r="DG95" s="56"/>
      <c r="DH95" s="56"/>
      <c r="DI95" s="56"/>
      <c r="DJ95" s="56"/>
      <c r="DK95" s="56"/>
      <c r="DL95" s="56"/>
      <c r="DM95" s="56"/>
      <c r="DN95" s="56"/>
      <c r="DO95" s="56"/>
      <c r="DP95" s="56"/>
      <c r="DQ95" s="56"/>
      <c r="DR95" s="56"/>
      <c r="DS95" s="56"/>
      <c r="DT95" s="56"/>
      <c r="DU95" s="56"/>
      <c r="DV95" s="56"/>
      <c r="DW95" s="56"/>
      <c r="DX95" s="56"/>
      <c r="DY95" s="56"/>
      <c r="DZ95" s="56"/>
      <c r="EA95" s="56"/>
      <c r="EB95" s="56"/>
      <c r="EC95" s="56"/>
      <c r="ED95" s="56"/>
      <c r="EE95" s="56"/>
      <c r="EF95" s="56"/>
      <c r="EG95" s="56"/>
      <c r="EH95" s="56"/>
      <c r="EI95" s="56"/>
      <c r="EJ95" s="56"/>
      <c r="EK95" s="56"/>
      <c r="EL95" s="56"/>
      <c r="EM95" s="56"/>
      <c r="EN95" s="56"/>
      <c r="EO95" s="56"/>
      <c r="EP95" s="56"/>
      <c r="EQ95" s="56"/>
      <c r="ER95" s="56"/>
      <c r="ES95" s="56"/>
      <c r="ET95" s="56"/>
      <c r="EU95" s="56"/>
      <c r="EV95" s="56"/>
      <c r="EW95" s="56"/>
      <c r="EX95" s="56"/>
      <c r="EY95" s="56"/>
      <c r="EZ95" s="56"/>
      <c r="FA95" s="56"/>
      <c r="FB95" s="56"/>
      <c r="FC95" s="56"/>
      <c r="FD95" s="56"/>
      <c r="FE95" s="56"/>
      <c r="FF95" s="56"/>
      <c r="FG95" s="56"/>
      <c r="FH95" s="56"/>
      <c r="FI95" s="56"/>
      <c r="FJ95" s="56"/>
      <c r="FK95" s="56"/>
      <c r="FL95" s="56"/>
      <c r="FM95" s="56"/>
      <c r="FN95" s="56"/>
      <c r="FO95" s="56"/>
      <c r="FP95" s="56"/>
      <c r="FQ95" s="56"/>
      <c r="FR95" s="56"/>
      <c r="FS95" s="56"/>
      <c r="FT95" s="56"/>
      <c r="FU95" s="56"/>
      <c r="FV95" s="56"/>
      <c r="FW95" s="56"/>
      <c r="FX95" s="56"/>
      <c r="FY95" s="56"/>
      <c r="FZ95" s="56"/>
      <c r="GA95" s="56"/>
      <c r="GB95" s="56"/>
      <c r="GC95" s="56"/>
      <c r="GD95" s="56"/>
      <c r="GE95" s="56"/>
      <c r="GF95" s="56"/>
      <c r="GG95" s="56"/>
      <c r="GH95" s="56"/>
      <c r="GI95" s="56"/>
      <c r="GJ95" s="56"/>
      <c r="GK95" s="56"/>
      <c r="GL95" s="56"/>
      <c r="GM95" s="56"/>
      <c r="GN95" s="56"/>
      <c r="GO95" s="56"/>
      <c r="GP95" s="56"/>
      <c r="GQ95" s="56"/>
      <c r="GR95" s="56"/>
      <c r="GS95" s="56"/>
      <c r="GT95" s="56"/>
      <c r="GU95" s="56"/>
      <c r="GV95" s="56"/>
      <c r="GW95" s="56"/>
      <c r="GX95" s="56"/>
      <c r="GY95" s="56"/>
      <c r="GZ95" s="56"/>
      <c r="HA95" s="56"/>
      <c r="HB95" s="56"/>
      <c r="HC95" s="56"/>
      <c r="HD95" s="56"/>
      <c r="HE95" s="56"/>
      <c r="HF95" s="56"/>
      <c r="HG95" s="56"/>
      <c r="HH95" s="56"/>
      <c r="HI95" s="56"/>
      <c r="HJ95" s="56"/>
      <c r="HK95" s="56"/>
      <c r="HL95" s="56"/>
      <c r="HM95" s="56"/>
      <c r="HN95" s="56"/>
      <c r="HO95" s="56"/>
      <c r="HP95" s="56"/>
      <c r="HQ95" s="56"/>
      <c r="HR95" s="56"/>
      <c r="HS95" s="56"/>
      <c r="HT95" s="56"/>
      <c r="HU95" s="56"/>
      <c r="HV95" s="56"/>
      <c r="HW95" s="56"/>
      <c r="HX95" s="56"/>
      <c r="HY95" s="56"/>
      <c r="HZ95" s="56"/>
      <c r="IA95" s="56"/>
      <c r="IB95" s="56"/>
      <c r="IC95" s="56"/>
      <c r="ID95" s="56"/>
      <c r="IE95" s="56"/>
      <c r="IF95" s="56"/>
      <c r="IG95" s="56"/>
      <c r="IH95" s="56"/>
      <c r="II95" s="56"/>
      <c r="IJ95" s="56"/>
      <c r="IK95" s="56"/>
      <c r="IL95" s="56"/>
      <c r="IM95" s="56"/>
      <c r="IN95" s="56"/>
      <c r="IO95" s="56"/>
      <c r="IP95" s="56"/>
      <c r="IQ95" s="56"/>
      <c r="IR95" s="56"/>
    </row>
  </sheetData>
  <mergeCells count="16">
    <mergeCell ref="D84:G84"/>
    <mergeCell ref="D80:G80"/>
    <mergeCell ref="B1:D1"/>
    <mergeCell ref="I1:L1"/>
    <mergeCell ref="B2:L2"/>
    <mergeCell ref="B3:L3"/>
    <mergeCell ref="B6:B8"/>
    <mergeCell ref="C6:C8"/>
    <mergeCell ref="D6:D8"/>
    <mergeCell ref="E6:E8"/>
    <mergeCell ref="F6:F8"/>
    <mergeCell ref="G6:G8"/>
    <mergeCell ref="I6:K6"/>
    <mergeCell ref="H6:H8"/>
    <mergeCell ref="L6:L8"/>
    <mergeCell ref="K7:K8"/>
  </mergeCells>
  <printOptions horizontalCentered="1"/>
  <pageMargins left="0.19685039370078741" right="0.19685039370078741" top="0.59055118110236227" bottom="0.59055118110236227" header="0.51181102362204722" footer="0.51181102362204722"/>
  <pageSetup paperSize="9" scale="58" fitToHeight="0" orientation="portrait"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14"/>
  <sheetViews>
    <sheetView view="pageBreakPreview" zoomScaleNormal="100" zoomScaleSheetLayoutView="100" workbookViewId="0">
      <selection activeCell="D58" sqref="D58"/>
    </sheetView>
  </sheetViews>
  <sheetFormatPr defaultColWidth="9.28515625" defaultRowHeight="17.25" x14ac:dyDescent="0.35"/>
  <cols>
    <col min="1" max="1" width="3.7109375" style="58" customWidth="1"/>
    <col min="2" max="3" width="5.7109375" style="78" customWidth="1"/>
    <col min="4" max="4" width="67.140625" style="16" customWidth="1"/>
    <col min="5" max="5" width="12.7109375" style="77" customWidth="1"/>
    <col min="6" max="7" width="10.7109375" style="77" customWidth="1"/>
    <col min="8" max="8" width="6.7109375" style="60" customWidth="1"/>
    <col min="9" max="14" width="14.7109375" style="77" customWidth="1"/>
    <col min="15" max="15" width="15.7109375" style="74" customWidth="1"/>
    <col min="16" max="16" width="13.7109375" style="77" customWidth="1"/>
    <col min="17" max="16384" width="9.28515625" style="16"/>
  </cols>
  <sheetData>
    <row r="1" spans="1:256" ht="18" customHeight="1" x14ac:dyDescent="0.3">
      <c r="B1" s="155" t="s">
        <v>760</v>
      </c>
      <c r="C1" s="155"/>
      <c r="D1" s="156"/>
      <c r="E1" s="53"/>
      <c r="F1" s="53"/>
      <c r="G1" s="53"/>
      <c r="H1" s="59"/>
      <c r="I1" s="1374"/>
      <c r="J1" s="1374"/>
      <c r="K1" s="1374"/>
      <c r="L1" s="1374"/>
      <c r="M1" s="1374"/>
      <c r="N1" s="1374"/>
      <c r="O1" s="1374"/>
      <c r="P1" s="137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row>
    <row r="2" spans="1:256" ht="24.75" customHeight="1" x14ac:dyDescent="0.35">
      <c r="A2" s="1348" t="s">
        <v>14</v>
      </c>
      <c r="B2" s="1348"/>
      <c r="C2" s="1348"/>
      <c r="D2" s="1348"/>
      <c r="E2" s="1348"/>
      <c r="F2" s="1348"/>
      <c r="G2" s="1348"/>
      <c r="H2" s="1348"/>
      <c r="I2" s="1348"/>
      <c r="J2" s="1348"/>
      <c r="K2" s="1348"/>
      <c r="L2" s="1348"/>
      <c r="M2" s="1348"/>
      <c r="N2" s="1348"/>
      <c r="O2" s="1348"/>
      <c r="P2" s="1348"/>
    </row>
    <row r="3" spans="1:256" ht="24.75" customHeight="1" x14ac:dyDescent="0.35">
      <c r="A3" s="1383" t="s">
        <v>768</v>
      </c>
      <c r="B3" s="1383"/>
      <c r="C3" s="1383"/>
      <c r="D3" s="1383"/>
      <c r="E3" s="1383"/>
      <c r="F3" s="1383"/>
      <c r="G3" s="1383"/>
      <c r="H3" s="1383"/>
      <c r="I3" s="1383"/>
      <c r="J3" s="1383"/>
      <c r="K3" s="1383"/>
      <c r="L3" s="1383"/>
      <c r="M3" s="1383"/>
      <c r="N3" s="1383"/>
      <c r="O3" s="1383"/>
      <c r="P3" s="1383"/>
    </row>
    <row r="4" spans="1:256" s="56" customFormat="1" ht="18" customHeight="1" x14ac:dyDescent="0.3">
      <c r="A4" s="58"/>
      <c r="B4" s="58"/>
      <c r="C4" s="58"/>
      <c r="E4" s="55"/>
      <c r="F4" s="55"/>
      <c r="G4" s="55"/>
      <c r="H4" s="80"/>
      <c r="I4" s="55"/>
      <c r="J4" s="55"/>
      <c r="K4" s="55"/>
      <c r="L4" s="55"/>
      <c r="M4" s="55"/>
      <c r="N4" s="55"/>
      <c r="O4" s="81"/>
      <c r="P4" s="57" t="s">
        <v>0</v>
      </c>
    </row>
    <row r="5" spans="1:256" s="76" customFormat="1" ht="18" customHeight="1" thickBot="1" x14ac:dyDescent="0.35">
      <c r="A5" s="82"/>
      <c r="B5" s="83" t="s">
        <v>1</v>
      </c>
      <c r="C5" s="84" t="s">
        <v>3</v>
      </c>
      <c r="D5" s="84" t="s">
        <v>2</v>
      </c>
      <c r="E5" s="84" t="s">
        <v>4</v>
      </c>
      <c r="F5" s="84" t="s">
        <v>5</v>
      </c>
      <c r="G5" s="84" t="s">
        <v>15</v>
      </c>
      <c r="H5" s="84" t="s">
        <v>16</v>
      </c>
      <c r="I5" s="84" t="s">
        <v>17</v>
      </c>
      <c r="J5" s="84" t="s">
        <v>32</v>
      </c>
      <c r="K5" s="84" t="s">
        <v>28</v>
      </c>
      <c r="L5" s="84" t="s">
        <v>23</v>
      </c>
      <c r="M5" s="84" t="s">
        <v>33</v>
      </c>
      <c r="N5" s="84" t="s">
        <v>34</v>
      </c>
      <c r="O5" s="84" t="s">
        <v>117</v>
      </c>
      <c r="P5" s="84" t="s">
        <v>118</v>
      </c>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row>
    <row r="6" spans="1:256" ht="22.5" customHeight="1" x14ac:dyDescent="0.3">
      <c r="B6" s="1377" t="s">
        <v>18</v>
      </c>
      <c r="C6" s="1404" t="s">
        <v>19</v>
      </c>
      <c r="D6" s="1384" t="s">
        <v>6</v>
      </c>
      <c r="E6" s="1380" t="s">
        <v>388</v>
      </c>
      <c r="F6" s="1380" t="s">
        <v>635</v>
      </c>
      <c r="G6" s="1387" t="s">
        <v>686</v>
      </c>
      <c r="H6" s="1368" t="s">
        <v>20</v>
      </c>
      <c r="I6" s="1390" t="s">
        <v>508</v>
      </c>
      <c r="J6" s="1380"/>
      <c r="K6" s="1380"/>
      <c r="L6" s="1380"/>
      <c r="M6" s="1380"/>
      <c r="N6" s="1380"/>
      <c r="O6" s="1391"/>
      <c r="P6" s="1392" t="s">
        <v>509</v>
      </c>
      <c r="Q6" s="1407"/>
      <c r="R6" s="1407"/>
    </row>
    <row r="7" spans="1:256" ht="33" customHeight="1" x14ac:dyDescent="0.3">
      <c r="B7" s="1378"/>
      <c r="C7" s="1405"/>
      <c r="D7" s="1385"/>
      <c r="E7" s="1381"/>
      <c r="F7" s="1381"/>
      <c r="G7" s="1388"/>
      <c r="H7" s="1369"/>
      <c r="I7" s="1395" t="s">
        <v>299</v>
      </c>
      <c r="J7" s="1396"/>
      <c r="K7" s="1397"/>
      <c r="L7" s="1397"/>
      <c r="M7" s="1398" t="s">
        <v>120</v>
      </c>
      <c r="N7" s="1398"/>
      <c r="O7" s="1399" t="s">
        <v>96</v>
      </c>
      <c r="P7" s="1393"/>
    </row>
    <row r="8" spans="1:256" ht="53.25" customHeight="1" thickBot="1" x14ac:dyDescent="0.35">
      <c r="B8" s="1379"/>
      <c r="C8" s="1406"/>
      <c r="D8" s="1386"/>
      <c r="E8" s="1382"/>
      <c r="F8" s="1382"/>
      <c r="G8" s="1389"/>
      <c r="H8" s="1370"/>
      <c r="I8" s="92" t="s">
        <v>36</v>
      </c>
      <c r="J8" s="61" t="s">
        <v>622</v>
      </c>
      <c r="K8" s="62" t="s">
        <v>38</v>
      </c>
      <c r="L8" s="62" t="s">
        <v>298</v>
      </c>
      <c r="M8" s="61" t="s">
        <v>181</v>
      </c>
      <c r="N8" s="61" t="s">
        <v>121</v>
      </c>
      <c r="O8" s="1400"/>
      <c r="P8" s="1394"/>
    </row>
    <row r="9" spans="1:256" s="64" customFormat="1" ht="22.5" customHeight="1" x14ac:dyDescent="0.35">
      <c r="A9" s="73">
        <v>1</v>
      </c>
      <c r="B9" s="63">
        <v>18</v>
      </c>
      <c r="C9" s="71" t="s">
        <v>14</v>
      </c>
      <c r="D9" s="86"/>
      <c r="E9" s="22"/>
      <c r="F9" s="20"/>
      <c r="G9" s="21"/>
      <c r="H9" s="93"/>
      <c r="I9" s="99"/>
      <c r="J9" s="100"/>
      <c r="K9" s="100"/>
      <c r="L9" s="100"/>
      <c r="M9" s="100"/>
      <c r="N9" s="100"/>
      <c r="O9" s="101"/>
      <c r="P9" s="65"/>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pans="1:256" s="64" customFormat="1" ht="36" customHeight="1" x14ac:dyDescent="0.35">
      <c r="A10" s="73">
        <v>2</v>
      </c>
      <c r="B10" s="70"/>
      <c r="C10" s="17">
        <v>1</v>
      </c>
      <c r="D10" s="85" t="s">
        <v>383</v>
      </c>
      <c r="E10" s="141">
        <f>F10+G10+O12+P11</f>
        <v>81250</v>
      </c>
      <c r="F10" s="141">
        <v>21668</v>
      </c>
      <c r="G10" s="146">
        <v>35392</v>
      </c>
      <c r="H10" s="103" t="s">
        <v>24</v>
      </c>
      <c r="I10" s="114"/>
      <c r="J10" s="89"/>
      <c r="K10" s="89"/>
      <c r="L10" s="89"/>
      <c r="M10" s="89"/>
      <c r="N10" s="98"/>
      <c r="O10" s="102"/>
      <c r="P10" s="67"/>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8" customHeight="1" x14ac:dyDescent="0.35">
      <c r="A11" s="73">
        <v>3</v>
      </c>
      <c r="B11" s="52"/>
      <c r="C11" s="28"/>
      <c r="D11" s="91" t="s">
        <v>239</v>
      </c>
      <c r="E11" s="24"/>
      <c r="F11" s="24"/>
      <c r="G11" s="25"/>
      <c r="H11" s="94"/>
      <c r="I11" s="114"/>
      <c r="J11" s="89"/>
      <c r="K11" s="89">
        <v>24190</v>
      </c>
      <c r="L11" s="89"/>
      <c r="M11" s="89"/>
      <c r="N11" s="98"/>
      <c r="O11" s="87">
        <f>SUM(I11:N11)</f>
        <v>24190</v>
      </c>
      <c r="P11" s="67"/>
    </row>
    <row r="12" spans="1:256" ht="18" customHeight="1" x14ac:dyDescent="0.35">
      <c r="A12" s="73">
        <v>4</v>
      </c>
      <c r="B12" s="321"/>
      <c r="C12" s="272"/>
      <c r="D12" s="335" t="s">
        <v>700</v>
      </c>
      <c r="E12" s="24"/>
      <c r="F12" s="107"/>
      <c r="G12" s="158"/>
      <c r="H12" s="109"/>
      <c r="I12" s="336"/>
      <c r="J12" s="336"/>
      <c r="K12" s="336">
        <v>24190</v>
      </c>
      <c r="L12" s="336"/>
      <c r="M12" s="336"/>
      <c r="N12" s="337"/>
      <c r="O12" s="338">
        <f>SUM(I12:N12)</f>
        <v>24190</v>
      </c>
      <c r="P12" s="104"/>
    </row>
    <row r="13" spans="1:256" ht="18" customHeight="1" x14ac:dyDescent="0.35">
      <c r="A13" s="73">
        <v>5</v>
      </c>
      <c r="B13" s="321"/>
      <c r="C13" s="272"/>
      <c r="D13" s="334" t="s">
        <v>742</v>
      </c>
      <c r="E13" s="24"/>
      <c r="F13" s="107"/>
      <c r="G13" s="158"/>
      <c r="H13" s="109"/>
      <c r="I13" s="339"/>
      <c r="J13" s="339"/>
      <c r="K13" s="339">
        <v>6687</v>
      </c>
      <c r="L13" s="339"/>
      <c r="M13" s="339"/>
      <c r="N13" s="339"/>
      <c r="O13" s="340">
        <f>SUM(I13:N13)</f>
        <v>6687</v>
      </c>
      <c r="P13" s="104"/>
    </row>
    <row r="14" spans="1:256" ht="35.25" customHeight="1" x14ac:dyDescent="0.35">
      <c r="A14" s="73">
        <v>7</v>
      </c>
      <c r="B14" s="157"/>
      <c r="C14" s="142">
        <v>16</v>
      </c>
      <c r="D14" s="111" t="s">
        <v>399</v>
      </c>
      <c r="E14" s="141">
        <f>F14+G14+O16+P15+348+3876</f>
        <v>27010</v>
      </c>
      <c r="F14" s="164">
        <v>3451</v>
      </c>
      <c r="G14" s="161">
        <f>2981+6090</f>
        <v>9071</v>
      </c>
      <c r="H14" s="160" t="s">
        <v>24</v>
      </c>
      <c r="I14" s="143"/>
      <c r="J14" s="143"/>
      <c r="K14" s="143"/>
      <c r="L14" s="143"/>
      <c r="M14" s="143"/>
      <c r="N14" s="159"/>
      <c r="O14" s="105"/>
      <c r="P14" s="104"/>
    </row>
    <row r="15" spans="1:256" s="64" customFormat="1" ht="18" customHeight="1" x14ac:dyDescent="0.35">
      <c r="A15" s="73">
        <v>8</v>
      </c>
      <c r="B15" s="157"/>
      <c r="C15" s="142"/>
      <c r="D15" s="106" t="s">
        <v>239</v>
      </c>
      <c r="E15" s="107"/>
      <c r="F15" s="107"/>
      <c r="G15" s="158"/>
      <c r="H15" s="109"/>
      <c r="I15" s="143">
        <v>117</v>
      </c>
      <c r="J15" s="143">
        <v>34</v>
      </c>
      <c r="K15" s="143">
        <v>13989</v>
      </c>
      <c r="L15" s="143"/>
      <c r="M15" s="143"/>
      <c r="N15" s="159"/>
      <c r="O15" s="105">
        <f>SUM(I15:N15)</f>
        <v>14140</v>
      </c>
      <c r="P15" s="162"/>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6" s="64" customFormat="1" ht="18" customHeight="1" x14ac:dyDescent="0.35">
      <c r="A16" s="73">
        <v>9</v>
      </c>
      <c r="B16" s="157"/>
      <c r="C16" s="142"/>
      <c r="D16" s="335" t="s">
        <v>700</v>
      </c>
      <c r="E16" s="107"/>
      <c r="F16" s="107"/>
      <c r="G16" s="158"/>
      <c r="H16" s="109"/>
      <c r="I16" s="336">
        <v>500</v>
      </c>
      <c r="J16" s="336">
        <v>145</v>
      </c>
      <c r="K16" s="336">
        <v>9619</v>
      </c>
      <c r="L16" s="336"/>
      <c r="M16" s="336"/>
      <c r="N16" s="337"/>
      <c r="O16" s="341">
        <f>SUM(I16:N16)</f>
        <v>10264</v>
      </c>
      <c r="P16" s="322"/>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row>
    <row r="17" spans="1:256" s="64" customFormat="1" ht="18" customHeight="1" x14ac:dyDescent="0.35">
      <c r="A17" s="73">
        <v>10</v>
      </c>
      <c r="B17" s="157"/>
      <c r="C17" s="142"/>
      <c r="D17" s="334" t="s">
        <v>743</v>
      </c>
      <c r="E17" s="107"/>
      <c r="F17" s="107"/>
      <c r="G17" s="158"/>
      <c r="H17" s="109"/>
      <c r="I17" s="339">
        <v>77</v>
      </c>
      <c r="J17" s="339">
        <v>49</v>
      </c>
      <c r="K17" s="339">
        <v>1761</v>
      </c>
      <c r="L17" s="339"/>
      <c r="M17" s="339"/>
      <c r="N17" s="339"/>
      <c r="O17" s="342">
        <f t="shared" ref="O17" si="0">SUM(I17:N17)</f>
        <v>1887</v>
      </c>
      <c r="P17" s="322"/>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row>
    <row r="18" spans="1:256" ht="66" x14ac:dyDescent="0.35">
      <c r="A18" s="73">
        <v>12</v>
      </c>
      <c r="B18" s="157"/>
      <c r="C18" s="142">
        <v>17</v>
      </c>
      <c r="D18" s="111" t="s">
        <v>400</v>
      </c>
      <c r="E18" s="141">
        <f>F18+G18+O20+P19+501+3268</f>
        <v>25315</v>
      </c>
      <c r="F18" s="164">
        <v>3651</v>
      </c>
      <c r="G18" s="161">
        <f>4280+3757</f>
        <v>8037</v>
      </c>
      <c r="H18" s="160" t="s">
        <v>24</v>
      </c>
      <c r="I18" s="143"/>
      <c r="J18" s="143"/>
      <c r="K18" s="143"/>
      <c r="L18" s="143"/>
      <c r="M18" s="143"/>
      <c r="N18" s="159"/>
      <c r="O18" s="105"/>
      <c r="P18" s="104"/>
    </row>
    <row r="19" spans="1:256" s="64" customFormat="1" ht="18" customHeight="1" x14ac:dyDescent="0.35">
      <c r="A19" s="73">
        <v>13</v>
      </c>
      <c r="B19" s="157"/>
      <c r="C19" s="142"/>
      <c r="D19" s="106" t="s">
        <v>239</v>
      </c>
      <c r="E19" s="107"/>
      <c r="F19" s="107"/>
      <c r="G19" s="158"/>
      <c r="H19" s="109"/>
      <c r="I19" s="143">
        <v>562</v>
      </c>
      <c r="J19" s="143">
        <v>7</v>
      </c>
      <c r="K19" s="143">
        <v>11873</v>
      </c>
      <c r="L19" s="143"/>
      <c r="M19" s="143">
        <v>684</v>
      </c>
      <c r="N19" s="159"/>
      <c r="O19" s="105">
        <f>SUM(I19:N19)</f>
        <v>13126</v>
      </c>
      <c r="P19" s="162"/>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row>
    <row r="20" spans="1:256" s="64" customFormat="1" ht="18" customHeight="1" x14ac:dyDescent="0.35">
      <c r="A20" s="73">
        <v>14</v>
      </c>
      <c r="B20" s="157"/>
      <c r="C20" s="142"/>
      <c r="D20" s="335" t="s">
        <v>700</v>
      </c>
      <c r="E20" s="107"/>
      <c r="F20" s="107"/>
      <c r="G20" s="158"/>
      <c r="H20" s="109"/>
      <c r="I20" s="336">
        <v>562</v>
      </c>
      <c r="J20" s="336">
        <v>163</v>
      </c>
      <c r="K20" s="336">
        <v>9133</v>
      </c>
      <c r="L20" s="336"/>
      <c r="M20" s="336">
        <v>0</v>
      </c>
      <c r="N20" s="337"/>
      <c r="O20" s="341">
        <f>SUM(I20:N20)</f>
        <v>9858</v>
      </c>
      <c r="P20" s="322"/>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row>
    <row r="21" spans="1:256" s="64" customFormat="1" ht="18" customHeight="1" x14ac:dyDescent="0.35">
      <c r="A21" s="73">
        <v>15</v>
      </c>
      <c r="B21" s="157"/>
      <c r="C21" s="142"/>
      <c r="D21" s="334" t="s">
        <v>742</v>
      </c>
      <c r="E21" s="107"/>
      <c r="F21" s="107"/>
      <c r="G21" s="158"/>
      <c r="H21" s="109"/>
      <c r="I21" s="339">
        <v>74</v>
      </c>
      <c r="J21" s="339">
        <v>28</v>
      </c>
      <c r="K21" s="339">
        <v>644</v>
      </c>
      <c r="L21" s="339"/>
      <c r="M21" s="339"/>
      <c r="N21" s="339"/>
      <c r="O21" s="342">
        <f t="shared" ref="O21" si="1">SUM(I21:N21)</f>
        <v>746</v>
      </c>
      <c r="P21" s="322"/>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row>
    <row r="22" spans="1:256" s="64" customFormat="1" ht="22.5" customHeight="1" x14ac:dyDescent="0.35">
      <c r="A22" s="73">
        <v>17</v>
      </c>
      <c r="B22" s="157"/>
      <c r="C22" s="272">
        <v>18</v>
      </c>
      <c r="D22" s="18" t="s">
        <v>401</v>
      </c>
      <c r="E22" s="141">
        <f>F22+G22+O24+P23+1021+15929</f>
        <v>70995</v>
      </c>
      <c r="F22" s="107"/>
      <c r="G22" s="161">
        <v>14154</v>
      </c>
      <c r="H22" s="160" t="s">
        <v>24</v>
      </c>
      <c r="I22" s="143"/>
      <c r="J22" s="143"/>
      <c r="K22" s="143"/>
      <c r="L22" s="143"/>
      <c r="M22" s="143"/>
      <c r="N22" s="159"/>
      <c r="O22" s="105"/>
      <c r="P22" s="104"/>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row>
    <row r="23" spans="1:256" s="64" customFormat="1" ht="18" customHeight="1" x14ac:dyDescent="0.35">
      <c r="A23" s="73">
        <v>18</v>
      </c>
      <c r="B23" s="157"/>
      <c r="C23" s="142"/>
      <c r="D23" s="106" t="s">
        <v>239</v>
      </c>
      <c r="E23" s="107"/>
      <c r="F23" s="107"/>
      <c r="G23" s="158"/>
      <c r="H23" s="109"/>
      <c r="I23" s="143">
        <v>258</v>
      </c>
      <c r="J23" s="143">
        <v>21</v>
      </c>
      <c r="K23" s="143">
        <v>41566</v>
      </c>
      <c r="L23" s="143"/>
      <c r="M23" s="143">
        <v>100</v>
      </c>
      <c r="N23" s="159"/>
      <c r="O23" s="105">
        <f>SUM(I23:N23)</f>
        <v>41945</v>
      </c>
      <c r="P23" s="162">
        <v>14280</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row>
    <row r="24" spans="1:256" s="64" customFormat="1" ht="18" customHeight="1" x14ac:dyDescent="0.35">
      <c r="A24" s="73">
        <v>19</v>
      </c>
      <c r="B24" s="157"/>
      <c r="C24" s="142"/>
      <c r="D24" s="335" t="s">
        <v>700</v>
      </c>
      <c r="E24" s="107"/>
      <c r="F24" s="107"/>
      <c r="G24" s="158"/>
      <c r="H24" s="109"/>
      <c r="I24" s="336">
        <v>400</v>
      </c>
      <c r="J24" s="336">
        <v>52</v>
      </c>
      <c r="K24" s="336">
        <v>25159</v>
      </c>
      <c r="L24" s="336"/>
      <c r="M24" s="336">
        <v>0</v>
      </c>
      <c r="N24" s="337"/>
      <c r="O24" s="341">
        <f>SUM(I24:N24)</f>
        <v>25611</v>
      </c>
      <c r="P24" s="322"/>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row>
    <row r="25" spans="1:256" s="64" customFormat="1" ht="18" customHeight="1" x14ac:dyDescent="0.35">
      <c r="A25" s="73">
        <v>20</v>
      </c>
      <c r="B25" s="157"/>
      <c r="C25" s="142"/>
      <c r="D25" s="334" t="s">
        <v>742</v>
      </c>
      <c r="E25" s="107"/>
      <c r="F25" s="107"/>
      <c r="G25" s="158"/>
      <c r="H25" s="109"/>
      <c r="I25" s="339">
        <v>63</v>
      </c>
      <c r="J25" s="339">
        <v>28</v>
      </c>
      <c r="K25" s="339">
        <v>307</v>
      </c>
      <c r="L25" s="339"/>
      <c r="M25" s="339"/>
      <c r="N25" s="339"/>
      <c r="O25" s="342">
        <f t="shared" ref="O25" si="2">SUM(I25:N25)</f>
        <v>398</v>
      </c>
      <c r="P25" s="322"/>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row>
    <row r="26" spans="1:256" ht="22.5" customHeight="1" x14ac:dyDescent="0.35">
      <c r="A26" s="73">
        <v>22</v>
      </c>
      <c r="B26" s="157"/>
      <c r="C26" s="272">
        <v>19</v>
      </c>
      <c r="D26" s="18" t="s">
        <v>402</v>
      </c>
      <c r="E26" s="141">
        <f>F26+G26+O28+P27+1064+14012</f>
        <v>81765</v>
      </c>
      <c r="F26" s="107"/>
      <c r="G26" s="158">
        <v>8682</v>
      </c>
      <c r="H26" s="160" t="s">
        <v>24</v>
      </c>
      <c r="I26" s="143"/>
      <c r="J26" s="143"/>
      <c r="K26" s="143"/>
      <c r="L26" s="143"/>
      <c r="M26" s="143"/>
      <c r="N26" s="159"/>
      <c r="O26" s="105"/>
      <c r="P26" s="104"/>
    </row>
    <row r="27" spans="1:256" s="64" customFormat="1" ht="18" customHeight="1" x14ac:dyDescent="0.35">
      <c r="A27" s="73">
        <v>23</v>
      </c>
      <c r="B27" s="157"/>
      <c r="C27" s="142"/>
      <c r="D27" s="106" t="s">
        <v>239</v>
      </c>
      <c r="E27" s="107"/>
      <c r="F27" s="107"/>
      <c r="G27" s="158"/>
      <c r="H27" s="109"/>
      <c r="I27" s="143">
        <v>372</v>
      </c>
      <c r="J27" s="143">
        <v>41</v>
      </c>
      <c r="K27" s="143">
        <v>34812</v>
      </c>
      <c r="L27" s="143"/>
      <c r="M27" s="143"/>
      <c r="N27" s="159"/>
      <c r="O27" s="105">
        <f>SUM(I27:N27)</f>
        <v>35225</v>
      </c>
      <c r="P27" s="162">
        <v>36794</v>
      </c>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row>
    <row r="28" spans="1:256" s="64" customFormat="1" ht="18" customHeight="1" x14ac:dyDescent="0.35">
      <c r="A28" s="73">
        <v>24</v>
      </c>
      <c r="B28" s="157"/>
      <c r="C28" s="142"/>
      <c r="D28" s="335" t="s">
        <v>700</v>
      </c>
      <c r="E28" s="107"/>
      <c r="F28" s="107"/>
      <c r="G28" s="158"/>
      <c r="H28" s="109"/>
      <c r="I28" s="336">
        <v>372</v>
      </c>
      <c r="J28" s="336">
        <v>41</v>
      </c>
      <c r="K28" s="336">
        <v>20800</v>
      </c>
      <c r="L28" s="336"/>
      <c r="M28" s="336"/>
      <c r="N28" s="337"/>
      <c r="O28" s="341">
        <f>SUM(I28:N28)</f>
        <v>21213</v>
      </c>
      <c r="P28" s="322"/>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row>
    <row r="29" spans="1:256" s="64" customFormat="1" ht="18" customHeight="1" x14ac:dyDescent="0.35">
      <c r="A29" s="73">
        <v>25</v>
      </c>
      <c r="B29" s="157"/>
      <c r="C29" s="142"/>
      <c r="D29" s="334" t="s">
        <v>742</v>
      </c>
      <c r="E29" s="107"/>
      <c r="F29" s="107"/>
      <c r="G29" s="158"/>
      <c r="H29" s="109"/>
      <c r="I29" s="339"/>
      <c r="J29" s="339"/>
      <c r="K29" s="339">
        <v>1527</v>
      </c>
      <c r="L29" s="339"/>
      <c r="M29" s="339"/>
      <c r="N29" s="339"/>
      <c r="O29" s="342">
        <f t="shared" ref="O29" si="3">SUM(I29:N29)</f>
        <v>1527</v>
      </c>
      <c r="P29" s="322"/>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row>
    <row r="30" spans="1:256" ht="22.5" customHeight="1" x14ac:dyDescent="0.35">
      <c r="A30" s="73">
        <v>27</v>
      </c>
      <c r="B30" s="157"/>
      <c r="C30" s="272">
        <v>20</v>
      </c>
      <c r="D30" s="18" t="s">
        <v>403</v>
      </c>
      <c r="E30" s="141">
        <f>F30+G30+O32+P31+3578+1</f>
        <v>10220</v>
      </c>
      <c r="F30" s="107"/>
      <c r="G30" s="158"/>
      <c r="H30" s="160" t="s">
        <v>24</v>
      </c>
      <c r="I30" s="143"/>
      <c r="J30" s="143"/>
      <c r="K30" s="143"/>
      <c r="L30" s="143"/>
      <c r="M30" s="143"/>
      <c r="N30" s="159"/>
      <c r="O30" s="105"/>
      <c r="P30" s="104"/>
    </row>
    <row r="31" spans="1:256" s="64" customFormat="1" ht="18" customHeight="1" x14ac:dyDescent="0.35">
      <c r="A31" s="73">
        <v>28</v>
      </c>
      <c r="B31" s="157"/>
      <c r="C31" s="142"/>
      <c r="D31" s="106" t="s">
        <v>239</v>
      </c>
      <c r="E31" s="107"/>
      <c r="F31" s="107"/>
      <c r="G31" s="158"/>
      <c r="H31" s="109"/>
      <c r="I31" s="143"/>
      <c r="J31" s="143"/>
      <c r="K31" s="143">
        <v>3694</v>
      </c>
      <c r="L31" s="143"/>
      <c r="M31" s="143"/>
      <c r="N31" s="159"/>
      <c r="O31" s="105">
        <f>SUM(I31:N31)</f>
        <v>3694</v>
      </c>
      <c r="P31" s="162">
        <f>6526-451</f>
        <v>6075</v>
      </c>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row>
    <row r="32" spans="1:256" s="64" customFormat="1" ht="18" customHeight="1" x14ac:dyDescent="0.35">
      <c r="A32" s="73">
        <v>29</v>
      </c>
      <c r="B32" s="157"/>
      <c r="C32" s="142"/>
      <c r="D32" s="335" t="s">
        <v>700</v>
      </c>
      <c r="E32" s="107"/>
      <c r="F32" s="107"/>
      <c r="G32" s="158"/>
      <c r="H32" s="109"/>
      <c r="I32" s="336"/>
      <c r="J32" s="336"/>
      <c r="K32" s="336">
        <v>566</v>
      </c>
      <c r="L32" s="336"/>
      <c r="M32" s="336"/>
      <c r="N32" s="337"/>
      <c r="O32" s="341">
        <f>SUM(I32:N32)</f>
        <v>566</v>
      </c>
      <c r="P32" s="322"/>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row>
    <row r="33" spans="1:256" s="64" customFormat="1" ht="18" customHeight="1" x14ac:dyDescent="0.35">
      <c r="A33" s="73">
        <v>30</v>
      </c>
      <c r="B33" s="157"/>
      <c r="C33" s="142"/>
      <c r="D33" s="334" t="s">
        <v>742</v>
      </c>
      <c r="E33" s="107"/>
      <c r="F33" s="107"/>
      <c r="G33" s="158"/>
      <c r="H33" s="109"/>
      <c r="I33" s="339">
        <v>14</v>
      </c>
      <c r="J33" s="339"/>
      <c r="K33" s="339">
        <v>10</v>
      </c>
      <c r="L33" s="339"/>
      <c r="M33" s="339"/>
      <c r="N33" s="339"/>
      <c r="O33" s="342">
        <f t="shared" ref="O33" si="4">SUM(I33:N33)</f>
        <v>24</v>
      </c>
      <c r="P33" s="322"/>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row>
    <row r="34" spans="1:256" ht="33" customHeight="1" x14ac:dyDescent="0.35">
      <c r="A34" s="73">
        <v>32</v>
      </c>
      <c r="B34" s="157"/>
      <c r="C34" s="142">
        <v>23</v>
      </c>
      <c r="D34" s="260" t="s">
        <v>512</v>
      </c>
      <c r="E34" s="141">
        <f>F34+G34+O36+P35</f>
        <v>227212</v>
      </c>
      <c r="F34" s="107"/>
      <c r="G34" s="158"/>
      <c r="H34" s="160" t="s">
        <v>24</v>
      </c>
      <c r="I34" s="143"/>
      <c r="J34" s="143"/>
      <c r="K34" s="143"/>
      <c r="L34" s="143"/>
      <c r="M34" s="143"/>
      <c r="N34" s="159"/>
      <c r="O34" s="105"/>
      <c r="P34" s="104"/>
    </row>
    <row r="35" spans="1:256" ht="18" customHeight="1" x14ac:dyDescent="0.35">
      <c r="A35" s="73">
        <v>33</v>
      </c>
      <c r="B35" s="157"/>
      <c r="C35" s="142"/>
      <c r="D35" s="106" t="s">
        <v>239</v>
      </c>
      <c r="E35" s="107"/>
      <c r="F35" s="107"/>
      <c r="G35" s="158"/>
      <c r="H35" s="94"/>
      <c r="I35" s="114"/>
      <c r="J35" s="114"/>
      <c r="K35" s="114">
        <v>1800</v>
      </c>
      <c r="L35" s="114"/>
      <c r="M35" s="114">
        <v>225412</v>
      </c>
      <c r="N35" s="258"/>
      <c r="O35" s="87">
        <f>SUM(I35:N35)</f>
        <v>227212</v>
      </c>
      <c r="P35" s="259"/>
    </row>
    <row r="36" spans="1:256" ht="18" customHeight="1" x14ac:dyDescent="0.35">
      <c r="A36" s="73">
        <v>34</v>
      </c>
      <c r="B36" s="157"/>
      <c r="C36" s="142"/>
      <c r="D36" s="335" t="s">
        <v>700</v>
      </c>
      <c r="E36" s="107"/>
      <c r="F36" s="107"/>
      <c r="G36" s="158"/>
      <c r="H36" s="93"/>
      <c r="I36" s="254"/>
      <c r="J36" s="254"/>
      <c r="K36" s="343">
        <v>1800</v>
      </c>
      <c r="L36" s="343"/>
      <c r="M36" s="343">
        <v>225412</v>
      </c>
      <c r="N36" s="344"/>
      <c r="O36" s="338">
        <f>SUM(I36:N36)</f>
        <v>227212</v>
      </c>
      <c r="P36" s="323"/>
    </row>
    <row r="37" spans="1:256" ht="18" customHeight="1" x14ac:dyDescent="0.35">
      <c r="A37" s="73">
        <v>35</v>
      </c>
      <c r="B37" s="157"/>
      <c r="C37" s="142"/>
      <c r="D37" s="334" t="s">
        <v>742</v>
      </c>
      <c r="E37" s="107"/>
      <c r="F37" s="107"/>
      <c r="G37" s="158"/>
      <c r="H37" s="93"/>
      <c r="I37" s="345"/>
      <c r="J37" s="345"/>
      <c r="K37" s="345"/>
      <c r="L37" s="345"/>
      <c r="M37" s="345"/>
      <c r="N37" s="345"/>
      <c r="O37" s="340">
        <f t="shared" ref="O37" si="5">SUM(I37:N37)</f>
        <v>0</v>
      </c>
      <c r="P37" s="323"/>
    </row>
    <row r="38" spans="1:256" ht="22.5" customHeight="1" x14ac:dyDescent="0.35">
      <c r="A38" s="73">
        <v>37</v>
      </c>
      <c r="B38" s="52"/>
      <c r="C38" s="28">
        <v>24</v>
      </c>
      <c r="D38" s="72" t="s">
        <v>513</v>
      </c>
      <c r="E38" s="141">
        <f>F38+G38+O40+P39</f>
        <v>5350</v>
      </c>
      <c r="F38" s="141"/>
      <c r="G38" s="146"/>
      <c r="H38" s="93" t="s">
        <v>24</v>
      </c>
      <c r="I38" s="254"/>
      <c r="J38" s="255"/>
      <c r="K38" s="255"/>
      <c r="L38" s="255"/>
      <c r="M38" s="255"/>
      <c r="N38" s="256"/>
      <c r="O38" s="257"/>
      <c r="P38" s="65"/>
    </row>
    <row r="39" spans="1:256" ht="18" customHeight="1" x14ac:dyDescent="0.35">
      <c r="A39" s="73">
        <v>38</v>
      </c>
      <c r="B39" s="52"/>
      <c r="C39" s="28"/>
      <c r="D39" s="91" t="s">
        <v>239</v>
      </c>
      <c r="E39" s="24"/>
      <c r="F39" s="24"/>
      <c r="G39" s="25"/>
      <c r="H39" s="94"/>
      <c r="I39" s="147"/>
      <c r="J39" s="113"/>
      <c r="K39" s="89">
        <v>5801</v>
      </c>
      <c r="L39" s="89"/>
      <c r="M39" s="89"/>
      <c r="N39" s="98"/>
      <c r="O39" s="87">
        <f>SUM(I39:N39)</f>
        <v>5801</v>
      </c>
      <c r="P39" s="67"/>
    </row>
    <row r="40" spans="1:256" ht="18" customHeight="1" x14ac:dyDescent="0.35">
      <c r="A40" s="73">
        <v>39</v>
      </c>
      <c r="B40" s="52"/>
      <c r="C40" s="28"/>
      <c r="D40" s="335" t="s">
        <v>700</v>
      </c>
      <c r="E40" s="24"/>
      <c r="F40" s="24"/>
      <c r="G40" s="25"/>
      <c r="H40" s="94"/>
      <c r="I40" s="147"/>
      <c r="J40" s="113"/>
      <c r="K40" s="113">
        <v>5350</v>
      </c>
      <c r="L40" s="113"/>
      <c r="M40" s="113"/>
      <c r="N40" s="24"/>
      <c r="O40" s="338">
        <f>SUM(I40:N40)</f>
        <v>5350</v>
      </c>
      <c r="P40" s="67"/>
    </row>
    <row r="41" spans="1:256" ht="18" customHeight="1" x14ac:dyDescent="0.35">
      <c r="A41" s="73">
        <v>40</v>
      </c>
      <c r="B41" s="52"/>
      <c r="C41" s="28"/>
      <c r="D41" s="334" t="s">
        <v>742</v>
      </c>
      <c r="E41" s="24"/>
      <c r="F41" s="24"/>
      <c r="G41" s="25"/>
      <c r="H41" s="94"/>
      <c r="I41" s="147"/>
      <c r="J41" s="113"/>
      <c r="K41" s="348">
        <v>440</v>
      </c>
      <c r="L41" s="89"/>
      <c r="M41" s="89"/>
      <c r="N41" s="98"/>
      <c r="O41" s="340">
        <f t="shared" ref="O41" si="6">SUM(I41:N41)</f>
        <v>440</v>
      </c>
      <c r="P41" s="67"/>
    </row>
    <row r="42" spans="1:256" ht="22.5" customHeight="1" x14ac:dyDescent="0.35">
      <c r="A42" s="73">
        <v>42</v>
      </c>
      <c r="B42" s="52"/>
      <c r="C42" s="28">
        <v>25</v>
      </c>
      <c r="D42" s="72" t="s">
        <v>514</v>
      </c>
      <c r="E42" s="141">
        <f>F42+G42+O44+P43</f>
        <v>72000</v>
      </c>
      <c r="F42" s="141"/>
      <c r="G42" s="146"/>
      <c r="H42" s="94" t="s">
        <v>24</v>
      </c>
      <c r="I42" s="114"/>
      <c r="J42" s="89"/>
      <c r="K42" s="89"/>
      <c r="L42" s="89"/>
      <c r="M42" s="89"/>
      <c r="N42" s="98"/>
      <c r="O42" s="102"/>
      <c r="P42" s="67"/>
    </row>
    <row r="43" spans="1:256" ht="18" customHeight="1" x14ac:dyDescent="0.35">
      <c r="A43" s="73">
        <v>43</v>
      </c>
      <c r="B43" s="52"/>
      <c r="C43" s="28"/>
      <c r="D43" s="91" t="s">
        <v>239</v>
      </c>
      <c r="E43" s="24"/>
      <c r="F43" s="24"/>
      <c r="G43" s="25"/>
      <c r="H43" s="94"/>
      <c r="I43" s="114"/>
      <c r="J43" s="89"/>
      <c r="K43" s="89">
        <v>21600</v>
      </c>
      <c r="L43" s="89"/>
      <c r="M43" s="89"/>
      <c r="N43" s="89"/>
      <c r="O43" s="87">
        <f>SUM(I43:N43)</f>
        <v>21600</v>
      </c>
      <c r="P43" s="162">
        <v>50400</v>
      </c>
    </row>
    <row r="44" spans="1:256" ht="18" customHeight="1" x14ac:dyDescent="0.35">
      <c r="A44" s="73">
        <v>44</v>
      </c>
      <c r="B44" s="52"/>
      <c r="C44" s="28"/>
      <c r="D44" s="335" t="s">
        <v>700</v>
      </c>
      <c r="E44" s="24"/>
      <c r="F44" s="24"/>
      <c r="G44" s="25"/>
      <c r="H44" s="94"/>
      <c r="I44" s="114"/>
      <c r="J44" s="89"/>
      <c r="K44" s="113">
        <v>21600</v>
      </c>
      <c r="L44" s="113"/>
      <c r="M44" s="113"/>
      <c r="N44" s="113"/>
      <c r="O44" s="338">
        <f>SUM(I44:N44)</f>
        <v>21600</v>
      </c>
      <c r="P44" s="264"/>
    </row>
    <row r="45" spans="1:256" ht="18" customHeight="1" x14ac:dyDescent="0.35">
      <c r="A45" s="73">
        <v>45</v>
      </c>
      <c r="B45" s="52"/>
      <c r="C45" s="28"/>
      <c r="D45" s="334" t="s">
        <v>742</v>
      </c>
      <c r="E45" s="24"/>
      <c r="F45" s="24"/>
      <c r="G45" s="25"/>
      <c r="H45" s="94"/>
      <c r="I45" s="347"/>
      <c r="J45" s="348"/>
      <c r="K45" s="348"/>
      <c r="L45" s="348"/>
      <c r="M45" s="348"/>
      <c r="N45" s="348"/>
      <c r="O45" s="340">
        <f t="shared" ref="O45" si="7">SUM(I45:N45)</f>
        <v>0</v>
      </c>
      <c r="P45" s="264"/>
    </row>
    <row r="46" spans="1:256" ht="22.5" customHeight="1" x14ac:dyDescent="0.35">
      <c r="A46" s="73">
        <v>47</v>
      </c>
      <c r="B46" s="52"/>
      <c r="C46" s="28">
        <v>26</v>
      </c>
      <c r="D46" s="273" t="s">
        <v>515</v>
      </c>
      <c r="E46" s="141">
        <f>F46+G46+O48+P47</f>
        <v>0</v>
      </c>
      <c r="F46" s="141"/>
      <c r="G46" s="146"/>
      <c r="H46" s="103" t="s">
        <v>24</v>
      </c>
      <c r="I46" s="114"/>
      <c r="J46" s="89"/>
      <c r="K46" s="89"/>
      <c r="L46" s="89"/>
      <c r="M46" s="89"/>
      <c r="N46" s="98"/>
      <c r="O46" s="102"/>
      <c r="P46" s="67"/>
    </row>
    <row r="47" spans="1:256" s="64" customFormat="1" ht="18" customHeight="1" x14ac:dyDescent="0.35">
      <c r="A47" s="73">
        <v>48</v>
      </c>
      <c r="B47" s="112"/>
      <c r="C47" s="142"/>
      <c r="D47" s="106" t="s">
        <v>239</v>
      </c>
      <c r="E47" s="107"/>
      <c r="F47" s="107"/>
      <c r="G47" s="108"/>
      <c r="H47" s="109"/>
      <c r="I47" s="143"/>
      <c r="J47" s="144"/>
      <c r="K47" s="144"/>
      <c r="L47" s="144"/>
      <c r="M47" s="144">
        <v>19696</v>
      </c>
      <c r="N47" s="145"/>
      <c r="O47" s="105">
        <f>SUM(I47:N47)</f>
        <v>19696</v>
      </c>
      <c r="P47" s="162">
        <f>1162050-1162050</f>
        <v>0</v>
      </c>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row>
    <row r="48" spans="1:256" s="64" customFormat="1" ht="18" customHeight="1" x14ac:dyDescent="0.35">
      <c r="A48" s="73">
        <v>49</v>
      </c>
      <c r="B48" s="157"/>
      <c r="C48" s="142"/>
      <c r="D48" s="335" t="s">
        <v>700</v>
      </c>
      <c r="E48" s="107"/>
      <c r="F48" s="107"/>
      <c r="G48" s="158"/>
      <c r="H48" s="109"/>
      <c r="I48" s="143"/>
      <c r="J48" s="143"/>
      <c r="K48" s="143"/>
      <c r="L48" s="143"/>
      <c r="M48" s="336">
        <v>0</v>
      </c>
      <c r="N48" s="337"/>
      <c r="O48" s="341">
        <f>SUM(I48:N48)</f>
        <v>0</v>
      </c>
      <c r="P48" s="322"/>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row>
    <row r="49" spans="1:256" s="64" customFormat="1" ht="18" customHeight="1" x14ac:dyDescent="0.35">
      <c r="A49" s="73">
        <v>50</v>
      </c>
      <c r="B49" s="157"/>
      <c r="C49" s="142"/>
      <c r="D49" s="334" t="s">
        <v>742</v>
      </c>
      <c r="E49" s="107"/>
      <c r="F49" s="107"/>
      <c r="G49" s="158"/>
      <c r="H49" s="109"/>
      <c r="I49" s="339"/>
      <c r="J49" s="339"/>
      <c r="K49" s="339"/>
      <c r="L49" s="339"/>
      <c r="M49" s="339"/>
      <c r="N49" s="339"/>
      <c r="O49" s="342">
        <f>SUM(I49:N49)</f>
        <v>0</v>
      </c>
      <c r="P49" s="322"/>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row>
    <row r="50" spans="1:256" s="64" customFormat="1" ht="22.5" customHeight="1" x14ac:dyDescent="0.35">
      <c r="A50" s="73">
        <v>52</v>
      </c>
      <c r="B50" s="157"/>
      <c r="C50" s="272">
        <v>27</v>
      </c>
      <c r="D50" s="273" t="s">
        <v>516</v>
      </c>
      <c r="E50" s="141">
        <f>F50+G50+O52+P51+1600</f>
        <v>61500</v>
      </c>
      <c r="F50" s="107"/>
      <c r="G50" s="161"/>
      <c r="H50" s="160" t="s">
        <v>24</v>
      </c>
      <c r="I50" s="143"/>
      <c r="J50" s="143"/>
      <c r="K50" s="143"/>
      <c r="L50" s="143"/>
      <c r="M50" s="143"/>
      <c r="N50" s="159"/>
      <c r="O50" s="105"/>
      <c r="P50" s="104"/>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row>
    <row r="51" spans="1:256" s="64" customFormat="1" ht="18" customHeight="1" x14ac:dyDescent="0.35">
      <c r="A51" s="73">
        <v>53</v>
      </c>
      <c r="B51" s="157"/>
      <c r="C51" s="142"/>
      <c r="D51" s="106" t="s">
        <v>239</v>
      </c>
      <c r="E51" s="107"/>
      <c r="F51" s="107"/>
      <c r="G51" s="158"/>
      <c r="H51" s="109"/>
      <c r="I51" s="143"/>
      <c r="J51" s="143"/>
      <c r="K51" s="143">
        <v>20000</v>
      </c>
      <c r="L51" s="143"/>
      <c r="M51" s="143"/>
      <c r="N51" s="159"/>
      <c r="O51" s="105">
        <f>SUM(I51:N51)</f>
        <v>20000</v>
      </c>
      <c r="P51" s="162">
        <v>41500</v>
      </c>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row>
    <row r="52" spans="1:256" s="64" customFormat="1" ht="18" customHeight="1" x14ac:dyDescent="0.35">
      <c r="A52" s="73">
        <v>54</v>
      </c>
      <c r="B52" s="157"/>
      <c r="C52" s="142"/>
      <c r="D52" s="335" t="s">
        <v>700</v>
      </c>
      <c r="E52" s="107"/>
      <c r="F52" s="107"/>
      <c r="G52" s="158"/>
      <c r="H52" s="109"/>
      <c r="I52" s="336">
        <v>50</v>
      </c>
      <c r="J52" s="336">
        <v>20</v>
      </c>
      <c r="K52" s="336">
        <v>18330</v>
      </c>
      <c r="L52" s="336"/>
      <c r="M52" s="336"/>
      <c r="N52" s="337"/>
      <c r="O52" s="341">
        <f>SUM(I52:N52)</f>
        <v>18400</v>
      </c>
      <c r="P52" s="322"/>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row>
    <row r="53" spans="1:256" s="64" customFormat="1" ht="18" customHeight="1" x14ac:dyDescent="0.35">
      <c r="A53" s="73">
        <v>55</v>
      </c>
      <c r="B53" s="157"/>
      <c r="C53" s="142"/>
      <c r="D53" s="334" t="s">
        <v>742</v>
      </c>
      <c r="E53" s="107"/>
      <c r="F53" s="107"/>
      <c r="G53" s="158"/>
      <c r="H53" s="109"/>
      <c r="I53" s="339"/>
      <c r="J53" s="339"/>
      <c r="K53" s="339"/>
      <c r="L53" s="339"/>
      <c r="M53" s="339"/>
      <c r="N53" s="339"/>
      <c r="O53" s="342">
        <f t="shared" ref="O53" si="8">SUM(I53:N53)</f>
        <v>0</v>
      </c>
      <c r="P53" s="322"/>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row>
    <row r="54" spans="1:256" s="64" customFormat="1" ht="22.5" customHeight="1" x14ac:dyDescent="0.35">
      <c r="A54" s="73">
        <v>57</v>
      </c>
      <c r="B54" s="157"/>
      <c r="C54" s="272">
        <v>28</v>
      </c>
      <c r="D54" s="72" t="s">
        <v>517</v>
      </c>
      <c r="E54" s="141">
        <f>F54+G54+O56+P55</f>
        <v>650</v>
      </c>
      <c r="F54" s="107"/>
      <c r="G54" s="161"/>
      <c r="H54" s="160" t="s">
        <v>24</v>
      </c>
      <c r="I54" s="143"/>
      <c r="J54" s="143"/>
      <c r="K54" s="143"/>
      <c r="L54" s="143"/>
      <c r="M54" s="143"/>
      <c r="N54" s="159"/>
      <c r="O54" s="105"/>
      <c r="P54" s="104"/>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row>
    <row r="55" spans="1:256" s="64" customFormat="1" ht="18" customHeight="1" x14ac:dyDescent="0.35">
      <c r="A55" s="73">
        <v>58</v>
      </c>
      <c r="B55" s="157"/>
      <c r="C55" s="142"/>
      <c r="D55" s="106" t="s">
        <v>239</v>
      </c>
      <c r="E55" s="107"/>
      <c r="F55" s="107"/>
      <c r="G55" s="158"/>
      <c r="H55" s="109"/>
      <c r="I55" s="143"/>
      <c r="J55" s="143"/>
      <c r="K55" s="143">
        <v>650</v>
      </c>
      <c r="L55" s="143"/>
      <c r="M55" s="143"/>
      <c r="N55" s="159"/>
      <c r="O55" s="105">
        <f>SUM(I55:N55)</f>
        <v>650</v>
      </c>
      <c r="P55" s="162"/>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row>
    <row r="56" spans="1:256" s="64" customFormat="1" ht="18" customHeight="1" x14ac:dyDescent="0.35">
      <c r="A56" s="73">
        <v>59</v>
      </c>
      <c r="B56" s="157"/>
      <c r="C56" s="142"/>
      <c r="D56" s="335" t="s">
        <v>700</v>
      </c>
      <c r="E56" s="107"/>
      <c r="F56" s="107"/>
      <c r="G56" s="158"/>
      <c r="H56" s="109"/>
      <c r="I56" s="143"/>
      <c r="J56" s="143"/>
      <c r="K56" s="336">
        <v>650</v>
      </c>
      <c r="L56" s="336"/>
      <c r="M56" s="336"/>
      <c r="N56" s="337"/>
      <c r="O56" s="341">
        <f>SUM(I56:N56)</f>
        <v>650</v>
      </c>
      <c r="P56" s="322"/>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c r="IR56" s="16"/>
      <c r="IS56" s="16"/>
      <c r="IT56" s="16"/>
      <c r="IU56" s="16"/>
      <c r="IV56" s="16"/>
    </row>
    <row r="57" spans="1:256" s="64" customFormat="1" ht="18" customHeight="1" x14ac:dyDescent="0.35">
      <c r="A57" s="73">
        <v>60</v>
      </c>
      <c r="B57" s="157"/>
      <c r="C57" s="142"/>
      <c r="D57" s="334" t="s">
        <v>742</v>
      </c>
      <c r="E57" s="107"/>
      <c r="F57" s="107"/>
      <c r="G57" s="158"/>
      <c r="H57" s="109"/>
      <c r="I57" s="339"/>
      <c r="J57" s="339"/>
      <c r="K57" s="339"/>
      <c r="L57" s="339"/>
      <c r="M57" s="339"/>
      <c r="N57" s="339"/>
      <c r="O57" s="342">
        <f t="shared" ref="O57" si="9">SUM(I57:N57)</f>
        <v>0</v>
      </c>
      <c r="P57" s="322"/>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c r="IR57" s="16"/>
      <c r="IS57" s="16"/>
      <c r="IT57" s="16"/>
      <c r="IU57" s="16"/>
      <c r="IV57" s="16"/>
    </row>
    <row r="58" spans="1:256" s="64" customFormat="1" ht="22.5" customHeight="1" x14ac:dyDescent="0.35">
      <c r="A58" s="73">
        <v>62</v>
      </c>
      <c r="B58" s="157"/>
      <c r="C58" s="272">
        <v>29</v>
      </c>
      <c r="D58" s="72" t="s">
        <v>518</v>
      </c>
      <c r="E58" s="141">
        <f>F58+G58+O60+P59</f>
        <v>4596</v>
      </c>
      <c r="F58" s="107"/>
      <c r="G58" s="158"/>
      <c r="H58" s="160" t="s">
        <v>24</v>
      </c>
      <c r="I58" s="143"/>
      <c r="J58" s="143"/>
      <c r="K58" s="143"/>
      <c r="L58" s="143"/>
      <c r="M58" s="143"/>
      <c r="N58" s="159"/>
      <c r="O58" s="105"/>
      <c r="P58" s="104"/>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row>
    <row r="59" spans="1:256" s="64" customFormat="1" ht="18" customHeight="1" x14ac:dyDescent="0.35">
      <c r="A59" s="73">
        <v>63</v>
      </c>
      <c r="B59" s="262"/>
      <c r="C59" s="17"/>
      <c r="D59" s="91" t="s">
        <v>239</v>
      </c>
      <c r="E59" s="24"/>
      <c r="F59" s="24"/>
      <c r="G59" s="263"/>
      <c r="H59" s="94"/>
      <c r="I59" s="114"/>
      <c r="J59" s="114"/>
      <c r="K59" s="114">
        <v>2263</v>
      </c>
      <c r="L59" s="114"/>
      <c r="M59" s="114"/>
      <c r="N59" s="258"/>
      <c r="O59" s="87">
        <f>SUM(I59:N59)</f>
        <v>2263</v>
      </c>
      <c r="P59" s="162">
        <v>2333</v>
      </c>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row>
    <row r="60" spans="1:256" s="64" customFormat="1" ht="18" customHeight="1" x14ac:dyDescent="0.35">
      <c r="A60" s="73">
        <v>64</v>
      </c>
      <c r="B60" s="262"/>
      <c r="C60" s="17"/>
      <c r="D60" s="335" t="s">
        <v>700</v>
      </c>
      <c r="E60" s="24"/>
      <c r="F60" s="24"/>
      <c r="G60" s="263"/>
      <c r="H60" s="109"/>
      <c r="I60" s="114"/>
      <c r="J60" s="114"/>
      <c r="K60" s="147">
        <v>2263</v>
      </c>
      <c r="L60" s="147"/>
      <c r="M60" s="147"/>
      <c r="N60" s="349"/>
      <c r="O60" s="338">
        <f>SUM(I60:N60)</f>
        <v>2263</v>
      </c>
      <c r="P60" s="264"/>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c r="IR60" s="16"/>
      <c r="IS60" s="16"/>
      <c r="IT60" s="16"/>
      <c r="IU60" s="16"/>
      <c r="IV60" s="16"/>
    </row>
    <row r="61" spans="1:256" s="64" customFormat="1" ht="18" customHeight="1" x14ac:dyDescent="0.35">
      <c r="A61" s="73">
        <v>65</v>
      </c>
      <c r="B61" s="262"/>
      <c r="C61" s="17"/>
      <c r="D61" s="334" t="s">
        <v>745</v>
      </c>
      <c r="E61" s="24"/>
      <c r="F61" s="24"/>
      <c r="G61" s="263"/>
      <c r="H61" s="109"/>
      <c r="I61" s="347">
        <v>28</v>
      </c>
      <c r="J61" s="347">
        <v>9</v>
      </c>
      <c r="K61" s="347">
        <v>974</v>
      </c>
      <c r="L61" s="347"/>
      <c r="M61" s="347"/>
      <c r="N61" s="347"/>
      <c r="O61" s="340">
        <f t="shared" ref="O61" si="10">SUM(I61:N61)</f>
        <v>1011</v>
      </c>
      <c r="P61" s="264"/>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c r="IJ61" s="16"/>
      <c r="IK61" s="16"/>
      <c r="IL61" s="16"/>
      <c r="IM61" s="16"/>
      <c r="IN61" s="16"/>
      <c r="IO61" s="16"/>
      <c r="IP61" s="16"/>
      <c r="IQ61" s="16"/>
      <c r="IR61" s="16"/>
      <c r="IS61" s="16"/>
      <c r="IT61" s="16"/>
      <c r="IU61" s="16"/>
      <c r="IV61" s="16"/>
    </row>
    <row r="62" spans="1:256" s="64" customFormat="1" ht="22.35" customHeight="1" x14ac:dyDescent="0.35">
      <c r="A62" s="73">
        <v>67</v>
      </c>
      <c r="B62" s="70"/>
      <c r="C62" s="28">
        <v>30</v>
      </c>
      <c r="D62" s="66" t="s">
        <v>313</v>
      </c>
      <c r="E62" s="141">
        <f>F62+G62+O64+P63</f>
        <v>9280000</v>
      </c>
      <c r="F62" s="265">
        <f>324476+484396+427002+450929+50000+2832016+35972</f>
        <v>4604791</v>
      </c>
      <c r="G62" s="146">
        <v>102334</v>
      </c>
      <c r="H62" s="160" t="s">
        <v>24</v>
      </c>
      <c r="I62" s="114"/>
      <c r="J62" s="114"/>
      <c r="K62" s="114"/>
      <c r="L62" s="114"/>
      <c r="M62" s="114"/>
      <c r="N62" s="258"/>
      <c r="O62" s="87"/>
      <c r="P62" s="264"/>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c r="GH62" s="16"/>
      <c r="GI62" s="16"/>
      <c r="GJ62" s="16"/>
      <c r="GK62" s="16"/>
      <c r="GL62" s="16"/>
      <c r="GM62" s="16"/>
      <c r="GN62" s="16"/>
      <c r="GO62" s="16"/>
      <c r="GP62" s="16"/>
      <c r="GQ62" s="16"/>
      <c r="GR62" s="16"/>
      <c r="GS62" s="16"/>
      <c r="GT62" s="16"/>
      <c r="GU62" s="16"/>
      <c r="GV62" s="16"/>
      <c r="GW62" s="16"/>
      <c r="GX62" s="16"/>
      <c r="GY62" s="16"/>
      <c r="GZ62" s="16"/>
      <c r="HA62" s="16"/>
      <c r="HB62" s="16"/>
      <c r="HC62" s="16"/>
      <c r="HD62" s="16"/>
      <c r="HE62" s="16"/>
      <c r="HF62" s="16"/>
      <c r="HG62" s="16"/>
      <c r="HH62" s="16"/>
      <c r="HI62" s="16"/>
      <c r="HJ62" s="16"/>
      <c r="HK62" s="16"/>
      <c r="HL62" s="16"/>
      <c r="HM62" s="16"/>
      <c r="HN62" s="16"/>
      <c r="HO62" s="16"/>
      <c r="HP62" s="16"/>
      <c r="HQ62" s="16"/>
      <c r="HR62" s="16"/>
      <c r="HS62" s="16"/>
      <c r="HT62" s="16"/>
      <c r="HU62" s="16"/>
      <c r="HV62" s="16"/>
      <c r="HW62" s="16"/>
      <c r="HX62" s="16"/>
      <c r="HY62" s="16"/>
      <c r="HZ62" s="16"/>
      <c r="IA62" s="16"/>
      <c r="IB62" s="16"/>
      <c r="IC62" s="16"/>
      <c r="ID62" s="16"/>
      <c r="IE62" s="16"/>
      <c r="IF62" s="16"/>
      <c r="IG62" s="16"/>
      <c r="IH62" s="16"/>
      <c r="II62" s="16"/>
      <c r="IJ62" s="16"/>
      <c r="IK62" s="16"/>
      <c r="IL62" s="16"/>
      <c r="IM62" s="16"/>
      <c r="IN62" s="16"/>
      <c r="IO62" s="16"/>
      <c r="IP62" s="16"/>
      <c r="IQ62" s="16"/>
      <c r="IR62" s="16"/>
      <c r="IS62" s="16"/>
      <c r="IT62" s="16"/>
      <c r="IU62" s="16"/>
      <c r="IV62" s="16"/>
    </row>
    <row r="63" spans="1:256" s="64" customFormat="1" ht="18" customHeight="1" x14ac:dyDescent="0.35">
      <c r="A63" s="73">
        <v>68</v>
      </c>
      <c r="B63" s="70"/>
      <c r="C63" s="17"/>
      <c r="D63" s="88" t="s">
        <v>239</v>
      </c>
      <c r="E63" s="141"/>
      <c r="F63" s="265"/>
      <c r="G63" s="146"/>
      <c r="H63" s="94"/>
      <c r="I63" s="114"/>
      <c r="J63" s="114"/>
      <c r="K63" s="90">
        <v>1788</v>
      </c>
      <c r="L63" s="90"/>
      <c r="M63" s="90">
        <v>4571087</v>
      </c>
      <c r="N63" s="258"/>
      <c r="O63" s="87">
        <f>SUM(I63:N63)</f>
        <v>4572875</v>
      </c>
      <c r="P63" s="264"/>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6"/>
      <c r="HY63" s="16"/>
      <c r="HZ63" s="16"/>
      <c r="IA63" s="16"/>
      <c r="IB63" s="16"/>
      <c r="IC63" s="16"/>
      <c r="ID63" s="16"/>
      <c r="IE63" s="16"/>
      <c r="IF63" s="16"/>
      <c r="IG63" s="16"/>
      <c r="IH63" s="16"/>
      <c r="II63" s="16"/>
      <c r="IJ63" s="16"/>
      <c r="IK63" s="16"/>
      <c r="IL63" s="16"/>
      <c r="IM63" s="16"/>
      <c r="IN63" s="16"/>
      <c r="IO63" s="16"/>
      <c r="IP63" s="16"/>
      <c r="IQ63" s="16"/>
      <c r="IR63" s="16"/>
      <c r="IS63" s="16"/>
      <c r="IT63" s="16"/>
      <c r="IU63" s="16"/>
      <c r="IV63" s="16"/>
    </row>
    <row r="64" spans="1:256" s="64" customFormat="1" ht="18" customHeight="1" x14ac:dyDescent="0.35">
      <c r="A64" s="73">
        <v>69</v>
      </c>
      <c r="B64" s="70"/>
      <c r="C64" s="17"/>
      <c r="D64" s="335" t="s">
        <v>700</v>
      </c>
      <c r="E64" s="141"/>
      <c r="F64" s="265"/>
      <c r="G64" s="146"/>
      <c r="H64" s="109"/>
      <c r="I64" s="114"/>
      <c r="J64" s="114"/>
      <c r="K64" s="350">
        <v>8138</v>
      </c>
      <c r="L64" s="350"/>
      <c r="M64" s="350">
        <v>4564737</v>
      </c>
      <c r="N64" s="349"/>
      <c r="O64" s="338">
        <f>SUM(I64:N64)</f>
        <v>4572875</v>
      </c>
      <c r="P64" s="264"/>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c r="IG64" s="16"/>
      <c r="IH64" s="16"/>
      <c r="II64" s="16"/>
      <c r="IJ64" s="16"/>
      <c r="IK64" s="16"/>
      <c r="IL64" s="16"/>
      <c r="IM64" s="16"/>
      <c r="IN64" s="16"/>
      <c r="IO64" s="16"/>
      <c r="IP64" s="16"/>
      <c r="IQ64" s="16"/>
      <c r="IR64" s="16"/>
      <c r="IS64" s="16"/>
      <c r="IT64" s="16"/>
      <c r="IU64" s="16"/>
      <c r="IV64" s="16"/>
    </row>
    <row r="65" spans="1:256" s="64" customFormat="1" ht="18" customHeight="1" x14ac:dyDescent="0.35">
      <c r="A65" s="73">
        <v>70</v>
      </c>
      <c r="B65" s="70"/>
      <c r="C65" s="17"/>
      <c r="D65" s="334" t="s">
        <v>742</v>
      </c>
      <c r="E65" s="141"/>
      <c r="F65" s="265"/>
      <c r="G65" s="146"/>
      <c r="H65" s="109"/>
      <c r="I65" s="347"/>
      <c r="J65" s="347"/>
      <c r="K65" s="351"/>
      <c r="L65" s="351"/>
      <c r="M65" s="351"/>
      <c r="N65" s="347"/>
      <c r="O65" s="340">
        <f t="shared" ref="O65" si="11">SUM(I65:N65)</f>
        <v>0</v>
      </c>
      <c r="P65" s="264"/>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6"/>
      <c r="HY65" s="16"/>
      <c r="HZ65" s="16"/>
      <c r="IA65" s="16"/>
      <c r="IB65" s="16"/>
      <c r="IC65" s="16"/>
      <c r="ID65" s="16"/>
      <c r="IE65" s="16"/>
      <c r="IF65" s="16"/>
      <c r="IG65" s="16"/>
      <c r="IH65" s="16"/>
      <c r="II65" s="16"/>
      <c r="IJ65" s="16"/>
      <c r="IK65" s="16"/>
      <c r="IL65" s="16"/>
      <c r="IM65" s="16"/>
      <c r="IN65" s="16"/>
      <c r="IO65" s="16"/>
      <c r="IP65" s="16"/>
      <c r="IQ65" s="16"/>
      <c r="IR65" s="16"/>
      <c r="IS65" s="16"/>
      <c r="IT65" s="16"/>
      <c r="IU65" s="16"/>
      <c r="IV65" s="16"/>
    </row>
    <row r="66" spans="1:256" s="64" customFormat="1" ht="22.35" customHeight="1" x14ac:dyDescent="0.35">
      <c r="A66" s="73">
        <v>72</v>
      </c>
      <c r="B66" s="70"/>
      <c r="C66" s="28">
        <v>31</v>
      </c>
      <c r="D66" s="274" t="s">
        <v>450</v>
      </c>
      <c r="E66" s="141">
        <f>F66+G66+O68+P67</f>
        <v>66122</v>
      </c>
      <c r="F66" s="265">
        <f>35789+25052</f>
        <v>60841</v>
      </c>
      <c r="G66" s="146"/>
      <c r="H66" s="160" t="s">
        <v>24</v>
      </c>
      <c r="I66" s="114"/>
      <c r="J66" s="114"/>
      <c r="K66" s="90"/>
      <c r="L66" s="90"/>
      <c r="M66" s="90"/>
      <c r="N66" s="258"/>
      <c r="O66" s="87"/>
      <c r="P66" s="264"/>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16"/>
      <c r="GM66" s="16"/>
      <c r="GN66" s="16"/>
      <c r="GO66" s="16"/>
      <c r="GP66" s="16"/>
      <c r="GQ66" s="16"/>
      <c r="GR66" s="16"/>
      <c r="GS66" s="16"/>
      <c r="GT66" s="16"/>
      <c r="GU66" s="16"/>
      <c r="GV66" s="16"/>
      <c r="GW66" s="16"/>
      <c r="GX66" s="16"/>
      <c r="GY66" s="16"/>
      <c r="GZ66" s="16"/>
      <c r="HA66" s="16"/>
      <c r="HB66" s="16"/>
      <c r="HC66" s="16"/>
      <c r="HD66" s="16"/>
      <c r="HE66" s="16"/>
      <c r="HF66" s="16"/>
      <c r="HG66" s="16"/>
      <c r="HH66" s="16"/>
      <c r="HI66" s="16"/>
      <c r="HJ66" s="16"/>
      <c r="HK66" s="16"/>
      <c r="HL66" s="16"/>
      <c r="HM66" s="16"/>
      <c r="HN66" s="16"/>
      <c r="HO66" s="16"/>
      <c r="HP66" s="16"/>
      <c r="HQ66" s="16"/>
      <c r="HR66" s="16"/>
      <c r="HS66" s="16"/>
      <c r="HT66" s="16"/>
      <c r="HU66" s="16"/>
      <c r="HV66" s="16"/>
      <c r="HW66" s="16"/>
      <c r="HX66" s="16"/>
      <c r="HY66" s="16"/>
      <c r="HZ66" s="16"/>
      <c r="IA66" s="16"/>
      <c r="IB66" s="16"/>
      <c r="IC66" s="16"/>
      <c r="ID66" s="16"/>
      <c r="IE66" s="16"/>
      <c r="IF66" s="16"/>
      <c r="IG66" s="16"/>
      <c r="IH66" s="16"/>
      <c r="II66" s="16"/>
      <c r="IJ66" s="16"/>
      <c r="IK66" s="16"/>
      <c r="IL66" s="16"/>
      <c r="IM66" s="16"/>
      <c r="IN66" s="16"/>
      <c r="IO66" s="16"/>
      <c r="IP66" s="16"/>
      <c r="IQ66" s="16"/>
      <c r="IR66" s="16"/>
      <c r="IS66" s="16"/>
      <c r="IT66" s="16"/>
      <c r="IU66" s="16"/>
      <c r="IV66" s="16"/>
    </row>
    <row r="67" spans="1:256" s="64" customFormat="1" ht="18" customHeight="1" x14ac:dyDescent="0.35">
      <c r="A67" s="73">
        <v>73</v>
      </c>
      <c r="B67" s="70"/>
      <c r="C67" s="17"/>
      <c r="D67" s="91" t="s">
        <v>239</v>
      </c>
      <c r="E67" s="141"/>
      <c r="F67" s="265"/>
      <c r="G67" s="146"/>
      <c r="H67" s="94"/>
      <c r="I67" s="114"/>
      <c r="J67" s="114"/>
      <c r="K67" s="114">
        <v>5281</v>
      </c>
      <c r="L67" s="114"/>
      <c r="M67" s="114"/>
      <c r="N67" s="258"/>
      <c r="O67" s="87">
        <f>SUM(I67:N67)</f>
        <v>5281</v>
      </c>
      <c r="P67" s="264"/>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c r="GH67" s="16"/>
      <c r="GI67" s="16"/>
      <c r="GJ67" s="16"/>
      <c r="GK67" s="16"/>
      <c r="GL67" s="16"/>
      <c r="GM67" s="16"/>
      <c r="GN67" s="16"/>
      <c r="GO67" s="16"/>
      <c r="GP67" s="16"/>
      <c r="GQ67" s="16"/>
      <c r="GR67" s="16"/>
      <c r="GS67" s="16"/>
      <c r="GT67" s="16"/>
      <c r="GU67" s="16"/>
      <c r="GV67" s="16"/>
      <c r="GW67" s="16"/>
      <c r="GX67" s="16"/>
      <c r="GY67" s="16"/>
      <c r="GZ67" s="16"/>
      <c r="HA67" s="16"/>
      <c r="HB67" s="16"/>
      <c r="HC67" s="16"/>
      <c r="HD67" s="16"/>
      <c r="HE67" s="16"/>
      <c r="HF67" s="16"/>
      <c r="HG67" s="16"/>
      <c r="HH67" s="16"/>
      <c r="HI67" s="16"/>
      <c r="HJ67" s="16"/>
      <c r="HK67" s="16"/>
      <c r="HL67" s="16"/>
      <c r="HM67" s="16"/>
      <c r="HN67" s="16"/>
      <c r="HO67" s="16"/>
      <c r="HP67" s="16"/>
      <c r="HQ67" s="16"/>
      <c r="HR67" s="16"/>
      <c r="HS67" s="16"/>
      <c r="HT67" s="16"/>
      <c r="HU67" s="16"/>
      <c r="HV67" s="16"/>
      <c r="HW67" s="16"/>
      <c r="HX67" s="16"/>
      <c r="HY67" s="16"/>
      <c r="HZ67" s="16"/>
      <c r="IA67" s="16"/>
      <c r="IB67" s="16"/>
      <c r="IC67" s="16"/>
      <c r="ID67" s="16"/>
      <c r="IE67" s="16"/>
      <c r="IF67" s="16"/>
      <c r="IG67" s="16"/>
      <c r="IH67" s="16"/>
      <c r="II67" s="16"/>
      <c r="IJ67" s="16"/>
      <c r="IK67" s="16"/>
      <c r="IL67" s="16"/>
      <c r="IM67" s="16"/>
      <c r="IN67" s="16"/>
      <c r="IO67" s="16"/>
      <c r="IP67" s="16"/>
      <c r="IQ67" s="16"/>
      <c r="IR67" s="16"/>
      <c r="IS67" s="16"/>
      <c r="IT67" s="16"/>
      <c r="IU67" s="16"/>
      <c r="IV67" s="16"/>
    </row>
    <row r="68" spans="1:256" s="64" customFormat="1" ht="18" customHeight="1" x14ac:dyDescent="0.35">
      <c r="A68" s="73">
        <v>74</v>
      </c>
      <c r="B68" s="70"/>
      <c r="C68" s="17"/>
      <c r="D68" s="335" t="s">
        <v>700</v>
      </c>
      <c r="E68" s="141"/>
      <c r="F68" s="265"/>
      <c r="G68" s="146"/>
      <c r="H68" s="109"/>
      <c r="I68" s="114"/>
      <c r="J68" s="114"/>
      <c r="K68" s="147">
        <v>5281</v>
      </c>
      <c r="L68" s="147"/>
      <c r="M68" s="147"/>
      <c r="N68" s="349"/>
      <c r="O68" s="338">
        <f>SUM(I68:N68)</f>
        <v>5281</v>
      </c>
      <c r="P68" s="264"/>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16"/>
      <c r="GS68" s="16"/>
      <c r="GT68" s="16"/>
      <c r="GU68" s="16"/>
      <c r="GV68" s="16"/>
      <c r="GW68" s="16"/>
      <c r="GX68" s="16"/>
      <c r="GY68" s="16"/>
      <c r="GZ68" s="16"/>
      <c r="HA68" s="16"/>
      <c r="HB68" s="16"/>
      <c r="HC68" s="16"/>
      <c r="HD68" s="16"/>
      <c r="HE68" s="16"/>
      <c r="HF68" s="16"/>
      <c r="HG68" s="16"/>
      <c r="HH68" s="16"/>
      <c r="HI68" s="16"/>
      <c r="HJ68" s="16"/>
      <c r="HK68" s="16"/>
      <c r="HL68" s="16"/>
      <c r="HM68" s="16"/>
      <c r="HN68" s="16"/>
      <c r="HO68" s="16"/>
      <c r="HP68" s="16"/>
      <c r="HQ68" s="16"/>
      <c r="HR68" s="16"/>
      <c r="HS68" s="16"/>
      <c r="HT68" s="16"/>
      <c r="HU68" s="16"/>
      <c r="HV68" s="16"/>
      <c r="HW68" s="16"/>
      <c r="HX68" s="16"/>
      <c r="HY68" s="16"/>
      <c r="HZ68" s="16"/>
      <c r="IA68" s="16"/>
      <c r="IB68" s="16"/>
      <c r="IC68" s="16"/>
      <c r="ID68" s="16"/>
      <c r="IE68" s="16"/>
      <c r="IF68" s="16"/>
      <c r="IG68" s="16"/>
      <c r="IH68" s="16"/>
      <c r="II68" s="16"/>
      <c r="IJ68" s="16"/>
      <c r="IK68" s="16"/>
      <c r="IL68" s="16"/>
      <c r="IM68" s="16"/>
      <c r="IN68" s="16"/>
      <c r="IO68" s="16"/>
      <c r="IP68" s="16"/>
      <c r="IQ68" s="16"/>
      <c r="IR68" s="16"/>
      <c r="IS68" s="16"/>
      <c r="IT68" s="16"/>
      <c r="IU68" s="16"/>
      <c r="IV68" s="16"/>
    </row>
    <row r="69" spans="1:256" s="64" customFormat="1" ht="18" customHeight="1" x14ac:dyDescent="0.35">
      <c r="A69" s="73">
        <v>75</v>
      </c>
      <c r="B69" s="70"/>
      <c r="C69" s="17"/>
      <c r="D69" s="334" t="s">
        <v>742</v>
      </c>
      <c r="E69" s="141"/>
      <c r="F69" s="265"/>
      <c r="G69" s="146"/>
      <c r="H69" s="109"/>
      <c r="I69" s="347"/>
      <c r="J69" s="347"/>
      <c r="K69" s="347">
        <v>5281</v>
      </c>
      <c r="L69" s="347"/>
      <c r="M69" s="347"/>
      <c r="N69" s="347"/>
      <c r="O69" s="340">
        <f t="shared" ref="O69" si="12">SUM(I69:N69)</f>
        <v>5281</v>
      </c>
      <c r="P69" s="264"/>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6"/>
      <c r="GG69" s="16"/>
      <c r="GH69" s="16"/>
      <c r="GI69" s="16"/>
      <c r="GJ69" s="16"/>
      <c r="GK69" s="16"/>
      <c r="GL69" s="16"/>
      <c r="GM69" s="16"/>
      <c r="GN69" s="16"/>
      <c r="GO69" s="16"/>
      <c r="GP69" s="16"/>
      <c r="GQ69" s="16"/>
      <c r="GR69" s="16"/>
      <c r="GS69" s="16"/>
      <c r="GT69" s="16"/>
      <c r="GU69" s="16"/>
      <c r="GV69" s="16"/>
      <c r="GW69" s="16"/>
      <c r="GX69" s="16"/>
      <c r="GY69" s="16"/>
      <c r="GZ69" s="16"/>
      <c r="HA69" s="16"/>
      <c r="HB69" s="16"/>
      <c r="HC69" s="16"/>
      <c r="HD69" s="16"/>
      <c r="HE69" s="16"/>
      <c r="HF69" s="16"/>
      <c r="HG69" s="16"/>
      <c r="HH69" s="16"/>
      <c r="HI69" s="16"/>
      <c r="HJ69" s="16"/>
      <c r="HK69" s="16"/>
      <c r="HL69" s="16"/>
      <c r="HM69" s="16"/>
      <c r="HN69" s="16"/>
      <c r="HO69" s="16"/>
      <c r="HP69" s="16"/>
      <c r="HQ69" s="16"/>
      <c r="HR69" s="16"/>
      <c r="HS69" s="16"/>
      <c r="HT69" s="16"/>
      <c r="HU69" s="16"/>
      <c r="HV69" s="16"/>
      <c r="HW69" s="16"/>
      <c r="HX69" s="16"/>
      <c r="HY69" s="16"/>
      <c r="HZ69" s="16"/>
      <c r="IA69" s="16"/>
      <c r="IB69" s="16"/>
      <c r="IC69" s="16"/>
      <c r="ID69" s="16"/>
      <c r="IE69" s="16"/>
      <c r="IF69" s="16"/>
      <c r="IG69" s="16"/>
      <c r="IH69" s="16"/>
      <c r="II69" s="16"/>
      <c r="IJ69" s="16"/>
      <c r="IK69" s="16"/>
      <c r="IL69" s="16"/>
      <c r="IM69" s="16"/>
      <c r="IN69" s="16"/>
      <c r="IO69" s="16"/>
      <c r="IP69" s="16"/>
      <c r="IQ69" s="16"/>
      <c r="IR69" s="16"/>
      <c r="IS69" s="16"/>
      <c r="IT69" s="16"/>
      <c r="IU69" s="16"/>
      <c r="IV69" s="16"/>
    </row>
    <row r="70" spans="1:256" s="64" customFormat="1" ht="33.75" x14ac:dyDescent="0.35">
      <c r="A70" s="73">
        <v>77</v>
      </c>
      <c r="B70" s="70"/>
      <c r="C70" s="17">
        <v>32</v>
      </c>
      <c r="D70" s="115" t="s">
        <v>345</v>
      </c>
      <c r="E70" s="141">
        <f>F70+G70+O72+P71</f>
        <v>5631126</v>
      </c>
      <c r="F70" s="265">
        <f>22482+1024536+3172042</f>
        <v>4219060</v>
      </c>
      <c r="G70" s="146">
        <v>882827</v>
      </c>
      <c r="H70" s="160" t="s">
        <v>24</v>
      </c>
      <c r="I70" s="114"/>
      <c r="J70" s="114"/>
      <c r="K70" s="114"/>
      <c r="L70" s="114"/>
      <c r="M70" s="114"/>
      <c r="N70" s="258"/>
      <c r="O70" s="87"/>
      <c r="P70" s="264"/>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c r="GH70" s="16"/>
      <c r="GI70" s="16"/>
      <c r="GJ70" s="16"/>
      <c r="GK70" s="16"/>
      <c r="GL70" s="16"/>
      <c r="GM70" s="16"/>
      <c r="GN70" s="16"/>
      <c r="GO70" s="16"/>
      <c r="GP70" s="16"/>
      <c r="GQ70" s="16"/>
      <c r="GR70" s="16"/>
      <c r="GS70" s="16"/>
      <c r="GT70" s="16"/>
      <c r="GU70" s="16"/>
      <c r="GV70" s="16"/>
      <c r="GW70" s="16"/>
      <c r="GX70" s="16"/>
      <c r="GY70" s="16"/>
      <c r="GZ70" s="16"/>
      <c r="HA70" s="16"/>
      <c r="HB70" s="16"/>
      <c r="HC70" s="16"/>
      <c r="HD70" s="16"/>
      <c r="HE70" s="16"/>
      <c r="HF70" s="16"/>
      <c r="HG70" s="16"/>
      <c r="HH70" s="16"/>
      <c r="HI70" s="16"/>
      <c r="HJ70" s="16"/>
      <c r="HK70" s="16"/>
      <c r="HL70" s="16"/>
      <c r="HM70" s="16"/>
      <c r="HN70" s="16"/>
      <c r="HO70" s="16"/>
      <c r="HP70" s="16"/>
      <c r="HQ70" s="16"/>
      <c r="HR70" s="16"/>
      <c r="HS70" s="16"/>
      <c r="HT70" s="16"/>
      <c r="HU70" s="16"/>
      <c r="HV70" s="16"/>
      <c r="HW70" s="16"/>
      <c r="HX70" s="16"/>
      <c r="HY70" s="16"/>
      <c r="HZ70" s="16"/>
      <c r="IA70" s="16"/>
      <c r="IB70" s="16"/>
      <c r="IC70" s="16"/>
      <c r="ID70" s="16"/>
      <c r="IE70" s="16"/>
      <c r="IF70" s="16"/>
      <c r="IG70" s="16"/>
      <c r="IH70" s="16"/>
      <c r="II70" s="16"/>
      <c r="IJ70" s="16"/>
      <c r="IK70" s="16"/>
      <c r="IL70" s="16"/>
      <c r="IM70" s="16"/>
      <c r="IN70" s="16"/>
      <c r="IO70" s="16"/>
      <c r="IP70" s="16"/>
      <c r="IQ70" s="16"/>
      <c r="IR70" s="16"/>
      <c r="IS70" s="16"/>
      <c r="IT70" s="16"/>
      <c r="IU70" s="16"/>
      <c r="IV70" s="16"/>
    </row>
    <row r="71" spans="1:256" s="64" customFormat="1" ht="18" customHeight="1" x14ac:dyDescent="0.35">
      <c r="A71" s="73">
        <v>78</v>
      </c>
      <c r="B71" s="70"/>
      <c r="C71" s="17"/>
      <c r="D71" s="91" t="s">
        <v>239</v>
      </c>
      <c r="E71" s="141"/>
      <c r="F71" s="265"/>
      <c r="G71" s="146"/>
      <c r="H71" s="94"/>
      <c r="I71" s="114"/>
      <c r="J71" s="114"/>
      <c r="K71" s="90">
        <v>1038</v>
      </c>
      <c r="L71" s="90"/>
      <c r="M71" s="90">
        <v>528201</v>
      </c>
      <c r="N71" s="258"/>
      <c r="O71" s="87">
        <f>SUM(I71:N71)</f>
        <v>529239</v>
      </c>
      <c r="P71" s="264"/>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c r="GH71" s="16"/>
      <c r="GI71" s="16"/>
      <c r="GJ71" s="16"/>
      <c r="GK71" s="16"/>
      <c r="GL71" s="16"/>
      <c r="GM71" s="16"/>
      <c r="GN71" s="16"/>
      <c r="GO71" s="16"/>
      <c r="GP71" s="16"/>
      <c r="GQ71" s="16"/>
      <c r="GR71" s="16"/>
      <c r="GS71" s="16"/>
      <c r="GT71" s="16"/>
      <c r="GU71" s="16"/>
      <c r="GV71" s="16"/>
      <c r="GW71" s="16"/>
      <c r="GX71" s="16"/>
      <c r="GY71" s="16"/>
      <c r="GZ71" s="16"/>
      <c r="HA71" s="16"/>
      <c r="HB71" s="16"/>
      <c r="HC71" s="16"/>
      <c r="HD71" s="16"/>
      <c r="HE71" s="16"/>
      <c r="HF71" s="16"/>
      <c r="HG71" s="16"/>
      <c r="HH71" s="16"/>
      <c r="HI71" s="16"/>
      <c r="HJ71" s="16"/>
      <c r="HK71" s="16"/>
      <c r="HL71" s="16"/>
      <c r="HM71" s="16"/>
      <c r="HN71" s="16"/>
      <c r="HO71" s="16"/>
      <c r="HP71" s="16"/>
      <c r="HQ71" s="16"/>
      <c r="HR71" s="16"/>
      <c r="HS71" s="16"/>
      <c r="HT71" s="16"/>
      <c r="HU71" s="16"/>
      <c r="HV71" s="16"/>
      <c r="HW71" s="16"/>
      <c r="HX71" s="16"/>
      <c r="HY71" s="16"/>
      <c r="HZ71" s="16"/>
      <c r="IA71" s="16"/>
      <c r="IB71" s="16"/>
      <c r="IC71" s="16"/>
      <c r="ID71" s="16"/>
      <c r="IE71" s="16"/>
      <c r="IF71" s="16"/>
      <c r="IG71" s="16"/>
      <c r="IH71" s="16"/>
      <c r="II71" s="16"/>
      <c r="IJ71" s="16"/>
      <c r="IK71" s="16"/>
      <c r="IL71" s="16"/>
      <c r="IM71" s="16"/>
      <c r="IN71" s="16"/>
      <c r="IO71" s="16"/>
      <c r="IP71" s="16"/>
      <c r="IQ71" s="16"/>
      <c r="IR71" s="16"/>
      <c r="IS71" s="16"/>
      <c r="IT71" s="16"/>
      <c r="IU71" s="16"/>
      <c r="IV71" s="16"/>
    </row>
    <row r="72" spans="1:256" s="64" customFormat="1" ht="18" customHeight="1" x14ac:dyDescent="0.35">
      <c r="A72" s="73">
        <v>79</v>
      </c>
      <c r="B72" s="70"/>
      <c r="C72" s="17"/>
      <c r="D72" s="335" t="s">
        <v>700</v>
      </c>
      <c r="E72" s="141"/>
      <c r="F72" s="265"/>
      <c r="G72" s="146"/>
      <c r="H72" s="109"/>
      <c r="I72" s="114"/>
      <c r="J72" s="114"/>
      <c r="K72" s="352">
        <v>1038</v>
      </c>
      <c r="L72" s="352"/>
      <c r="M72" s="352">
        <v>528201</v>
      </c>
      <c r="N72" s="349"/>
      <c r="O72" s="338">
        <f>SUM(I72:N72)</f>
        <v>529239</v>
      </c>
      <c r="P72" s="264"/>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c r="GH72" s="16"/>
      <c r="GI72" s="16"/>
      <c r="GJ72" s="16"/>
      <c r="GK72" s="16"/>
      <c r="GL72" s="16"/>
      <c r="GM72" s="16"/>
      <c r="GN72" s="16"/>
      <c r="GO72" s="16"/>
      <c r="GP72" s="16"/>
      <c r="GQ72" s="16"/>
      <c r="GR72" s="16"/>
      <c r="GS72" s="16"/>
      <c r="GT72" s="16"/>
      <c r="GU72" s="16"/>
      <c r="GV72" s="16"/>
      <c r="GW72" s="16"/>
      <c r="GX72" s="16"/>
      <c r="GY72" s="16"/>
      <c r="GZ72" s="16"/>
      <c r="HA72" s="16"/>
      <c r="HB72" s="16"/>
      <c r="HC72" s="16"/>
      <c r="HD72" s="16"/>
      <c r="HE72" s="16"/>
      <c r="HF72" s="16"/>
      <c r="HG72" s="16"/>
      <c r="HH72" s="16"/>
      <c r="HI72" s="16"/>
      <c r="HJ72" s="16"/>
      <c r="HK72" s="16"/>
      <c r="HL72" s="16"/>
      <c r="HM72" s="16"/>
      <c r="HN72" s="16"/>
      <c r="HO72" s="16"/>
      <c r="HP72" s="16"/>
      <c r="HQ72" s="16"/>
      <c r="HR72" s="16"/>
      <c r="HS72" s="16"/>
      <c r="HT72" s="16"/>
      <c r="HU72" s="16"/>
      <c r="HV72" s="16"/>
      <c r="HW72" s="16"/>
      <c r="HX72" s="16"/>
      <c r="HY72" s="16"/>
      <c r="HZ72" s="16"/>
      <c r="IA72" s="16"/>
      <c r="IB72" s="16"/>
      <c r="IC72" s="16"/>
      <c r="ID72" s="16"/>
      <c r="IE72" s="16"/>
      <c r="IF72" s="16"/>
      <c r="IG72" s="16"/>
      <c r="IH72" s="16"/>
      <c r="II72" s="16"/>
      <c r="IJ72" s="16"/>
      <c r="IK72" s="16"/>
      <c r="IL72" s="16"/>
      <c r="IM72" s="16"/>
      <c r="IN72" s="16"/>
      <c r="IO72" s="16"/>
      <c r="IP72" s="16"/>
      <c r="IQ72" s="16"/>
      <c r="IR72" s="16"/>
      <c r="IS72" s="16"/>
      <c r="IT72" s="16"/>
      <c r="IU72" s="16"/>
      <c r="IV72" s="16"/>
    </row>
    <row r="73" spans="1:256" s="64" customFormat="1" ht="18" customHeight="1" x14ac:dyDescent="0.35">
      <c r="A73" s="73">
        <v>80</v>
      </c>
      <c r="B73" s="70"/>
      <c r="C73" s="17"/>
      <c r="D73" s="334" t="s">
        <v>742</v>
      </c>
      <c r="E73" s="141"/>
      <c r="F73" s="265"/>
      <c r="G73" s="146"/>
      <c r="H73" s="109"/>
      <c r="I73" s="346"/>
      <c r="J73" s="346"/>
      <c r="K73" s="508">
        <v>468</v>
      </c>
      <c r="L73" s="508"/>
      <c r="M73" s="508">
        <v>216030</v>
      </c>
      <c r="N73" s="346"/>
      <c r="O73" s="340">
        <f>SUM(I73:N73)</f>
        <v>216498</v>
      </c>
      <c r="P73" s="264"/>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6"/>
      <c r="HY73" s="16"/>
      <c r="HZ73" s="16"/>
      <c r="IA73" s="16"/>
      <c r="IB73" s="16"/>
      <c r="IC73" s="16"/>
      <c r="ID73" s="16"/>
      <c r="IE73" s="16"/>
      <c r="IF73" s="16"/>
      <c r="IG73" s="16"/>
      <c r="IH73" s="16"/>
      <c r="II73" s="16"/>
      <c r="IJ73" s="16"/>
      <c r="IK73" s="16"/>
      <c r="IL73" s="16"/>
      <c r="IM73" s="16"/>
      <c r="IN73" s="16"/>
      <c r="IO73" s="16"/>
      <c r="IP73" s="16"/>
      <c r="IQ73" s="16"/>
      <c r="IR73" s="16"/>
      <c r="IS73" s="16"/>
      <c r="IT73" s="16"/>
      <c r="IU73" s="16"/>
      <c r="IV73" s="16"/>
    </row>
    <row r="74" spans="1:256" s="64" customFormat="1" ht="22.35" customHeight="1" x14ac:dyDescent="0.35">
      <c r="A74" s="73">
        <v>82</v>
      </c>
      <c r="B74" s="70"/>
      <c r="C74" s="28">
        <v>33</v>
      </c>
      <c r="D74" s="115" t="s">
        <v>510</v>
      </c>
      <c r="E74" s="141">
        <f>F74+G74+O76+P75</f>
        <v>19990</v>
      </c>
      <c r="F74" s="265"/>
      <c r="G74" s="146">
        <v>19926</v>
      </c>
      <c r="H74" s="160" t="s">
        <v>24</v>
      </c>
      <c r="I74" s="114"/>
      <c r="J74" s="114"/>
      <c r="K74" s="114"/>
      <c r="L74" s="114"/>
      <c r="M74" s="114"/>
      <c r="N74" s="258"/>
      <c r="O74" s="87"/>
      <c r="P74" s="264"/>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c r="HH74" s="16"/>
      <c r="HI74" s="16"/>
      <c r="HJ74" s="16"/>
      <c r="HK74" s="16"/>
      <c r="HL74" s="16"/>
      <c r="HM74" s="16"/>
      <c r="HN74" s="16"/>
      <c r="HO74" s="16"/>
      <c r="HP74" s="16"/>
      <c r="HQ74" s="16"/>
      <c r="HR74" s="16"/>
      <c r="HS74" s="16"/>
      <c r="HT74" s="16"/>
      <c r="HU74" s="16"/>
      <c r="HV74" s="16"/>
      <c r="HW74" s="16"/>
      <c r="HX74" s="16"/>
      <c r="HY74" s="16"/>
      <c r="HZ74" s="16"/>
      <c r="IA74" s="16"/>
      <c r="IB74" s="16"/>
      <c r="IC74" s="16"/>
      <c r="ID74" s="16"/>
      <c r="IE74" s="16"/>
      <c r="IF74" s="16"/>
      <c r="IG74" s="16"/>
      <c r="IH74" s="16"/>
      <c r="II74" s="16"/>
      <c r="IJ74" s="16"/>
      <c r="IK74" s="16"/>
      <c r="IL74" s="16"/>
      <c r="IM74" s="16"/>
      <c r="IN74" s="16"/>
      <c r="IO74" s="16"/>
      <c r="IP74" s="16"/>
      <c r="IQ74" s="16"/>
      <c r="IR74" s="16"/>
      <c r="IS74" s="16"/>
      <c r="IT74" s="16"/>
      <c r="IU74" s="16"/>
      <c r="IV74" s="16"/>
    </row>
    <row r="75" spans="1:256" s="64" customFormat="1" ht="18" customHeight="1" x14ac:dyDescent="0.35">
      <c r="A75" s="73">
        <v>83</v>
      </c>
      <c r="B75" s="70"/>
      <c r="C75" s="17"/>
      <c r="D75" s="91" t="s">
        <v>239</v>
      </c>
      <c r="E75" s="141"/>
      <c r="F75" s="141"/>
      <c r="G75" s="266"/>
      <c r="H75" s="94"/>
      <c r="I75" s="114"/>
      <c r="J75" s="114"/>
      <c r="K75" s="114"/>
      <c r="L75" s="114"/>
      <c r="M75" s="114"/>
      <c r="N75" s="114">
        <v>64</v>
      </c>
      <c r="O75" s="87">
        <f>SUM(I75:N75)</f>
        <v>64</v>
      </c>
      <c r="P75" s="264"/>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c r="GH75" s="16"/>
      <c r="GI75" s="16"/>
      <c r="GJ75" s="16"/>
      <c r="GK75" s="16"/>
      <c r="GL75" s="16"/>
      <c r="GM75" s="16"/>
      <c r="GN75" s="16"/>
      <c r="GO75" s="16"/>
      <c r="GP75" s="16"/>
      <c r="GQ75" s="16"/>
      <c r="GR75" s="16"/>
      <c r="GS75" s="16"/>
      <c r="GT75" s="16"/>
      <c r="GU75" s="16"/>
      <c r="GV75" s="16"/>
      <c r="GW75" s="16"/>
      <c r="GX75" s="16"/>
      <c r="GY75" s="16"/>
      <c r="GZ75" s="16"/>
      <c r="HA75" s="16"/>
      <c r="HB75" s="16"/>
      <c r="HC75" s="16"/>
      <c r="HD75" s="16"/>
      <c r="HE75" s="16"/>
      <c r="HF75" s="16"/>
      <c r="HG75" s="16"/>
      <c r="HH75" s="16"/>
      <c r="HI75" s="16"/>
      <c r="HJ75" s="16"/>
      <c r="HK75" s="16"/>
      <c r="HL75" s="16"/>
      <c r="HM75" s="16"/>
      <c r="HN75" s="16"/>
      <c r="HO75" s="16"/>
      <c r="HP75" s="16"/>
      <c r="HQ75" s="16"/>
      <c r="HR75" s="16"/>
      <c r="HS75" s="16"/>
      <c r="HT75" s="16"/>
      <c r="HU75" s="16"/>
      <c r="HV75" s="16"/>
      <c r="HW75" s="16"/>
      <c r="HX75" s="16"/>
      <c r="HY75" s="16"/>
      <c r="HZ75" s="16"/>
      <c r="IA75" s="16"/>
      <c r="IB75" s="16"/>
      <c r="IC75" s="16"/>
      <c r="ID75" s="16"/>
      <c r="IE75" s="16"/>
      <c r="IF75" s="16"/>
      <c r="IG75" s="16"/>
      <c r="IH75" s="16"/>
      <c r="II75" s="16"/>
      <c r="IJ75" s="16"/>
      <c r="IK75" s="16"/>
      <c r="IL75" s="16"/>
      <c r="IM75" s="16"/>
      <c r="IN75" s="16"/>
      <c r="IO75" s="16"/>
      <c r="IP75" s="16"/>
      <c r="IQ75" s="16"/>
      <c r="IR75" s="16"/>
      <c r="IS75" s="16"/>
      <c r="IT75" s="16"/>
      <c r="IU75" s="16"/>
      <c r="IV75" s="16"/>
    </row>
    <row r="76" spans="1:256" s="64" customFormat="1" ht="18" customHeight="1" x14ac:dyDescent="0.35">
      <c r="A76" s="73">
        <v>84</v>
      </c>
      <c r="B76" s="70"/>
      <c r="C76" s="17"/>
      <c r="D76" s="335" t="s">
        <v>700</v>
      </c>
      <c r="E76" s="141"/>
      <c r="F76" s="141"/>
      <c r="G76" s="266"/>
      <c r="H76" s="109"/>
      <c r="I76" s="114"/>
      <c r="J76" s="114"/>
      <c r="K76" s="114"/>
      <c r="L76" s="114"/>
      <c r="M76" s="114"/>
      <c r="N76" s="147">
        <v>64</v>
      </c>
      <c r="O76" s="338">
        <f>SUM(I76:N76)</f>
        <v>64</v>
      </c>
      <c r="P76" s="264"/>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6"/>
      <c r="HY76" s="16"/>
      <c r="HZ76" s="16"/>
      <c r="IA76" s="16"/>
      <c r="IB76" s="16"/>
      <c r="IC76" s="16"/>
      <c r="ID76" s="16"/>
      <c r="IE76" s="16"/>
      <c r="IF76" s="16"/>
      <c r="IG76" s="16"/>
      <c r="IH76" s="16"/>
      <c r="II76" s="16"/>
      <c r="IJ76" s="16"/>
      <c r="IK76" s="16"/>
      <c r="IL76" s="16"/>
      <c r="IM76" s="16"/>
      <c r="IN76" s="16"/>
      <c r="IO76" s="16"/>
      <c r="IP76" s="16"/>
      <c r="IQ76" s="16"/>
      <c r="IR76" s="16"/>
      <c r="IS76" s="16"/>
      <c r="IT76" s="16"/>
      <c r="IU76" s="16"/>
      <c r="IV76" s="16"/>
    </row>
    <row r="77" spans="1:256" s="64" customFormat="1" ht="18" customHeight="1" x14ac:dyDescent="0.35">
      <c r="A77" s="73">
        <v>85</v>
      </c>
      <c r="B77" s="70"/>
      <c r="C77" s="17"/>
      <c r="D77" s="334" t="s">
        <v>742</v>
      </c>
      <c r="E77" s="141"/>
      <c r="F77" s="141"/>
      <c r="G77" s="266"/>
      <c r="H77" s="109"/>
      <c r="I77" s="347"/>
      <c r="J77" s="347"/>
      <c r="K77" s="347"/>
      <c r="L77" s="347"/>
      <c r="M77" s="347"/>
      <c r="N77" s="347"/>
      <c r="O77" s="340">
        <f t="shared" ref="O77" si="13">SUM(I77:N77)</f>
        <v>0</v>
      </c>
      <c r="P77" s="264"/>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c r="HH77" s="16"/>
      <c r="HI77" s="16"/>
      <c r="HJ77" s="16"/>
      <c r="HK77" s="16"/>
      <c r="HL77" s="16"/>
      <c r="HM77" s="16"/>
      <c r="HN77" s="16"/>
      <c r="HO77" s="16"/>
      <c r="HP77" s="16"/>
      <c r="HQ77" s="16"/>
      <c r="HR77" s="16"/>
      <c r="HS77" s="16"/>
      <c r="HT77" s="16"/>
      <c r="HU77" s="16"/>
      <c r="HV77" s="16"/>
      <c r="HW77" s="16"/>
      <c r="HX77" s="16"/>
      <c r="HY77" s="16"/>
      <c r="HZ77" s="16"/>
      <c r="IA77" s="16"/>
      <c r="IB77" s="16"/>
      <c r="IC77" s="16"/>
      <c r="ID77" s="16"/>
      <c r="IE77" s="16"/>
      <c r="IF77" s="16"/>
      <c r="IG77" s="16"/>
      <c r="IH77" s="16"/>
      <c r="II77" s="16"/>
      <c r="IJ77" s="16"/>
      <c r="IK77" s="16"/>
      <c r="IL77" s="16"/>
      <c r="IM77" s="16"/>
      <c r="IN77" s="16"/>
      <c r="IO77" s="16"/>
      <c r="IP77" s="16"/>
      <c r="IQ77" s="16"/>
      <c r="IR77" s="16"/>
      <c r="IS77" s="16"/>
      <c r="IT77" s="16"/>
      <c r="IU77" s="16"/>
      <c r="IV77" s="16"/>
    </row>
    <row r="78" spans="1:256" s="64" customFormat="1" ht="22.5" customHeight="1" x14ac:dyDescent="0.35">
      <c r="A78" s="73">
        <v>87</v>
      </c>
      <c r="B78" s="70"/>
      <c r="C78" s="28">
        <v>34</v>
      </c>
      <c r="D78" s="18" t="s">
        <v>602</v>
      </c>
      <c r="E78" s="141">
        <f>F78+G78+O80+P79</f>
        <v>27550</v>
      </c>
      <c r="F78" s="141"/>
      <c r="G78" s="266">
        <v>17467</v>
      </c>
      <c r="H78" s="109" t="s">
        <v>24</v>
      </c>
      <c r="I78" s="114"/>
      <c r="J78" s="114"/>
      <c r="K78" s="114"/>
      <c r="L78" s="114"/>
      <c r="M78" s="114"/>
      <c r="N78" s="114"/>
      <c r="O78" s="87"/>
      <c r="P78" s="264"/>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c r="HH78" s="16"/>
      <c r="HI78" s="16"/>
      <c r="HJ78" s="16"/>
      <c r="HK78" s="16"/>
      <c r="HL78" s="16"/>
      <c r="HM78" s="16"/>
      <c r="HN78" s="16"/>
      <c r="HO78" s="16"/>
      <c r="HP78" s="16"/>
      <c r="HQ78" s="16"/>
      <c r="HR78" s="16"/>
      <c r="HS78" s="16"/>
      <c r="HT78" s="16"/>
      <c r="HU78" s="16"/>
      <c r="HV78" s="16"/>
      <c r="HW78" s="16"/>
      <c r="HX78" s="16"/>
      <c r="HY78" s="16"/>
      <c r="HZ78" s="16"/>
      <c r="IA78" s="16"/>
      <c r="IB78" s="16"/>
      <c r="IC78" s="16"/>
      <c r="ID78" s="16"/>
      <c r="IE78" s="16"/>
      <c r="IF78" s="16"/>
      <c r="IG78" s="16"/>
      <c r="IH78" s="16"/>
      <c r="II78" s="16"/>
      <c r="IJ78" s="16"/>
      <c r="IK78" s="16"/>
      <c r="IL78" s="16"/>
      <c r="IM78" s="16"/>
      <c r="IN78" s="16"/>
      <c r="IO78" s="16"/>
      <c r="IP78" s="16"/>
      <c r="IQ78" s="16"/>
      <c r="IR78" s="16"/>
      <c r="IS78" s="16"/>
      <c r="IT78" s="16"/>
      <c r="IU78" s="16"/>
      <c r="IV78" s="16"/>
    </row>
    <row r="79" spans="1:256" s="64" customFormat="1" ht="18" customHeight="1" x14ac:dyDescent="0.35">
      <c r="A79" s="73">
        <v>88</v>
      </c>
      <c r="B79" s="70"/>
      <c r="C79" s="17"/>
      <c r="D79" s="91" t="s">
        <v>239</v>
      </c>
      <c r="E79" s="141"/>
      <c r="F79" s="141"/>
      <c r="G79" s="266"/>
      <c r="H79" s="109"/>
      <c r="I79" s="114"/>
      <c r="J79" s="114"/>
      <c r="K79" s="114">
        <v>10083</v>
      </c>
      <c r="L79" s="114"/>
      <c r="M79" s="114"/>
      <c r="N79" s="114"/>
      <c r="O79" s="87">
        <f>SUM(I79:N79)</f>
        <v>10083</v>
      </c>
      <c r="P79" s="264"/>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c r="GH79" s="16"/>
      <c r="GI79" s="16"/>
      <c r="GJ79" s="16"/>
      <c r="GK79" s="16"/>
      <c r="GL79" s="16"/>
      <c r="GM79" s="16"/>
      <c r="GN79" s="16"/>
      <c r="GO79" s="16"/>
      <c r="GP79" s="16"/>
      <c r="GQ79" s="16"/>
      <c r="GR79" s="16"/>
      <c r="GS79" s="16"/>
      <c r="GT79" s="16"/>
      <c r="GU79" s="16"/>
      <c r="GV79" s="16"/>
      <c r="GW79" s="16"/>
      <c r="GX79" s="16"/>
      <c r="GY79" s="16"/>
      <c r="GZ79" s="16"/>
      <c r="HA79" s="16"/>
      <c r="HB79" s="16"/>
      <c r="HC79" s="16"/>
      <c r="HD79" s="16"/>
      <c r="HE79" s="16"/>
      <c r="HF79" s="16"/>
      <c r="HG79" s="16"/>
      <c r="HH79" s="16"/>
      <c r="HI79" s="16"/>
      <c r="HJ79" s="16"/>
      <c r="HK79" s="16"/>
      <c r="HL79" s="16"/>
      <c r="HM79" s="16"/>
      <c r="HN79" s="16"/>
      <c r="HO79" s="16"/>
      <c r="HP79" s="16"/>
      <c r="HQ79" s="16"/>
      <c r="HR79" s="16"/>
      <c r="HS79" s="16"/>
      <c r="HT79" s="16"/>
      <c r="HU79" s="16"/>
      <c r="HV79" s="16"/>
      <c r="HW79" s="16"/>
      <c r="HX79" s="16"/>
      <c r="HY79" s="16"/>
      <c r="HZ79" s="16"/>
      <c r="IA79" s="16"/>
      <c r="IB79" s="16"/>
      <c r="IC79" s="16"/>
      <c r="ID79" s="16"/>
      <c r="IE79" s="16"/>
      <c r="IF79" s="16"/>
      <c r="IG79" s="16"/>
      <c r="IH79" s="16"/>
      <c r="II79" s="16"/>
      <c r="IJ79" s="16"/>
      <c r="IK79" s="16"/>
      <c r="IL79" s="16"/>
      <c r="IM79" s="16"/>
      <c r="IN79" s="16"/>
      <c r="IO79" s="16"/>
      <c r="IP79" s="16"/>
      <c r="IQ79" s="16"/>
      <c r="IR79" s="16"/>
      <c r="IS79" s="16"/>
      <c r="IT79" s="16"/>
      <c r="IU79" s="16"/>
      <c r="IV79" s="16"/>
    </row>
    <row r="80" spans="1:256" s="64" customFormat="1" ht="18" customHeight="1" x14ac:dyDescent="0.35">
      <c r="A80" s="73">
        <v>89</v>
      </c>
      <c r="B80" s="70"/>
      <c r="C80" s="17"/>
      <c r="D80" s="335" t="s">
        <v>700</v>
      </c>
      <c r="E80" s="141"/>
      <c r="F80" s="141"/>
      <c r="G80" s="266"/>
      <c r="H80" s="109"/>
      <c r="I80" s="114"/>
      <c r="J80" s="114"/>
      <c r="K80" s="147">
        <v>10083</v>
      </c>
      <c r="L80" s="147"/>
      <c r="M80" s="147"/>
      <c r="N80" s="147"/>
      <c r="O80" s="338">
        <f>SUM(I80:N80)</f>
        <v>10083</v>
      </c>
      <c r="P80" s="264"/>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6"/>
      <c r="HY80" s="16"/>
      <c r="HZ80" s="16"/>
      <c r="IA80" s="16"/>
      <c r="IB80" s="16"/>
      <c r="IC80" s="16"/>
      <c r="ID80" s="16"/>
      <c r="IE80" s="16"/>
      <c r="IF80" s="16"/>
      <c r="IG80" s="16"/>
      <c r="IH80" s="16"/>
      <c r="II80" s="16"/>
      <c r="IJ80" s="16"/>
      <c r="IK80" s="16"/>
      <c r="IL80" s="16"/>
      <c r="IM80" s="16"/>
      <c r="IN80" s="16"/>
      <c r="IO80" s="16"/>
      <c r="IP80" s="16"/>
      <c r="IQ80" s="16"/>
      <c r="IR80" s="16"/>
      <c r="IS80" s="16"/>
      <c r="IT80" s="16"/>
      <c r="IU80" s="16"/>
      <c r="IV80" s="16"/>
    </row>
    <row r="81" spans="1:256" s="64" customFormat="1" ht="18" customHeight="1" x14ac:dyDescent="0.35">
      <c r="A81" s="73">
        <v>90</v>
      </c>
      <c r="B81" s="70"/>
      <c r="C81" s="17"/>
      <c r="D81" s="334" t="s">
        <v>742</v>
      </c>
      <c r="E81" s="141"/>
      <c r="F81" s="141"/>
      <c r="G81" s="266"/>
      <c r="H81" s="109"/>
      <c r="I81" s="347"/>
      <c r="J81" s="347"/>
      <c r="K81" s="347">
        <v>10083</v>
      </c>
      <c r="L81" s="347"/>
      <c r="M81" s="347"/>
      <c r="N81" s="347"/>
      <c r="O81" s="340">
        <f t="shared" ref="O81" si="14">SUM(I81:N81)</f>
        <v>10083</v>
      </c>
      <c r="P81" s="264"/>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c r="GH81" s="16"/>
      <c r="GI81" s="16"/>
      <c r="GJ81" s="16"/>
      <c r="GK81" s="16"/>
      <c r="GL81" s="16"/>
      <c r="GM81" s="16"/>
      <c r="GN81" s="16"/>
      <c r="GO81" s="16"/>
      <c r="GP81" s="16"/>
      <c r="GQ81" s="16"/>
      <c r="GR81" s="16"/>
      <c r="GS81" s="16"/>
      <c r="GT81" s="16"/>
      <c r="GU81" s="16"/>
      <c r="GV81" s="16"/>
      <c r="GW81" s="16"/>
      <c r="GX81" s="16"/>
      <c r="GY81" s="16"/>
      <c r="GZ81" s="16"/>
      <c r="HA81" s="16"/>
      <c r="HB81" s="16"/>
      <c r="HC81" s="16"/>
      <c r="HD81" s="16"/>
      <c r="HE81" s="16"/>
      <c r="HF81" s="16"/>
      <c r="HG81" s="16"/>
      <c r="HH81" s="16"/>
      <c r="HI81" s="16"/>
      <c r="HJ81" s="16"/>
      <c r="HK81" s="16"/>
      <c r="HL81" s="16"/>
      <c r="HM81" s="16"/>
      <c r="HN81" s="16"/>
      <c r="HO81" s="16"/>
      <c r="HP81" s="16"/>
      <c r="HQ81" s="16"/>
      <c r="HR81" s="16"/>
      <c r="HS81" s="16"/>
      <c r="HT81" s="16"/>
      <c r="HU81" s="16"/>
      <c r="HV81" s="16"/>
      <c r="HW81" s="16"/>
      <c r="HX81" s="16"/>
      <c r="HY81" s="16"/>
      <c r="HZ81" s="16"/>
      <c r="IA81" s="16"/>
      <c r="IB81" s="16"/>
      <c r="IC81" s="16"/>
      <c r="ID81" s="16"/>
      <c r="IE81" s="16"/>
      <c r="IF81" s="16"/>
      <c r="IG81" s="16"/>
      <c r="IH81" s="16"/>
      <c r="II81" s="16"/>
      <c r="IJ81" s="16"/>
      <c r="IK81" s="16"/>
      <c r="IL81" s="16"/>
      <c r="IM81" s="16"/>
      <c r="IN81" s="16"/>
      <c r="IO81" s="16"/>
      <c r="IP81" s="16"/>
      <c r="IQ81" s="16"/>
      <c r="IR81" s="16"/>
      <c r="IS81" s="16"/>
      <c r="IT81" s="16"/>
      <c r="IU81" s="16"/>
      <c r="IV81" s="16"/>
    </row>
    <row r="82" spans="1:256" s="64" customFormat="1" ht="33.75" x14ac:dyDescent="0.35">
      <c r="A82" s="73">
        <v>92</v>
      </c>
      <c r="B82" s="70"/>
      <c r="C82" s="17">
        <v>35</v>
      </c>
      <c r="D82" s="18" t="s">
        <v>511</v>
      </c>
      <c r="E82" s="141">
        <f>F82+G82+O84+P83</f>
        <v>19296</v>
      </c>
      <c r="F82" s="141"/>
      <c r="G82" s="266"/>
      <c r="H82" s="160" t="s">
        <v>24</v>
      </c>
      <c r="I82" s="114"/>
      <c r="J82" s="114"/>
      <c r="K82" s="114"/>
      <c r="L82" s="114"/>
      <c r="M82" s="114"/>
      <c r="N82" s="258"/>
      <c r="O82" s="87"/>
      <c r="P82" s="264"/>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GY82" s="16"/>
      <c r="GZ82" s="16"/>
      <c r="HA82" s="16"/>
      <c r="HB82" s="16"/>
      <c r="HC82" s="16"/>
      <c r="HD82" s="16"/>
      <c r="HE82" s="16"/>
      <c r="HF82" s="16"/>
      <c r="HG82" s="16"/>
      <c r="HH82" s="16"/>
      <c r="HI82" s="16"/>
      <c r="HJ82" s="16"/>
      <c r="HK82" s="16"/>
      <c r="HL82" s="16"/>
      <c r="HM82" s="16"/>
      <c r="HN82" s="16"/>
      <c r="HO82" s="16"/>
      <c r="HP82" s="16"/>
      <c r="HQ82" s="16"/>
      <c r="HR82" s="16"/>
      <c r="HS82" s="16"/>
      <c r="HT82" s="16"/>
      <c r="HU82" s="16"/>
      <c r="HV82" s="16"/>
      <c r="HW82" s="16"/>
      <c r="HX82" s="16"/>
      <c r="HY82" s="16"/>
      <c r="HZ82" s="16"/>
      <c r="IA82" s="16"/>
      <c r="IB82" s="16"/>
      <c r="IC82" s="16"/>
      <c r="ID82" s="16"/>
      <c r="IE82" s="16"/>
      <c r="IF82" s="16"/>
      <c r="IG82" s="16"/>
      <c r="IH82" s="16"/>
      <c r="II82" s="16"/>
      <c r="IJ82" s="16"/>
      <c r="IK82" s="16"/>
      <c r="IL82" s="16"/>
      <c r="IM82" s="16"/>
      <c r="IN82" s="16"/>
      <c r="IO82" s="16"/>
      <c r="IP82" s="16"/>
      <c r="IQ82" s="16"/>
      <c r="IR82" s="16"/>
      <c r="IS82" s="16"/>
      <c r="IT82" s="16"/>
      <c r="IU82" s="16"/>
      <c r="IV82" s="16"/>
    </row>
    <row r="83" spans="1:256" s="64" customFormat="1" ht="18" customHeight="1" x14ac:dyDescent="0.35">
      <c r="A83" s="73">
        <v>93</v>
      </c>
      <c r="B83" s="112"/>
      <c r="C83" s="142"/>
      <c r="D83" s="106" t="s">
        <v>239</v>
      </c>
      <c r="E83" s="107"/>
      <c r="F83" s="107"/>
      <c r="G83" s="158"/>
      <c r="H83" s="109"/>
      <c r="I83" s="143"/>
      <c r="J83" s="143"/>
      <c r="K83" s="143">
        <v>19296</v>
      </c>
      <c r="L83" s="143"/>
      <c r="M83" s="143"/>
      <c r="N83" s="159"/>
      <c r="O83" s="105">
        <f>SUM(I83:N83)</f>
        <v>19296</v>
      </c>
      <c r="P83" s="322"/>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c r="FG83" s="16"/>
      <c r="FH83" s="1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c r="GH83" s="16"/>
      <c r="GI83" s="16"/>
      <c r="GJ83" s="16"/>
      <c r="GK83" s="16"/>
      <c r="GL83" s="16"/>
      <c r="GM83" s="16"/>
      <c r="GN83" s="16"/>
      <c r="GO83" s="16"/>
      <c r="GP83" s="16"/>
      <c r="GQ83" s="16"/>
      <c r="GR83" s="16"/>
      <c r="GS83" s="16"/>
      <c r="GT83" s="16"/>
      <c r="GU83" s="16"/>
      <c r="GV83" s="16"/>
      <c r="GW83" s="16"/>
      <c r="GX83" s="16"/>
      <c r="GY83" s="16"/>
      <c r="GZ83" s="16"/>
      <c r="HA83" s="16"/>
      <c r="HB83" s="16"/>
      <c r="HC83" s="16"/>
      <c r="HD83" s="16"/>
      <c r="HE83" s="16"/>
      <c r="HF83" s="16"/>
      <c r="HG83" s="16"/>
      <c r="HH83" s="16"/>
      <c r="HI83" s="16"/>
      <c r="HJ83" s="16"/>
      <c r="HK83" s="16"/>
      <c r="HL83" s="16"/>
      <c r="HM83" s="16"/>
      <c r="HN83" s="16"/>
      <c r="HO83" s="16"/>
      <c r="HP83" s="16"/>
      <c r="HQ83" s="16"/>
      <c r="HR83" s="16"/>
      <c r="HS83" s="16"/>
      <c r="HT83" s="16"/>
      <c r="HU83" s="16"/>
      <c r="HV83" s="16"/>
      <c r="HW83" s="16"/>
      <c r="HX83" s="16"/>
      <c r="HY83" s="16"/>
      <c r="HZ83" s="16"/>
      <c r="IA83" s="16"/>
      <c r="IB83" s="16"/>
      <c r="IC83" s="16"/>
      <c r="ID83" s="16"/>
      <c r="IE83" s="16"/>
      <c r="IF83" s="16"/>
      <c r="IG83" s="16"/>
      <c r="IH83" s="16"/>
      <c r="II83" s="16"/>
      <c r="IJ83" s="16"/>
      <c r="IK83" s="16"/>
      <c r="IL83" s="16"/>
      <c r="IM83" s="16"/>
      <c r="IN83" s="16"/>
      <c r="IO83" s="16"/>
      <c r="IP83" s="16"/>
      <c r="IQ83" s="16"/>
      <c r="IR83" s="16"/>
      <c r="IS83" s="16"/>
      <c r="IT83" s="16"/>
      <c r="IU83" s="16"/>
      <c r="IV83" s="16"/>
    </row>
    <row r="84" spans="1:256" s="64" customFormat="1" ht="18" customHeight="1" x14ac:dyDescent="0.35">
      <c r="A84" s="73">
        <v>94</v>
      </c>
      <c r="B84" s="112"/>
      <c r="C84" s="358"/>
      <c r="D84" s="335" t="s">
        <v>700</v>
      </c>
      <c r="E84" s="107"/>
      <c r="F84" s="107"/>
      <c r="G84" s="158"/>
      <c r="H84" s="109"/>
      <c r="I84" s="143"/>
      <c r="J84" s="143"/>
      <c r="K84" s="336">
        <v>19296</v>
      </c>
      <c r="L84" s="336"/>
      <c r="M84" s="336"/>
      <c r="N84" s="337"/>
      <c r="O84" s="341">
        <f>SUM(I84:N84)</f>
        <v>19296</v>
      </c>
      <c r="P84" s="322"/>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c r="GH84" s="16"/>
      <c r="GI84" s="16"/>
      <c r="GJ84" s="16"/>
      <c r="GK84" s="16"/>
      <c r="GL84" s="16"/>
      <c r="GM84" s="16"/>
      <c r="GN84" s="16"/>
      <c r="GO84" s="16"/>
      <c r="GP84" s="16"/>
      <c r="GQ84" s="16"/>
      <c r="GR84" s="16"/>
      <c r="GS84" s="16"/>
      <c r="GT84" s="16"/>
      <c r="GU84" s="16"/>
      <c r="GV84" s="16"/>
      <c r="GW84" s="16"/>
      <c r="GX84" s="16"/>
      <c r="GY84" s="16"/>
      <c r="GZ84" s="16"/>
      <c r="HA84" s="16"/>
      <c r="HB84" s="16"/>
      <c r="HC84" s="16"/>
      <c r="HD84" s="16"/>
      <c r="HE84" s="16"/>
      <c r="HF84" s="16"/>
      <c r="HG84" s="16"/>
      <c r="HH84" s="16"/>
      <c r="HI84" s="16"/>
      <c r="HJ84" s="16"/>
      <c r="HK84" s="16"/>
      <c r="HL84" s="16"/>
      <c r="HM84" s="16"/>
      <c r="HN84" s="16"/>
      <c r="HO84" s="16"/>
      <c r="HP84" s="16"/>
      <c r="HQ84" s="16"/>
      <c r="HR84" s="16"/>
      <c r="HS84" s="16"/>
      <c r="HT84" s="16"/>
      <c r="HU84" s="16"/>
      <c r="HV84" s="16"/>
      <c r="HW84" s="16"/>
      <c r="HX84" s="16"/>
      <c r="HY84" s="16"/>
      <c r="HZ84" s="16"/>
      <c r="IA84" s="16"/>
      <c r="IB84" s="16"/>
      <c r="IC84" s="16"/>
      <c r="ID84" s="16"/>
      <c r="IE84" s="16"/>
      <c r="IF84" s="16"/>
      <c r="IG84" s="16"/>
      <c r="IH84" s="16"/>
      <c r="II84" s="16"/>
      <c r="IJ84" s="16"/>
      <c r="IK84" s="16"/>
      <c r="IL84" s="16"/>
      <c r="IM84" s="16"/>
      <c r="IN84" s="16"/>
      <c r="IO84" s="16"/>
      <c r="IP84" s="16"/>
      <c r="IQ84" s="16"/>
      <c r="IR84" s="16"/>
      <c r="IS84" s="16"/>
      <c r="IT84" s="16"/>
      <c r="IU84" s="16"/>
      <c r="IV84" s="16"/>
    </row>
    <row r="85" spans="1:256" s="64" customFormat="1" ht="18" customHeight="1" x14ac:dyDescent="0.35">
      <c r="A85" s="73">
        <v>95</v>
      </c>
      <c r="B85" s="70"/>
      <c r="C85" s="324"/>
      <c r="D85" s="334" t="s">
        <v>742</v>
      </c>
      <c r="E85" s="24"/>
      <c r="F85" s="24"/>
      <c r="G85" s="263"/>
      <c r="H85" s="94"/>
      <c r="I85" s="347"/>
      <c r="J85" s="347"/>
      <c r="K85" s="347"/>
      <c r="L85" s="347"/>
      <c r="M85" s="347"/>
      <c r="N85" s="347"/>
      <c r="O85" s="342">
        <f t="shared" ref="O85:O88" si="15">SUM(I85:N85)</f>
        <v>0</v>
      </c>
      <c r="P85" s="264"/>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row>
    <row r="86" spans="1:256" s="64" customFormat="1" ht="22.5" customHeight="1" x14ac:dyDescent="0.35">
      <c r="A86" s="73">
        <v>97</v>
      </c>
      <c r="B86" s="262"/>
      <c r="C86" s="17">
        <v>36</v>
      </c>
      <c r="D86" s="18" t="s">
        <v>738</v>
      </c>
      <c r="E86" s="24">
        <f>F86+G86+O87</f>
        <v>5000</v>
      </c>
      <c r="F86" s="24"/>
      <c r="G86" s="263"/>
      <c r="H86" s="94" t="s">
        <v>24</v>
      </c>
      <c r="I86" s="147"/>
      <c r="J86" s="147"/>
      <c r="K86" s="147"/>
      <c r="L86" s="147"/>
      <c r="M86" s="147"/>
      <c r="N86" s="349"/>
      <c r="O86" s="338"/>
      <c r="P86" s="264"/>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c r="GH86" s="16"/>
      <c r="GI86" s="16"/>
      <c r="GJ86" s="16"/>
      <c r="GK86" s="16"/>
      <c r="GL86" s="16"/>
      <c r="GM86" s="16"/>
      <c r="GN86" s="16"/>
      <c r="GO86" s="16"/>
      <c r="GP86" s="16"/>
      <c r="GQ86" s="16"/>
      <c r="GR86" s="16"/>
      <c r="GS86" s="16"/>
      <c r="GT86" s="16"/>
      <c r="GU86" s="16"/>
      <c r="GV86" s="16"/>
      <c r="GW86" s="16"/>
      <c r="GX86" s="16"/>
      <c r="GY86" s="16"/>
      <c r="GZ86" s="16"/>
      <c r="HA86" s="16"/>
      <c r="HB86" s="16"/>
      <c r="HC86" s="16"/>
      <c r="HD86" s="16"/>
      <c r="HE86" s="16"/>
      <c r="HF86" s="16"/>
      <c r="HG86" s="16"/>
      <c r="HH86" s="16"/>
      <c r="HI86" s="16"/>
      <c r="HJ86" s="16"/>
      <c r="HK86" s="16"/>
      <c r="HL86" s="16"/>
      <c r="HM86" s="16"/>
      <c r="HN86" s="16"/>
      <c r="HO86" s="16"/>
      <c r="HP86" s="16"/>
      <c r="HQ86" s="16"/>
      <c r="HR86" s="16"/>
      <c r="HS86" s="16"/>
      <c r="HT86" s="16"/>
      <c r="HU86" s="16"/>
      <c r="HV86" s="16"/>
      <c r="HW86" s="16"/>
      <c r="HX86" s="16"/>
      <c r="HY86" s="16"/>
      <c r="HZ86" s="16"/>
      <c r="IA86" s="16"/>
      <c r="IB86" s="16"/>
      <c r="IC86" s="16"/>
      <c r="ID86" s="16"/>
      <c r="IE86" s="16"/>
      <c r="IF86" s="16"/>
      <c r="IG86" s="16"/>
      <c r="IH86" s="16"/>
      <c r="II86" s="16"/>
      <c r="IJ86" s="16"/>
      <c r="IK86" s="16"/>
      <c r="IL86" s="16"/>
      <c r="IM86" s="16"/>
      <c r="IN86" s="16"/>
      <c r="IO86" s="16"/>
      <c r="IP86" s="16"/>
      <c r="IQ86" s="16"/>
      <c r="IR86" s="16"/>
      <c r="IS86" s="16"/>
      <c r="IT86" s="16"/>
      <c r="IU86" s="16"/>
      <c r="IV86" s="16"/>
    </row>
    <row r="87" spans="1:256" s="64" customFormat="1" ht="18" customHeight="1" x14ac:dyDescent="0.35">
      <c r="A87" s="73">
        <v>98</v>
      </c>
      <c r="B87" s="262"/>
      <c r="C87" s="17"/>
      <c r="D87" s="335" t="s">
        <v>700</v>
      </c>
      <c r="E87" s="24"/>
      <c r="F87" s="24"/>
      <c r="G87" s="263"/>
      <c r="H87" s="94"/>
      <c r="I87" s="147"/>
      <c r="J87" s="147"/>
      <c r="K87" s="147">
        <v>5000</v>
      </c>
      <c r="L87" s="147"/>
      <c r="M87" s="147"/>
      <c r="N87" s="349"/>
      <c r="O87" s="341">
        <f>SUM(I87:N87)</f>
        <v>5000</v>
      </c>
      <c r="P87" s="264"/>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c r="GH87" s="16"/>
      <c r="GI87" s="16"/>
      <c r="GJ87" s="16"/>
      <c r="GK87" s="16"/>
      <c r="GL87" s="16"/>
      <c r="GM87" s="16"/>
      <c r="GN87" s="16"/>
      <c r="GO87" s="16"/>
      <c r="GP87" s="16"/>
      <c r="GQ87" s="16"/>
      <c r="GR87" s="16"/>
      <c r="GS87" s="16"/>
      <c r="GT87" s="16"/>
      <c r="GU87" s="16"/>
      <c r="GV87" s="16"/>
      <c r="GW87" s="16"/>
      <c r="GX87" s="16"/>
      <c r="GY87" s="16"/>
      <c r="GZ87" s="16"/>
      <c r="HA87" s="16"/>
      <c r="HB87" s="16"/>
      <c r="HC87" s="16"/>
      <c r="HD87" s="16"/>
      <c r="HE87" s="16"/>
      <c r="HF87" s="16"/>
      <c r="HG87" s="16"/>
      <c r="HH87" s="16"/>
      <c r="HI87" s="16"/>
      <c r="HJ87" s="16"/>
      <c r="HK87" s="16"/>
      <c r="HL87" s="16"/>
      <c r="HM87" s="16"/>
      <c r="HN87" s="16"/>
      <c r="HO87" s="16"/>
      <c r="HP87" s="16"/>
      <c r="HQ87" s="16"/>
      <c r="HR87" s="16"/>
      <c r="HS87" s="16"/>
      <c r="HT87" s="16"/>
      <c r="HU87" s="16"/>
      <c r="HV87" s="16"/>
      <c r="HW87" s="16"/>
      <c r="HX87" s="16"/>
      <c r="HY87" s="16"/>
      <c r="HZ87" s="16"/>
      <c r="IA87" s="16"/>
      <c r="IB87" s="16"/>
      <c r="IC87" s="16"/>
      <c r="ID87" s="16"/>
      <c r="IE87" s="16"/>
      <c r="IF87" s="16"/>
      <c r="IG87" s="16"/>
      <c r="IH87" s="16"/>
      <c r="II87" s="16"/>
      <c r="IJ87" s="16"/>
      <c r="IK87" s="16"/>
      <c r="IL87" s="16"/>
      <c r="IM87" s="16"/>
      <c r="IN87" s="16"/>
      <c r="IO87" s="16"/>
      <c r="IP87" s="16"/>
      <c r="IQ87" s="16"/>
      <c r="IR87" s="16"/>
      <c r="IS87" s="16"/>
      <c r="IT87" s="16"/>
      <c r="IU87" s="16"/>
      <c r="IV87" s="16"/>
    </row>
    <row r="88" spans="1:256" s="64" customFormat="1" ht="18" customHeight="1" x14ac:dyDescent="0.35">
      <c r="A88" s="73">
        <v>99</v>
      </c>
      <c r="B88" s="262"/>
      <c r="C88" s="17"/>
      <c r="D88" s="334" t="s">
        <v>742</v>
      </c>
      <c r="E88" s="24"/>
      <c r="F88" s="24"/>
      <c r="G88" s="263"/>
      <c r="H88" s="94"/>
      <c r="I88" s="147"/>
      <c r="J88" s="147"/>
      <c r="K88" s="347">
        <v>5000</v>
      </c>
      <c r="L88" s="147"/>
      <c r="M88" s="147"/>
      <c r="N88" s="349"/>
      <c r="O88" s="342">
        <f t="shared" si="15"/>
        <v>5000</v>
      </c>
      <c r="P88" s="264"/>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c r="HH88" s="16"/>
      <c r="HI88" s="16"/>
      <c r="HJ88" s="16"/>
      <c r="HK88" s="16"/>
      <c r="HL88" s="16"/>
      <c r="HM88" s="16"/>
      <c r="HN88" s="16"/>
      <c r="HO88" s="16"/>
      <c r="HP88" s="16"/>
      <c r="HQ88" s="16"/>
      <c r="HR88" s="16"/>
      <c r="HS88" s="16"/>
      <c r="HT88" s="16"/>
      <c r="HU88" s="16"/>
      <c r="HV88" s="16"/>
      <c r="HW88" s="16"/>
      <c r="HX88" s="16"/>
      <c r="HY88" s="16"/>
      <c r="HZ88" s="16"/>
      <c r="IA88" s="16"/>
      <c r="IB88" s="16"/>
      <c r="IC88" s="16"/>
      <c r="ID88" s="16"/>
      <c r="IE88" s="16"/>
      <c r="IF88" s="16"/>
      <c r="IG88" s="16"/>
      <c r="IH88" s="16"/>
      <c r="II88" s="16"/>
      <c r="IJ88" s="16"/>
      <c r="IK88" s="16"/>
      <c r="IL88" s="16"/>
      <c r="IM88" s="16"/>
      <c r="IN88" s="16"/>
      <c r="IO88" s="16"/>
      <c r="IP88" s="16"/>
      <c r="IQ88" s="16"/>
      <c r="IR88" s="16"/>
      <c r="IS88" s="16"/>
      <c r="IT88" s="16"/>
      <c r="IU88" s="16"/>
      <c r="IV88" s="16"/>
    </row>
    <row r="89" spans="1:256" s="64" customFormat="1" ht="22.5" customHeight="1" x14ac:dyDescent="0.35">
      <c r="A89" s="73">
        <v>101</v>
      </c>
      <c r="B89" s="157"/>
      <c r="C89" s="17">
        <v>37</v>
      </c>
      <c r="D89" s="18" t="s">
        <v>739</v>
      </c>
      <c r="E89" s="24">
        <f>F89+G89+O90</f>
        <v>39000</v>
      </c>
      <c r="F89" s="24"/>
      <c r="G89" s="263"/>
      <c r="H89" s="94" t="s">
        <v>24</v>
      </c>
      <c r="I89" s="147"/>
      <c r="J89" s="147"/>
      <c r="K89" s="147"/>
      <c r="L89" s="147"/>
      <c r="M89" s="147"/>
      <c r="N89" s="349"/>
      <c r="O89" s="338"/>
      <c r="P89" s="264"/>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c r="HN89" s="16"/>
      <c r="HO89" s="16"/>
      <c r="HP89" s="16"/>
      <c r="HQ89" s="16"/>
      <c r="HR89" s="16"/>
      <c r="HS89" s="16"/>
      <c r="HT89" s="16"/>
      <c r="HU89" s="16"/>
      <c r="HV89" s="16"/>
      <c r="HW89" s="16"/>
      <c r="HX89" s="16"/>
      <c r="HY89" s="16"/>
      <c r="HZ89" s="16"/>
      <c r="IA89" s="16"/>
      <c r="IB89" s="16"/>
      <c r="IC89" s="16"/>
      <c r="ID89" s="16"/>
      <c r="IE89" s="16"/>
      <c r="IF89" s="16"/>
      <c r="IG89" s="16"/>
      <c r="IH89" s="16"/>
      <c r="II89" s="16"/>
      <c r="IJ89" s="16"/>
      <c r="IK89" s="16"/>
      <c r="IL89" s="16"/>
      <c r="IM89" s="16"/>
      <c r="IN89" s="16"/>
      <c r="IO89" s="16"/>
      <c r="IP89" s="16"/>
      <c r="IQ89" s="16"/>
      <c r="IR89" s="16"/>
      <c r="IS89" s="16"/>
      <c r="IT89" s="16"/>
      <c r="IU89" s="16"/>
      <c r="IV89" s="16"/>
    </row>
    <row r="90" spans="1:256" s="64" customFormat="1" ht="18" customHeight="1" x14ac:dyDescent="0.35">
      <c r="A90" s="73">
        <v>102</v>
      </c>
      <c r="B90" s="157"/>
      <c r="C90" s="17"/>
      <c r="D90" s="335" t="s">
        <v>700</v>
      </c>
      <c r="E90" s="24"/>
      <c r="F90" s="24"/>
      <c r="G90" s="263"/>
      <c r="H90" s="94"/>
      <c r="I90" s="147"/>
      <c r="J90" s="147"/>
      <c r="K90" s="147"/>
      <c r="L90" s="147"/>
      <c r="M90" s="147">
        <v>39000</v>
      </c>
      <c r="N90" s="349"/>
      <c r="O90" s="341">
        <f>SUM(I90:N90)</f>
        <v>39000</v>
      </c>
      <c r="P90" s="264"/>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c r="GH90" s="16"/>
      <c r="GI90" s="16"/>
      <c r="GJ90" s="16"/>
      <c r="GK90" s="16"/>
      <c r="GL90" s="16"/>
      <c r="GM90" s="16"/>
      <c r="GN90" s="16"/>
      <c r="GO90" s="16"/>
      <c r="GP90" s="16"/>
      <c r="GQ90" s="16"/>
      <c r="GR90" s="16"/>
      <c r="GS90" s="16"/>
      <c r="GT90" s="16"/>
      <c r="GU90" s="16"/>
      <c r="GV90" s="16"/>
      <c r="GW90" s="16"/>
      <c r="GX90" s="16"/>
      <c r="GY90" s="16"/>
      <c r="GZ90" s="16"/>
      <c r="HA90" s="16"/>
      <c r="HB90" s="16"/>
      <c r="HC90" s="16"/>
      <c r="HD90" s="16"/>
      <c r="HE90" s="16"/>
      <c r="HF90" s="16"/>
      <c r="HG90" s="16"/>
      <c r="HH90" s="16"/>
      <c r="HI90" s="16"/>
      <c r="HJ90" s="16"/>
      <c r="HK90" s="16"/>
      <c r="HL90" s="16"/>
      <c r="HM90" s="16"/>
      <c r="HN90" s="16"/>
      <c r="HO90" s="16"/>
      <c r="HP90" s="16"/>
      <c r="HQ90" s="16"/>
      <c r="HR90" s="16"/>
      <c r="HS90" s="16"/>
      <c r="HT90" s="16"/>
      <c r="HU90" s="16"/>
      <c r="HV90" s="16"/>
      <c r="HW90" s="16"/>
      <c r="HX90" s="16"/>
      <c r="HY90" s="16"/>
      <c r="HZ90" s="16"/>
      <c r="IA90" s="16"/>
      <c r="IB90" s="16"/>
      <c r="IC90" s="16"/>
      <c r="ID90" s="16"/>
      <c r="IE90" s="16"/>
      <c r="IF90" s="16"/>
      <c r="IG90" s="16"/>
      <c r="IH90" s="16"/>
      <c r="II90" s="16"/>
      <c r="IJ90" s="16"/>
      <c r="IK90" s="16"/>
      <c r="IL90" s="16"/>
      <c r="IM90" s="16"/>
      <c r="IN90" s="16"/>
      <c r="IO90" s="16"/>
      <c r="IP90" s="16"/>
      <c r="IQ90" s="16"/>
      <c r="IR90" s="16"/>
      <c r="IS90" s="16"/>
      <c r="IT90" s="16"/>
      <c r="IU90" s="16"/>
      <c r="IV90" s="16"/>
    </row>
    <row r="91" spans="1:256" s="64" customFormat="1" ht="18" customHeight="1" x14ac:dyDescent="0.35">
      <c r="A91" s="73">
        <v>103</v>
      </c>
      <c r="B91" s="157"/>
      <c r="C91" s="17"/>
      <c r="D91" s="334" t="s">
        <v>742</v>
      </c>
      <c r="E91" s="24"/>
      <c r="F91" s="24"/>
      <c r="G91" s="263"/>
      <c r="H91" s="94"/>
      <c r="I91" s="147"/>
      <c r="J91" s="147"/>
      <c r="K91" s="347"/>
      <c r="L91" s="147"/>
      <c r="M91" s="347"/>
      <c r="N91" s="349"/>
      <c r="O91" s="342">
        <f t="shared" ref="O91" si="16">SUM(I91:N91)</f>
        <v>0</v>
      </c>
      <c r="P91" s="264"/>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c r="HH91" s="16"/>
      <c r="HI91" s="16"/>
      <c r="HJ91" s="16"/>
      <c r="HK91" s="16"/>
      <c r="HL91" s="16"/>
      <c r="HM91" s="16"/>
      <c r="HN91" s="16"/>
      <c r="HO91" s="16"/>
      <c r="HP91" s="16"/>
      <c r="HQ91" s="16"/>
      <c r="HR91" s="16"/>
      <c r="HS91" s="16"/>
      <c r="HT91" s="16"/>
      <c r="HU91" s="16"/>
      <c r="HV91" s="16"/>
      <c r="HW91" s="16"/>
      <c r="HX91" s="16"/>
      <c r="HY91" s="16"/>
      <c r="HZ91" s="16"/>
      <c r="IA91" s="16"/>
      <c r="IB91" s="16"/>
      <c r="IC91" s="16"/>
      <c r="ID91" s="16"/>
      <c r="IE91" s="16"/>
      <c r="IF91" s="16"/>
      <c r="IG91" s="16"/>
      <c r="IH91" s="16"/>
      <c r="II91" s="16"/>
      <c r="IJ91" s="16"/>
      <c r="IK91" s="16"/>
      <c r="IL91" s="16"/>
      <c r="IM91" s="16"/>
      <c r="IN91" s="16"/>
      <c r="IO91" s="16"/>
      <c r="IP91" s="16"/>
      <c r="IQ91" s="16"/>
      <c r="IR91" s="16"/>
      <c r="IS91" s="16"/>
      <c r="IT91" s="16"/>
      <c r="IU91" s="16"/>
      <c r="IV91" s="16"/>
    </row>
    <row r="92" spans="1:256" s="64" customFormat="1" ht="22.5" customHeight="1" x14ac:dyDescent="0.35">
      <c r="A92" s="73">
        <v>105</v>
      </c>
      <c r="B92" s="157"/>
      <c r="C92" s="17">
        <v>38</v>
      </c>
      <c r="D92" s="18" t="s">
        <v>724</v>
      </c>
      <c r="E92" s="24">
        <f>F92+G92+O93</f>
        <v>26102</v>
      </c>
      <c r="F92" s="24"/>
      <c r="G92" s="263"/>
      <c r="H92" s="94" t="s">
        <v>24</v>
      </c>
      <c r="I92" s="147"/>
      <c r="J92" s="147"/>
      <c r="K92" s="147"/>
      <c r="L92" s="147"/>
      <c r="M92" s="147"/>
      <c r="N92" s="349"/>
      <c r="O92" s="338"/>
      <c r="P92" s="264"/>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c r="GH92" s="16"/>
      <c r="GI92" s="16"/>
      <c r="GJ92" s="16"/>
      <c r="GK92" s="16"/>
      <c r="GL92" s="16"/>
      <c r="GM92" s="16"/>
      <c r="GN92" s="16"/>
      <c r="GO92" s="16"/>
      <c r="GP92" s="16"/>
      <c r="GQ92" s="16"/>
      <c r="GR92" s="16"/>
      <c r="GS92" s="16"/>
      <c r="GT92" s="16"/>
      <c r="GU92" s="16"/>
      <c r="GV92" s="16"/>
      <c r="GW92" s="16"/>
      <c r="GX92" s="16"/>
      <c r="GY92" s="16"/>
      <c r="GZ92" s="16"/>
      <c r="HA92" s="16"/>
      <c r="HB92" s="16"/>
      <c r="HC92" s="16"/>
      <c r="HD92" s="16"/>
      <c r="HE92" s="16"/>
      <c r="HF92" s="16"/>
      <c r="HG92" s="16"/>
      <c r="HH92" s="16"/>
      <c r="HI92" s="16"/>
      <c r="HJ92" s="16"/>
      <c r="HK92" s="16"/>
      <c r="HL92" s="16"/>
      <c r="HM92" s="16"/>
      <c r="HN92" s="16"/>
      <c r="HO92" s="16"/>
      <c r="HP92" s="16"/>
      <c r="HQ92" s="16"/>
      <c r="HR92" s="16"/>
      <c r="HS92" s="16"/>
      <c r="HT92" s="16"/>
      <c r="HU92" s="16"/>
      <c r="HV92" s="16"/>
      <c r="HW92" s="16"/>
      <c r="HX92" s="16"/>
      <c r="HY92" s="16"/>
      <c r="HZ92" s="16"/>
      <c r="IA92" s="16"/>
      <c r="IB92" s="16"/>
      <c r="IC92" s="16"/>
      <c r="ID92" s="16"/>
      <c r="IE92" s="16"/>
      <c r="IF92" s="16"/>
      <c r="IG92" s="16"/>
      <c r="IH92" s="16"/>
      <c r="II92" s="16"/>
      <c r="IJ92" s="16"/>
      <c r="IK92" s="16"/>
      <c r="IL92" s="16"/>
      <c r="IM92" s="16"/>
      <c r="IN92" s="16"/>
      <c r="IO92" s="16"/>
      <c r="IP92" s="16"/>
      <c r="IQ92" s="16"/>
      <c r="IR92" s="16"/>
      <c r="IS92" s="16"/>
      <c r="IT92" s="16"/>
      <c r="IU92" s="16"/>
      <c r="IV92" s="16"/>
    </row>
    <row r="93" spans="1:256" s="64" customFormat="1" ht="18" customHeight="1" x14ac:dyDescent="0.35">
      <c r="A93" s="73">
        <v>106</v>
      </c>
      <c r="B93" s="157"/>
      <c r="C93" s="17"/>
      <c r="D93" s="335" t="s">
        <v>700</v>
      </c>
      <c r="E93" s="24"/>
      <c r="F93" s="24"/>
      <c r="G93" s="263"/>
      <c r="H93" s="94"/>
      <c r="I93" s="147"/>
      <c r="J93" s="147"/>
      <c r="K93" s="147"/>
      <c r="L93" s="147"/>
      <c r="M93" s="147">
        <v>26102</v>
      </c>
      <c r="N93" s="349"/>
      <c r="O93" s="341">
        <f>SUM(I93:N93)</f>
        <v>26102</v>
      </c>
      <c r="P93" s="264"/>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c r="HH93" s="16"/>
      <c r="HI93" s="16"/>
      <c r="HJ93" s="16"/>
      <c r="HK93" s="16"/>
      <c r="HL93" s="16"/>
      <c r="HM93" s="16"/>
      <c r="HN93" s="16"/>
      <c r="HO93" s="16"/>
      <c r="HP93" s="16"/>
      <c r="HQ93" s="16"/>
      <c r="HR93" s="16"/>
      <c r="HS93" s="16"/>
      <c r="HT93" s="16"/>
      <c r="HU93" s="16"/>
      <c r="HV93" s="16"/>
      <c r="HW93" s="16"/>
      <c r="HX93" s="16"/>
      <c r="HY93" s="16"/>
      <c r="HZ93" s="16"/>
      <c r="IA93" s="16"/>
      <c r="IB93" s="16"/>
      <c r="IC93" s="16"/>
      <c r="ID93" s="16"/>
      <c r="IE93" s="16"/>
      <c r="IF93" s="16"/>
      <c r="IG93" s="16"/>
      <c r="IH93" s="16"/>
      <c r="II93" s="16"/>
      <c r="IJ93" s="16"/>
      <c r="IK93" s="16"/>
      <c r="IL93" s="16"/>
      <c r="IM93" s="16"/>
      <c r="IN93" s="16"/>
      <c r="IO93" s="16"/>
      <c r="IP93" s="16"/>
      <c r="IQ93" s="16"/>
      <c r="IR93" s="16"/>
      <c r="IS93" s="16"/>
      <c r="IT93" s="16"/>
      <c r="IU93" s="16"/>
      <c r="IV93" s="16"/>
    </row>
    <row r="94" spans="1:256" s="64" customFormat="1" ht="18" customHeight="1" x14ac:dyDescent="0.35">
      <c r="A94" s="73">
        <v>107</v>
      </c>
      <c r="B94" s="157"/>
      <c r="C94" s="17"/>
      <c r="D94" s="334" t="s">
        <v>742</v>
      </c>
      <c r="E94" s="24"/>
      <c r="F94" s="24"/>
      <c r="G94" s="263"/>
      <c r="H94" s="94"/>
      <c r="I94" s="147"/>
      <c r="J94" s="147"/>
      <c r="K94" s="347"/>
      <c r="L94" s="147"/>
      <c r="M94" s="347"/>
      <c r="N94" s="349"/>
      <c r="O94" s="342">
        <f t="shared" ref="O94" si="17">SUM(I94:N94)</f>
        <v>0</v>
      </c>
      <c r="P94" s="264"/>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c r="HH94" s="16"/>
      <c r="HI94" s="16"/>
      <c r="HJ94" s="16"/>
      <c r="HK94" s="16"/>
      <c r="HL94" s="16"/>
      <c r="HM94" s="16"/>
      <c r="HN94" s="16"/>
      <c r="HO94" s="16"/>
      <c r="HP94" s="16"/>
      <c r="HQ94" s="16"/>
      <c r="HR94" s="16"/>
      <c r="HS94" s="16"/>
      <c r="HT94" s="16"/>
      <c r="HU94" s="16"/>
      <c r="HV94" s="16"/>
      <c r="HW94" s="16"/>
      <c r="HX94" s="16"/>
      <c r="HY94" s="16"/>
      <c r="HZ94" s="16"/>
      <c r="IA94" s="16"/>
      <c r="IB94" s="16"/>
      <c r="IC94" s="16"/>
      <c r="ID94" s="16"/>
      <c r="IE94" s="16"/>
      <c r="IF94" s="16"/>
      <c r="IG94" s="16"/>
      <c r="IH94" s="16"/>
      <c r="II94" s="16"/>
      <c r="IJ94" s="16"/>
      <c r="IK94" s="16"/>
      <c r="IL94" s="16"/>
      <c r="IM94" s="16"/>
      <c r="IN94" s="16"/>
      <c r="IO94" s="16"/>
      <c r="IP94" s="16"/>
      <c r="IQ94" s="16"/>
      <c r="IR94" s="16"/>
      <c r="IS94" s="16"/>
      <c r="IT94" s="16"/>
      <c r="IU94" s="16"/>
      <c r="IV94" s="16"/>
    </row>
    <row r="95" spans="1:256" s="64" customFormat="1" ht="22.5" customHeight="1" x14ac:dyDescent="0.35">
      <c r="A95" s="73">
        <v>109</v>
      </c>
      <c r="B95" s="262"/>
      <c r="C95" s="17">
        <v>39</v>
      </c>
      <c r="D95" s="365" t="s">
        <v>725</v>
      </c>
      <c r="E95" s="24">
        <f>F95+G95+O96</f>
        <v>5000</v>
      </c>
      <c r="F95" s="24"/>
      <c r="G95" s="263"/>
      <c r="H95" s="94" t="s">
        <v>24</v>
      </c>
      <c r="I95" s="147"/>
      <c r="J95" s="147"/>
      <c r="K95" s="147"/>
      <c r="L95" s="147"/>
      <c r="M95" s="147"/>
      <c r="N95" s="349"/>
      <c r="O95" s="338"/>
      <c r="P95" s="264"/>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c r="GH95" s="16"/>
      <c r="GI95" s="16"/>
      <c r="GJ95" s="16"/>
      <c r="GK95" s="16"/>
      <c r="GL95" s="16"/>
      <c r="GM95" s="16"/>
      <c r="GN95" s="16"/>
      <c r="GO95" s="16"/>
      <c r="GP95" s="16"/>
      <c r="GQ95" s="16"/>
      <c r="GR95" s="16"/>
      <c r="GS95" s="16"/>
      <c r="GT95" s="16"/>
      <c r="GU95" s="16"/>
      <c r="GV95" s="16"/>
      <c r="GW95" s="16"/>
      <c r="GX95" s="16"/>
      <c r="GY95" s="16"/>
      <c r="GZ95" s="16"/>
      <c r="HA95" s="16"/>
      <c r="HB95" s="16"/>
      <c r="HC95" s="16"/>
      <c r="HD95" s="16"/>
      <c r="HE95" s="16"/>
      <c r="HF95" s="16"/>
      <c r="HG95" s="16"/>
      <c r="HH95" s="16"/>
      <c r="HI95" s="16"/>
      <c r="HJ95" s="16"/>
      <c r="HK95" s="16"/>
      <c r="HL95" s="16"/>
      <c r="HM95" s="16"/>
      <c r="HN95" s="16"/>
      <c r="HO95" s="16"/>
      <c r="HP95" s="16"/>
      <c r="HQ95" s="16"/>
      <c r="HR95" s="16"/>
      <c r="HS95" s="16"/>
      <c r="HT95" s="16"/>
      <c r="HU95" s="16"/>
      <c r="HV95" s="16"/>
      <c r="HW95" s="16"/>
      <c r="HX95" s="16"/>
      <c r="HY95" s="16"/>
      <c r="HZ95" s="16"/>
      <c r="IA95" s="16"/>
      <c r="IB95" s="16"/>
      <c r="IC95" s="16"/>
      <c r="ID95" s="16"/>
      <c r="IE95" s="16"/>
      <c r="IF95" s="16"/>
      <c r="IG95" s="16"/>
      <c r="IH95" s="16"/>
      <c r="II95" s="16"/>
      <c r="IJ95" s="16"/>
      <c r="IK95" s="16"/>
      <c r="IL95" s="16"/>
      <c r="IM95" s="16"/>
      <c r="IN95" s="16"/>
      <c r="IO95" s="16"/>
      <c r="IP95" s="16"/>
      <c r="IQ95" s="16"/>
      <c r="IR95" s="16"/>
      <c r="IS95" s="16"/>
      <c r="IT95" s="16"/>
      <c r="IU95" s="16"/>
      <c r="IV95" s="16"/>
    </row>
    <row r="96" spans="1:256" s="64" customFormat="1" ht="18" customHeight="1" x14ac:dyDescent="0.35">
      <c r="A96" s="73">
        <v>110</v>
      </c>
      <c r="B96" s="262"/>
      <c r="C96" s="17"/>
      <c r="D96" s="335" t="s">
        <v>700</v>
      </c>
      <c r="E96" s="24"/>
      <c r="F96" s="24"/>
      <c r="G96" s="263"/>
      <c r="H96" s="94"/>
      <c r="I96" s="147"/>
      <c r="J96" s="147"/>
      <c r="K96" s="147"/>
      <c r="L96" s="147"/>
      <c r="M96" s="147">
        <v>5000</v>
      </c>
      <c r="N96" s="349"/>
      <c r="O96" s="341">
        <f>SUM(I96:N96)</f>
        <v>5000</v>
      </c>
      <c r="P96" s="264"/>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c r="GH96" s="16"/>
      <c r="GI96" s="16"/>
      <c r="GJ96" s="16"/>
      <c r="GK96" s="16"/>
      <c r="GL96" s="16"/>
      <c r="GM96" s="16"/>
      <c r="GN96" s="16"/>
      <c r="GO96" s="16"/>
      <c r="GP96" s="16"/>
      <c r="GQ96" s="16"/>
      <c r="GR96" s="16"/>
      <c r="GS96" s="16"/>
      <c r="GT96" s="16"/>
      <c r="GU96" s="16"/>
      <c r="GV96" s="16"/>
      <c r="GW96" s="16"/>
      <c r="GX96" s="16"/>
      <c r="GY96" s="16"/>
      <c r="GZ96" s="16"/>
      <c r="HA96" s="16"/>
      <c r="HB96" s="16"/>
      <c r="HC96" s="16"/>
      <c r="HD96" s="16"/>
      <c r="HE96" s="16"/>
      <c r="HF96" s="16"/>
      <c r="HG96" s="16"/>
      <c r="HH96" s="16"/>
      <c r="HI96" s="16"/>
      <c r="HJ96" s="16"/>
      <c r="HK96" s="16"/>
      <c r="HL96" s="16"/>
      <c r="HM96" s="16"/>
      <c r="HN96" s="16"/>
      <c r="HO96" s="16"/>
      <c r="HP96" s="16"/>
      <c r="HQ96" s="16"/>
      <c r="HR96" s="16"/>
      <c r="HS96" s="16"/>
      <c r="HT96" s="16"/>
      <c r="HU96" s="16"/>
      <c r="HV96" s="16"/>
      <c r="HW96" s="16"/>
      <c r="HX96" s="16"/>
      <c r="HY96" s="16"/>
      <c r="HZ96" s="16"/>
      <c r="IA96" s="16"/>
      <c r="IB96" s="16"/>
      <c r="IC96" s="16"/>
      <c r="ID96" s="16"/>
      <c r="IE96" s="16"/>
      <c r="IF96" s="16"/>
      <c r="IG96" s="16"/>
      <c r="IH96" s="16"/>
      <c r="II96" s="16"/>
      <c r="IJ96" s="16"/>
      <c r="IK96" s="16"/>
      <c r="IL96" s="16"/>
      <c r="IM96" s="16"/>
      <c r="IN96" s="16"/>
      <c r="IO96" s="16"/>
      <c r="IP96" s="16"/>
      <c r="IQ96" s="16"/>
      <c r="IR96" s="16"/>
      <c r="IS96" s="16"/>
      <c r="IT96" s="16"/>
      <c r="IU96" s="16"/>
      <c r="IV96" s="16"/>
    </row>
    <row r="97" spans="1:256" s="64" customFormat="1" ht="18" customHeight="1" x14ac:dyDescent="0.35">
      <c r="A97" s="73">
        <v>111</v>
      </c>
      <c r="B97" s="262"/>
      <c r="C97" s="17"/>
      <c r="D97" s="334" t="s">
        <v>742</v>
      </c>
      <c r="E97" s="24"/>
      <c r="F97" s="24"/>
      <c r="G97" s="263"/>
      <c r="H97" s="94"/>
      <c r="I97" s="147"/>
      <c r="J97" s="147"/>
      <c r="K97" s="347"/>
      <c r="L97" s="147"/>
      <c r="M97" s="347"/>
      <c r="N97" s="349"/>
      <c r="O97" s="342">
        <f t="shared" ref="O97" si="18">SUM(I97:N97)</f>
        <v>0</v>
      </c>
      <c r="P97" s="264"/>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c r="GH97" s="16"/>
      <c r="GI97" s="16"/>
      <c r="GJ97" s="16"/>
      <c r="GK97" s="16"/>
      <c r="GL97" s="16"/>
      <c r="GM97" s="16"/>
      <c r="GN97" s="16"/>
      <c r="GO97" s="16"/>
      <c r="GP97" s="16"/>
      <c r="GQ97" s="16"/>
      <c r="GR97" s="16"/>
      <c r="GS97" s="16"/>
      <c r="GT97" s="16"/>
      <c r="GU97" s="16"/>
      <c r="GV97" s="16"/>
      <c r="GW97" s="16"/>
      <c r="GX97" s="16"/>
      <c r="GY97" s="16"/>
      <c r="GZ97" s="16"/>
      <c r="HA97" s="16"/>
      <c r="HB97" s="16"/>
      <c r="HC97" s="16"/>
      <c r="HD97" s="16"/>
      <c r="HE97" s="16"/>
      <c r="HF97" s="16"/>
      <c r="HG97" s="16"/>
      <c r="HH97" s="16"/>
      <c r="HI97" s="16"/>
      <c r="HJ97" s="16"/>
      <c r="HK97" s="16"/>
      <c r="HL97" s="16"/>
      <c r="HM97" s="16"/>
      <c r="HN97" s="16"/>
      <c r="HO97" s="16"/>
      <c r="HP97" s="16"/>
      <c r="HQ97" s="16"/>
      <c r="HR97" s="16"/>
      <c r="HS97" s="16"/>
      <c r="HT97" s="16"/>
      <c r="HU97" s="16"/>
      <c r="HV97" s="16"/>
      <c r="HW97" s="16"/>
      <c r="HX97" s="16"/>
      <c r="HY97" s="16"/>
      <c r="HZ97" s="16"/>
      <c r="IA97" s="16"/>
      <c r="IB97" s="16"/>
      <c r="IC97" s="16"/>
      <c r="ID97" s="16"/>
      <c r="IE97" s="16"/>
      <c r="IF97" s="16"/>
      <c r="IG97" s="16"/>
      <c r="IH97" s="16"/>
      <c r="II97" s="16"/>
      <c r="IJ97" s="16"/>
      <c r="IK97" s="16"/>
      <c r="IL97" s="16"/>
      <c r="IM97" s="16"/>
      <c r="IN97" s="16"/>
      <c r="IO97" s="16"/>
      <c r="IP97" s="16"/>
      <c r="IQ97" s="16"/>
      <c r="IR97" s="16"/>
      <c r="IS97" s="16"/>
      <c r="IT97" s="16"/>
      <c r="IU97" s="16"/>
      <c r="IV97" s="16"/>
    </row>
    <row r="98" spans="1:256" s="64" customFormat="1" ht="22.5" customHeight="1" x14ac:dyDescent="0.35">
      <c r="A98" s="73">
        <v>113</v>
      </c>
      <c r="B98" s="262"/>
      <c r="C98" s="17">
        <v>40</v>
      </c>
      <c r="D98" s="365" t="s">
        <v>726</v>
      </c>
      <c r="E98" s="24">
        <f>F98+G98+O99</f>
        <v>22000</v>
      </c>
      <c r="F98" s="24"/>
      <c r="G98" s="263"/>
      <c r="H98" s="94" t="s">
        <v>24</v>
      </c>
      <c r="I98" s="147"/>
      <c r="J98" s="147"/>
      <c r="K98" s="147"/>
      <c r="L98" s="147"/>
      <c r="M98" s="147"/>
      <c r="N98" s="349"/>
      <c r="O98" s="338"/>
      <c r="P98" s="264"/>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c r="HH98" s="16"/>
      <c r="HI98" s="16"/>
      <c r="HJ98" s="16"/>
      <c r="HK98" s="16"/>
      <c r="HL98" s="16"/>
      <c r="HM98" s="16"/>
      <c r="HN98" s="16"/>
      <c r="HO98" s="16"/>
      <c r="HP98" s="16"/>
      <c r="HQ98" s="16"/>
      <c r="HR98" s="16"/>
      <c r="HS98" s="16"/>
      <c r="HT98" s="16"/>
      <c r="HU98" s="16"/>
      <c r="HV98" s="16"/>
      <c r="HW98" s="16"/>
      <c r="HX98" s="16"/>
      <c r="HY98" s="16"/>
      <c r="HZ98" s="16"/>
      <c r="IA98" s="16"/>
      <c r="IB98" s="16"/>
      <c r="IC98" s="16"/>
      <c r="ID98" s="16"/>
      <c r="IE98" s="16"/>
      <c r="IF98" s="16"/>
      <c r="IG98" s="16"/>
      <c r="IH98" s="16"/>
      <c r="II98" s="16"/>
      <c r="IJ98" s="16"/>
      <c r="IK98" s="16"/>
      <c r="IL98" s="16"/>
      <c r="IM98" s="16"/>
      <c r="IN98" s="16"/>
      <c r="IO98" s="16"/>
      <c r="IP98" s="16"/>
      <c r="IQ98" s="16"/>
      <c r="IR98" s="16"/>
      <c r="IS98" s="16"/>
      <c r="IT98" s="16"/>
      <c r="IU98" s="16"/>
      <c r="IV98" s="16"/>
    </row>
    <row r="99" spans="1:256" s="64" customFormat="1" ht="18" customHeight="1" x14ac:dyDescent="0.35">
      <c r="A99" s="73">
        <v>114</v>
      </c>
      <c r="B99" s="262"/>
      <c r="C99" s="17"/>
      <c r="D99" s="335" t="s">
        <v>700</v>
      </c>
      <c r="E99" s="24"/>
      <c r="F99" s="24"/>
      <c r="G99" s="263"/>
      <c r="H99" s="94"/>
      <c r="I99" s="147"/>
      <c r="J99" s="147"/>
      <c r="K99" s="147"/>
      <c r="L99" s="147"/>
      <c r="M99" s="147">
        <v>22000</v>
      </c>
      <c r="N99" s="349"/>
      <c r="O99" s="341">
        <f>SUM(I99:N99)</f>
        <v>22000</v>
      </c>
      <c r="P99" s="264"/>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c r="HH99" s="16"/>
      <c r="HI99" s="16"/>
      <c r="HJ99" s="16"/>
      <c r="HK99" s="16"/>
      <c r="HL99" s="16"/>
      <c r="HM99" s="16"/>
      <c r="HN99" s="16"/>
      <c r="HO99" s="16"/>
      <c r="HP99" s="16"/>
      <c r="HQ99" s="16"/>
      <c r="HR99" s="16"/>
      <c r="HS99" s="16"/>
      <c r="HT99" s="16"/>
      <c r="HU99" s="16"/>
      <c r="HV99" s="16"/>
      <c r="HW99" s="16"/>
      <c r="HX99" s="16"/>
      <c r="HY99" s="16"/>
      <c r="HZ99" s="16"/>
      <c r="IA99" s="16"/>
      <c r="IB99" s="16"/>
      <c r="IC99" s="16"/>
      <c r="ID99" s="16"/>
      <c r="IE99" s="16"/>
      <c r="IF99" s="16"/>
      <c r="IG99" s="16"/>
      <c r="IH99" s="16"/>
      <c r="II99" s="16"/>
      <c r="IJ99" s="16"/>
      <c r="IK99" s="16"/>
      <c r="IL99" s="16"/>
      <c r="IM99" s="16"/>
      <c r="IN99" s="16"/>
      <c r="IO99" s="16"/>
      <c r="IP99" s="16"/>
      <c r="IQ99" s="16"/>
      <c r="IR99" s="16"/>
      <c r="IS99" s="16"/>
      <c r="IT99" s="16"/>
      <c r="IU99" s="16"/>
      <c r="IV99" s="16"/>
    </row>
    <row r="100" spans="1:256" s="64" customFormat="1" ht="18" customHeight="1" x14ac:dyDescent="0.35">
      <c r="A100" s="73">
        <v>115</v>
      </c>
      <c r="B100" s="262"/>
      <c r="C100" s="17"/>
      <c r="D100" s="334" t="s">
        <v>742</v>
      </c>
      <c r="E100" s="24"/>
      <c r="F100" s="24"/>
      <c r="G100" s="263"/>
      <c r="H100" s="94"/>
      <c r="I100" s="147"/>
      <c r="J100" s="147"/>
      <c r="K100" s="347"/>
      <c r="L100" s="147"/>
      <c r="M100" s="347"/>
      <c r="N100" s="349"/>
      <c r="O100" s="342">
        <f t="shared" ref="O100" si="19">SUM(I100:N100)</f>
        <v>0</v>
      </c>
      <c r="P100" s="264"/>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c r="IV100" s="16"/>
    </row>
    <row r="101" spans="1:256" s="64" customFormat="1" ht="54.75" customHeight="1" x14ac:dyDescent="0.35">
      <c r="A101" s="73">
        <v>117</v>
      </c>
      <c r="B101" s="262"/>
      <c r="C101" s="17">
        <v>41</v>
      </c>
      <c r="D101" s="366" t="s">
        <v>727</v>
      </c>
      <c r="E101" s="24">
        <f>F101+G101+O102</f>
        <v>110000</v>
      </c>
      <c r="F101" s="24"/>
      <c r="G101" s="263"/>
      <c r="H101" s="94" t="s">
        <v>24</v>
      </c>
      <c r="I101" s="147"/>
      <c r="J101" s="147"/>
      <c r="K101" s="147"/>
      <c r="L101" s="147"/>
      <c r="M101" s="147"/>
      <c r="N101" s="349"/>
      <c r="O101" s="338"/>
      <c r="P101" s="264"/>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16"/>
      <c r="GG101" s="16"/>
      <c r="GH101" s="16"/>
      <c r="GI101" s="16"/>
      <c r="GJ101" s="16"/>
      <c r="GK101" s="16"/>
      <c r="GL101" s="16"/>
      <c r="GM101" s="16"/>
      <c r="GN101" s="16"/>
      <c r="GO101" s="16"/>
      <c r="GP101" s="16"/>
      <c r="GQ101" s="16"/>
      <c r="GR101" s="16"/>
      <c r="GS101" s="16"/>
      <c r="GT101" s="16"/>
      <c r="GU101" s="16"/>
      <c r="GV101" s="16"/>
      <c r="GW101" s="16"/>
      <c r="GX101" s="16"/>
      <c r="GY101" s="16"/>
      <c r="GZ101" s="16"/>
      <c r="HA101" s="16"/>
      <c r="HB101" s="16"/>
      <c r="HC101" s="16"/>
      <c r="HD101" s="16"/>
      <c r="HE101" s="16"/>
      <c r="HF101" s="16"/>
      <c r="HG101" s="16"/>
      <c r="HH101" s="16"/>
      <c r="HI101" s="16"/>
      <c r="HJ101" s="16"/>
      <c r="HK101" s="16"/>
      <c r="HL101" s="16"/>
      <c r="HM101" s="16"/>
      <c r="HN101" s="16"/>
      <c r="HO101" s="16"/>
      <c r="HP101" s="16"/>
      <c r="HQ101" s="16"/>
      <c r="HR101" s="16"/>
      <c r="HS101" s="16"/>
      <c r="HT101" s="16"/>
      <c r="HU101" s="16"/>
      <c r="HV101" s="16"/>
      <c r="HW101" s="16"/>
      <c r="HX101" s="16"/>
      <c r="HY101" s="16"/>
      <c r="HZ101" s="16"/>
      <c r="IA101" s="16"/>
      <c r="IB101" s="16"/>
      <c r="IC101" s="16"/>
      <c r="ID101" s="16"/>
      <c r="IE101" s="16"/>
      <c r="IF101" s="16"/>
      <c r="IG101" s="16"/>
      <c r="IH101" s="16"/>
      <c r="II101" s="16"/>
      <c r="IJ101" s="16"/>
      <c r="IK101" s="16"/>
      <c r="IL101" s="16"/>
      <c r="IM101" s="16"/>
      <c r="IN101" s="16"/>
      <c r="IO101" s="16"/>
      <c r="IP101" s="16"/>
      <c r="IQ101" s="16"/>
      <c r="IR101" s="16"/>
      <c r="IS101" s="16"/>
      <c r="IT101" s="16"/>
      <c r="IU101" s="16"/>
      <c r="IV101" s="16"/>
    </row>
    <row r="102" spans="1:256" s="64" customFormat="1" ht="18" customHeight="1" x14ac:dyDescent="0.35">
      <c r="A102" s="73">
        <v>118</v>
      </c>
      <c r="B102" s="262"/>
      <c r="C102" s="17"/>
      <c r="D102" s="335" t="s">
        <v>700</v>
      </c>
      <c r="E102" s="24"/>
      <c r="F102" s="24"/>
      <c r="G102" s="263"/>
      <c r="H102" s="94"/>
      <c r="I102" s="147"/>
      <c r="J102" s="147"/>
      <c r="K102" s="147"/>
      <c r="L102" s="147"/>
      <c r="M102" s="147">
        <v>110000</v>
      </c>
      <c r="N102" s="349"/>
      <c r="O102" s="341">
        <f>SUM(I102:N102)</f>
        <v>110000</v>
      </c>
      <c r="P102" s="264"/>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c r="GH102" s="16"/>
      <c r="GI102" s="16"/>
      <c r="GJ102" s="16"/>
      <c r="GK102" s="16"/>
      <c r="GL102" s="16"/>
      <c r="GM102" s="16"/>
      <c r="GN102" s="16"/>
      <c r="GO102" s="16"/>
      <c r="GP102" s="16"/>
      <c r="GQ102" s="16"/>
      <c r="GR102" s="16"/>
      <c r="GS102" s="16"/>
      <c r="GT102" s="16"/>
      <c r="GU102" s="16"/>
      <c r="GV102" s="16"/>
      <c r="GW102" s="16"/>
      <c r="GX102" s="16"/>
      <c r="GY102" s="16"/>
      <c r="GZ102" s="16"/>
      <c r="HA102" s="16"/>
      <c r="HB102" s="16"/>
      <c r="HC102" s="16"/>
      <c r="HD102" s="16"/>
      <c r="HE102" s="16"/>
      <c r="HF102" s="16"/>
      <c r="HG102" s="16"/>
      <c r="HH102" s="16"/>
      <c r="HI102" s="16"/>
      <c r="HJ102" s="16"/>
      <c r="HK102" s="16"/>
      <c r="HL102" s="16"/>
      <c r="HM102" s="16"/>
      <c r="HN102" s="16"/>
      <c r="HO102" s="16"/>
      <c r="HP102" s="16"/>
      <c r="HQ102" s="16"/>
      <c r="HR102" s="16"/>
      <c r="HS102" s="16"/>
      <c r="HT102" s="16"/>
      <c r="HU102" s="16"/>
      <c r="HV102" s="16"/>
      <c r="HW102" s="16"/>
      <c r="HX102" s="16"/>
      <c r="HY102" s="16"/>
      <c r="HZ102" s="16"/>
      <c r="IA102" s="16"/>
      <c r="IB102" s="16"/>
      <c r="IC102" s="16"/>
      <c r="ID102" s="16"/>
      <c r="IE102" s="16"/>
      <c r="IF102" s="16"/>
      <c r="IG102" s="16"/>
      <c r="IH102" s="16"/>
      <c r="II102" s="16"/>
      <c r="IJ102" s="16"/>
      <c r="IK102" s="16"/>
      <c r="IL102" s="16"/>
      <c r="IM102" s="16"/>
      <c r="IN102" s="16"/>
      <c r="IO102" s="16"/>
      <c r="IP102" s="16"/>
      <c r="IQ102" s="16"/>
      <c r="IR102" s="16"/>
      <c r="IS102" s="16"/>
      <c r="IT102" s="16"/>
      <c r="IU102" s="16"/>
      <c r="IV102" s="16"/>
    </row>
    <row r="103" spans="1:256" s="64" customFormat="1" ht="18" customHeight="1" x14ac:dyDescent="0.35">
      <c r="A103" s="73">
        <v>119</v>
      </c>
      <c r="B103" s="262"/>
      <c r="C103" s="17"/>
      <c r="D103" s="334" t="s">
        <v>742</v>
      </c>
      <c r="E103" s="24"/>
      <c r="F103" s="24"/>
      <c r="G103" s="263"/>
      <c r="H103" s="94"/>
      <c r="I103" s="147"/>
      <c r="J103" s="147"/>
      <c r="K103" s="347"/>
      <c r="L103" s="147"/>
      <c r="M103" s="347"/>
      <c r="N103" s="349"/>
      <c r="O103" s="342">
        <f t="shared" ref="O103" si="20">SUM(I103:N103)</f>
        <v>0</v>
      </c>
      <c r="P103" s="264"/>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16"/>
      <c r="GG103" s="16"/>
      <c r="GH103" s="16"/>
      <c r="GI103" s="16"/>
      <c r="GJ103" s="16"/>
      <c r="GK103" s="16"/>
      <c r="GL103" s="16"/>
      <c r="GM103" s="16"/>
      <c r="GN103" s="16"/>
      <c r="GO103" s="16"/>
      <c r="GP103" s="16"/>
      <c r="GQ103" s="16"/>
      <c r="GR103" s="16"/>
      <c r="GS103" s="16"/>
      <c r="GT103" s="16"/>
      <c r="GU103" s="16"/>
      <c r="GV103" s="16"/>
      <c r="GW103" s="16"/>
      <c r="GX103" s="16"/>
      <c r="GY103" s="16"/>
      <c r="GZ103" s="16"/>
      <c r="HA103" s="16"/>
      <c r="HB103" s="16"/>
      <c r="HC103" s="16"/>
      <c r="HD103" s="16"/>
      <c r="HE103" s="16"/>
      <c r="HF103" s="16"/>
      <c r="HG103" s="16"/>
      <c r="HH103" s="16"/>
      <c r="HI103" s="16"/>
      <c r="HJ103" s="16"/>
      <c r="HK103" s="16"/>
      <c r="HL103" s="16"/>
      <c r="HM103" s="16"/>
      <c r="HN103" s="16"/>
      <c r="HO103" s="16"/>
      <c r="HP103" s="16"/>
      <c r="HQ103" s="16"/>
      <c r="HR103" s="16"/>
      <c r="HS103" s="16"/>
      <c r="HT103" s="16"/>
      <c r="HU103" s="16"/>
      <c r="HV103" s="16"/>
      <c r="HW103" s="16"/>
      <c r="HX103" s="16"/>
      <c r="HY103" s="16"/>
      <c r="HZ103" s="16"/>
      <c r="IA103" s="16"/>
      <c r="IB103" s="16"/>
      <c r="IC103" s="16"/>
      <c r="ID103" s="16"/>
      <c r="IE103" s="16"/>
      <c r="IF103" s="16"/>
      <c r="IG103" s="16"/>
      <c r="IH103" s="16"/>
      <c r="II103" s="16"/>
      <c r="IJ103" s="16"/>
      <c r="IK103" s="16"/>
      <c r="IL103" s="16"/>
      <c r="IM103" s="16"/>
      <c r="IN103" s="16"/>
      <c r="IO103" s="16"/>
      <c r="IP103" s="16"/>
      <c r="IQ103" s="16"/>
      <c r="IR103" s="16"/>
      <c r="IS103" s="16"/>
      <c r="IT103" s="16"/>
      <c r="IU103" s="16"/>
      <c r="IV103" s="16"/>
    </row>
    <row r="104" spans="1:256" s="64" customFormat="1" ht="22.5" customHeight="1" x14ac:dyDescent="0.35">
      <c r="A104" s="73">
        <v>121</v>
      </c>
      <c r="B104" s="262"/>
      <c r="C104" s="17">
        <v>42</v>
      </c>
      <c r="D104" s="366" t="s">
        <v>728</v>
      </c>
      <c r="E104" s="24">
        <f>F104+G104+O105</f>
        <v>47000</v>
      </c>
      <c r="F104" s="24"/>
      <c r="G104" s="263"/>
      <c r="H104" s="94" t="s">
        <v>24</v>
      </c>
      <c r="I104" s="147"/>
      <c r="J104" s="147"/>
      <c r="K104" s="147"/>
      <c r="L104" s="147"/>
      <c r="M104" s="147"/>
      <c r="N104" s="349"/>
      <c r="O104" s="338"/>
      <c r="P104" s="264"/>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c r="GH104" s="16"/>
      <c r="GI104" s="16"/>
      <c r="GJ104" s="16"/>
      <c r="GK104" s="16"/>
      <c r="GL104" s="16"/>
      <c r="GM104" s="16"/>
      <c r="GN104" s="16"/>
      <c r="GO104" s="16"/>
      <c r="GP104" s="16"/>
      <c r="GQ104" s="16"/>
      <c r="GR104" s="16"/>
      <c r="GS104" s="16"/>
      <c r="GT104" s="16"/>
      <c r="GU104" s="16"/>
      <c r="GV104" s="16"/>
      <c r="GW104" s="16"/>
      <c r="GX104" s="16"/>
      <c r="GY104" s="16"/>
      <c r="GZ104" s="16"/>
      <c r="HA104" s="16"/>
      <c r="HB104" s="16"/>
      <c r="HC104" s="16"/>
      <c r="HD104" s="16"/>
      <c r="HE104" s="16"/>
      <c r="HF104" s="16"/>
      <c r="HG104" s="16"/>
      <c r="HH104" s="16"/>
      <c r="HI104" s="16"/>
      <c r="HJ104" s="16"/>
      <c r="HK104" s="16"/>
      <c r="HL104" s="16"/>
      <c r="HM104" s="16"/>
      <c r="HN104" s="16"/>
      <c r="HO104" s="16"/>
      <c r="HP104" s="16"/>
      <c r="HQ104" s="16"/>
      <c r="HR104" s="16"/>
      <c r="HS104" s="16"/>
      <c r="HT104" s="16"/>
      <c r="HU104" s="16"/>
      <c r="HV104" s="16"/>
      <c r="HW104" s="16"/>
      <c r="HX104" s="16"/>
      <c r="HY104" s="16"/>
      <c r="HZ104" s="16"/>
      <c r="IA104" s="16"/>
      <c r="IB104" s="16"/>
      <c r="IC104" s="16"/>
      <c r="ID104" s="16"/>
      <c r="IE104" s="16"/>
      <c r="IF104" s="16"/>
      <c r="IG104" s="16"/>
      <c r="IH104" s="16"/>
      <c r="II104" s="16"/>
      <c r="IJ104" s="16"/>
      <c r="IK104" s="16"/>
      <c r="IL104" s="16"/>
      <c r="IM104" s="16"/>
      <c r="IN104" s="16"/>
      <c r="IO104" s="16"/>
      <c r="IP104" s="16"/>
      <c r="IQ104" s="16"/>
      <c r="IR104" s="16"/>
      <c r="IS104" s="16"/>
      <c r="IT104" s="16"/>
      <c r="IU104" s="16"/>
      <c r="IV104" s="16"/>
    </row>
    <row r="105" spans="1:256" s="64" customFormat="1" ht="18" customHeight="1" x14ac:dyDescent="0.35">
      <c r="A105" s="73">
        <v>122</v>
      </c>
      <c r="B105" s="262"/>
      <c r="C105" s="17"/>
      <c r="D105" s="335" t="s">
        <v>700</v>
      </c>
      <c r="E105" s="24"/>
      <c r="F105" s="24"/>
      <c r="G105" s="263"/>
      <c r="H105" s="94"/>
      <c r="I105" s="147"/>
      <c r="J105" s="147"/>
      <c r="K105" s="147"/>
      <c r="L105" s="147"/>
      <c r="M105" s="147">
        <v>47000</v>
      </c>
      <c r="N105" s="349"/>
      <c r="O105" s="341">
        <f>SUM(I105:N105)</f>
        <v>47000</v>
      </c>
      <c r="P105" s="264"/>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c r="IF105" s="16"/>
      <c r="IG105" s="16"/>
      <c r="IH105" s="16"/>
      <c r="II105" s="16"/>
      <c r="IJ105" s="16"/>
      <c r="IK105" s="16"/>
      <c r="IL105" s="16"/>
      <c r="IM105" s="16"/>
      <c r="IN105" s="16"/>
      <c r="IO105" s="16"/>
      <c r="IP105" s="16"/>
      <c r="IQ105" s="16"/>
      <c r="IR105" s="16"/>
      <c r="IS105" s="16"/>
      <c r="IT105" s="16"/>
      <c r="IU105" s="16"/>
      <c r="IV105" s="16"/>
    </row>
    <row r="106" spans="1:256" s="64" customFormat="1" ht="18" customHeight="1" thickBot="1" x14ac:dyDescent="0.4">
      <c r="A106" s="73">
        <v>123</v>
      </c>
      <c r="B106" s="469"/>
      <c r="C106" s="470"/>
      <c r="D106" s="471" t="s">
        <v>742</v>
      </c>
      <c r="E106" s="472"/>
      <c r="F106" s="472"/>
      <c r="G106" s="473"/>
      <c r="H106" s="474"/>
      <c r="I106" s="475"/>
      <c r="J106" s="475"/>
      <c r="K106" s="476"/>
      <c r="L106" s="475"/>
      <c r="M106" s="476"/>
      <c r="N106" s="477"/>
      <c r="O106" s="478">
        <f t="shared" ref="O106" si="21">SUM(I106:N106)</f>
        <v>0</v>
      </c>
      <c r="P106" s="479"/>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16"/>
      <c r="GG106" s="16"/>
      <c r="GH106" s="16"/>
      <c r="GI106" s="16"/>
      <c r="GJ106" s="16"/>
      <c r="GK106" s="16"/>
      <c r="GL106" s="16"/>
      <c r="GM106" s="16"/>
      <c r="GN106" s="16"/>
      <c r="GO106" s="16"/>
      <c r="GP106" s="16"/>
      <c r="GQ106" s="16"/>
      <c r="GR106" s="16"/>
      <c r="GS106" s="16"/>
      <c r="GT106" s="16"/>
      <c r="GU106" s="16"/>
      <c r="GV106" s="16"/>
      <c r="GW106" s="16"/>
      <c r="GX106" s="16"/>
      <c r="GY106" s="16"/>
      <c r="GZ106" s="16"/>
      <c r="HA106" s="16"/>
      <c r="HB106" s="16"/>
      <c r="HC106" s="16"/>
      <c r="HD106" s="16"/>
      <c r="HE106" s="16"/>
      <c r="HF106" s="16"/>
      <c r="HG106" s="16"/>
      <c r="HH106" s="16"/>
      <c r="HI106" s="16"/>
      <c r="HJ106" s="16"/>
      <c r="HK106" s="16"/>
      <c r="HL106" s="16"/>
      <c r="HM106" s="16"/>
      <c r="HN106" s="16"/>
      <c r="HO106" s="16"/>
      <c r="HP106" s="16"/>
      <c r="HQ106" s="16"/>
      <c r="HR106" s="16"/>
      <c r="HS106" s="16"/>
      <c r="HT106" s="16"/>
      <c r="HU106" s="16"/>
      <c r="HV106" s="16"/>
      <c r="HW106" s="16"/>
      <c r="HX106" s="16"/>
      <c r="HY106" s="16"/>
      <c r="HZ106" s="16"/>
      <c r="IA106" s="16"/>
      <c r="IB106" s="16"/>
      <c r="IC106" s="16"/>
      <c r="ID106" s="16"/>
      <c r="IE106" s="16"/>
      <c r="IF106" s="16"/>
      <c r="IG106" s="16"/>
      <c r="IH106" s="16"/>
      <c r="II106" s="16"/>
      <c r="IJ106" s="16"/>
      <c r="IK106" s="16"/>
      <c r="IL106" s="16"/>
      <c r="IM106" s="16"/>
      <c r="IN106" s="16"/>
      <c r="IO106" s="16"/>
      <c r="IP106" s="16"/>
      <c r="IQ106" s="16"/>
      <c r="IR106" s="16"/>
      <c r="IS106" s="16"/>
      <c r="IT106" s="16"/>
      <c r="IU106" s="16"/>
      <c r="IV106" s="16"/>
    </row>
    <row r="107" spans="1:256" s="64" customFormat="1" ht="27" customHeight="1" thickTop="1" x14ac:dyDescent="0.35">
      <c r="A107" s="73">
        <v>125</v>
      </c>
      <c r="B107" s="1401" t="s">
        <v>13</v>
      </c>
      <c r="C107" s="1402"/>
      <c r="D107" s="1402"/>
      <c r="E107" s="1402"/>
      <c r="F107" s="1402"/>
      <c r="G107" s="1403"/>
      <c r="H107" s="148"/>
      <c r="I107" s="152"/>
      <c r="J107" s="152"/>
      <c r="K107" s="152"/>
      <c r="L107" s="152"/>
      <c r="M107" s="152"/>
      <c r="N107" s="153"/>
      <c r="O107" s="149"/>
      <c r="P107" s="140"/>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16"/>
      <c r="GG107" s="16"/>
      <c r="GH107" s="16"/>
      <c r="GI107" s="16"/>
      <c r="GJ107" s="16"/>
      <c r="GK107" s="16"/>
      <c r="GL107" s="16"/>
      <c r="GM107" s="16"/>
      <c r="GN107" s="16"/>
      <c r="GO107" s="16"/>
      <c r="GP107" s="16"/>
      <c r="GQ107" s="16"/>
      <c r="GR107" s="16"/>
      <c r="GS107" s="16"/>
      <c r="GT107" s="16"/>
      <c r="GU107" s="16"/>
      <c r="GV107" s="16"/>
      <c r="GW107" s="16"/>
      <c r="GX107" s="16"/>
      <c r="GY107" s="16"/>
      <c r="GZ107" s="16"/>
      <c r="HA107" s="16"/>
      <c r="HB107" s="16"/>
      <c r="HC107" s="16"/>
      <c r="HD107" s="16"/>
      <c r="HE107" s="16"/>
      <c r="HF107" s="16"/>
      <c r="HG107" s="16"/>
      <c r="HH107" s="16"/>
      <c r="HI107" s="16"/>
      <c r="HJ107" s="16"/>
      <c r="HK107" s="16"/>
      <c r="HL107" s="16"/>
      <c r="HM107" s="16"/>
      <c r="HN107" s="16"/>
      <c r="HO107" s="16"/>
      <c r="HP107" s="16"/>
      <c r="HQ107" s="16"/>
      <c r="HR107" s="16"/>
      <c r="HS107" s="16"/>
      <c r="HT107" s="16"/>
      <c r="HU107" s="16"/>
      <c r="HV107" s="16"/>
      <c r="HW107" s="16"/>
      <c r="HX107" s="16"/>
      <c r="HY107" s="16"/>
      <c r="HZ107" s="16"/>
      <c r="IA107" s="16"/>
      <c r="IB107" s="16"/>
      <c r="IC107" s="16"/>
      <c r="ID107" s="16"/>
      <c r="IE107" s="16"/>
      <c r="IF107" s="16"/>
      <c r="IG107" s="16"/>
      <c r="IH107" s="16"/>
      <c r="II107" s="16"/>
      <c r="IJ107" s="16"/>
      <c r="IK107" s="16"/>
      <c r="IL107" s="16"/>
      <c r="IM107" s="16"/>
      <c r="IN107" s="16"/>
      <c r="IO107" s="16"/>
      <c r="IP107" s="16"/>
      <c r="IQ107" s="16"/>
      <c r="IR107" s="16"/>
      <c r="IS107" s="16"/>
      <c r="IT107" s="16"/>
      <c r="IU107" s="16"/>
      <c r="IV107" s="16"/>
    </row>
    <row r="108" spans="1:256" s="19" customFormat="1" ht="20.100000000000001" customHeight="1" x14ac:dyDescent="0.35">
      <c r="A108" s="73">
        <v>126</v>
      </c>
      <c r="B108" s="325"/>
      <c r="C108" s="326"/>
      <c r="D108" s="106" t="s">
        <v>239</v>
      </c>
      <c r="E108" s="332"/>
      <c r="F108" s="332"/>
      <c r="G108" s="327"/>
      <c r="H108" s="328"/>
      <c r="I108" s="329">
        <f t="shared" ref="I108:N108" si="22">I59+I55+I51+I47+I43+I39+I35+I31+I27+I23+I19+I15+I11+I63+I67+I71+I75+I83+I79</f>
        <v>1309</v>
      </c>
      <c r="J108" s="329">
        <f t="shared" si="22"/>
        <v>103</v>
      </c>
      <c r="K108" s="329">
        <f t="shared" si="22"/>
        <v>219724</v>
      </c>
      <c r="L108" s="329">
        <f t="shared" si="22"/>
        <v>0</v>
      </c>
      <c r="M108" s="329">
        <f t="shared" si="22"/>
        <v>5345180</v>
      </c>
      <c r="N108" s="329">
        <f t="shared" si="22"/>
        <v>64</v>
      </c>
      <c r="O108" s="330">
        <f>SUM(I108:N108)</f>
        <v>5566380</v>
      </c>
      <c r="P108" s="331">
        <f>SUM(P9:P59)</f>
        <v>151382</v>
      </c>
    </row>
    <row r="109" spans="1:256" s="19" customFormat="1" ht="20.100000000000001" customHeight="1" x14ac:dyDescent="0.35">
      <c r="A109" s="73">
        <v>127</v>
      </c>
      <c r="B109" s="325"/>
      <c r="C109" s="326"/>
      <c r="D109" s="335" t="s">
        <v>700</v>
      </c>
      <c r="E109" s="332"/>
      <c r="F109" s="332"/>
      <c r="G109" s="327"/>
      <c r="H109" s="359"/>
      <c r="I109" s="361">
        <f t="shared" ref="I109:N110" si="23">I60+I56+I52+I48+I44+I40+I36+I32+I28+I24+I20+I16+I12+I64+I68+I72+I76+I84+I80+I87+I90+I93+I96+I99+I102+I105</f>
        <v>1884</v>
      </c>
      <c r="J109" s="361">
        <f t="shared" si="23"/>
        <v>421</v>
      </c>
      <c r="K109" s="361">
        <f t="shared" si="23"/>
        <v>188296</v>
      </c>
      <c r="L109" s="361">
        <f t="shared" si="23"/>
        <v>0</v>
      </c>
      <c r="M109" s="361">
        <f t="shared" si="23"/>
        <v>5567452</v>
      </c>
      <c r="N109" s="361">
        <f t="shared" si="23"/>
        <v>64</v>
      </c>
      <c r="O109" s="362">
        <f>SUM(I109:N109)</f>
        <v>5758117</v>
      </c>
      <c r="P109" s="360"/>
    </row>
    <row r="110" spans="1:256" s="19" customFormat="1" ht="20.100000000000001" customHeight="1" thickBot="1" x14ac:dyDescent="0.4">
      <c r="A110" s="73">
        <v>128</v>
      </c>
      <c r="B110" s="150"/>
      <c r="C110" s="151"/>
      <c r="D110" s="433" t="s">
        <v>742</v>
      </c>
      <c r="E110" s="151"/>
      <c r="F110" s="151"/>
      <c r="G110" s="333"/>
      <c r="H110" s="435"/>
      <c r="I110" s="353">
        <f>I61+I57+I53+I49+I45+I41+I37+I33+I29+I25+I21+I17+I13+I65+I69+I73+I77+I85+I81+I88+I91+I94+I97+I100+I103+I106</f>
        <v>256</v>
      </c>
      <c r="J110" s="353">
        <f t="shared" si="23"/>
        <v>114</v>
      </c>
      <c r="K110" s="437">
        <f t="shared" si="23"/>
        <v>33182</v>
      </c>
      <c r="L110" s="353">
        <f t="shared" si="23"/>
        <v>0</v>
      </c>
      <c r="M110" s="437">
        <f t="shared" si="23"/>
        <v>216030</v>
      </c>
      <c r="N110" s="353">
        <f t="shared" si="23"/>
        <v>0</v>
      </c>
      <c r="O110" s="354">
        <f>SUM(I110:N110)</f>
        <v>249582</v>
      </c>
      <c r="P110" s="439"/>
    </row>
    <row r="111" spans="1:256" ht="18" customHeight="1" x14ac:dyDescent="0.35">
      <c r="B111" s="68" t="s">
        <v>25</v>
      </c>
      <c r="C111" s="69"/>
      <c r="D111" s="434"/>
      <c r="E111" s="26"/>
      <c r="F111" s="27"/>
      <c r="G111" s="26"/>
      <c r="H111" s="59"/>
      <c r="I111" s="436"/>
      <c r="J111" s="436"/>
      <c r="K111" s="26"/>
      <c r="L111" s="436"/>
      <c r="M111" s="26"/>
      <c r="N111" s="436"/>
      <c r="O111" s="438"/>
      <c r="P111" s="440"/>
    </row>
    <row r="112" spans="1:256" ht="18" customHeight="1" x14ac:dyDescent="0.35">
      <c r="B112" s="68" t="s">
        <v>26</v>
      </c>
      <c r="C112" s="69"/>
      <c r="D112" s="68"/>
      <c r="E112" s="53"/>
      <c r="F112" s="27"/>
      <c r="G112" s="26"/>
      <c r="H112" s="59"/>
      <c r="I112" s="26"/>
      <c r="J112" s="26"/>
      <c r="K112" s="26"/>
      <c r="L112" s="26"/>
      <c r="M112" s="26"/>
      <c r="N112" s="26"/>
      <c r="O112" s="75"/>
    </row>
    <row r="113" spans="2:15" ht="18" customHeight="1" x14ac:dyDescent="0.35">
      <c r="B113" s="68" t="s">
        <v>27</v>
      </c>
      <c r="C113" s="69"/>
      <c r="D113" s="68"/>
      <c r="E113" s="53"/>
      <c r="F113" s="27"/>
      <c r="G113" s="26"/>
      <c r="H113" s="59"/>
      <c r="I113" s="26"/>
      <c r="J113" s="26"/>
      <c r="K113" s="26"/>
      <c r="L113" s="26"/>
      <c r="M113" s="26"/>
      <c r="N113" s="26"/>
      <c r="O113" s="75"/>
    </row>
    <row r="114" spans="2:15" x14ac:dyDescent="0.35">
      <c r="B114" s="23" t="s">
        <v>330</v>
      </c>
      <c r="C114" s="23"/>
    </row>
  </sheetData>
  <mergeCells count="17">
    <mergeCell ref="B107:G107"/>
    <mergeCell ref="C6:C8"/>
    <mergeCell ref="H6:H8"/>
    <mergeCell ref="Q6:R6"/>
    <mergeCell ref="I1:P1"/>
    <mergeCell ref="B6:B8"/>
    <mergeCell ref="E6:E8"/>
    <mergeCell ref="A2:P2"/>
    <mergeCell ref="A3:P3"/>
    <mergeCell ref="D6:D8"/>
    <mergeCell ref="F6:F8"/>
    <mergeCell ref="G6:G8"/>
    <mergeCell ref="I6:O6"/>
    <mergeCell ref="P6:P8"/>
    <mergeCell ref="I7:L7"/>
    <mergeCell ref="M7:N7"/>
    <mergeCell ref="O7:O8"/>
  </mergeCells>
  <printOptions horizontalCentered="1"/>
  <pageMargins left="0.19685039370078741" right="0.19685039370078741" top="0.59055118110236227" bottom="0.59055118110236227" header="0.51181102362204722" footer="0.51181102362204722"/>
  <pageSetup paperSize="9" scale="60" fitToHeight="0" orientation="landscape"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19</vt:i4>
      </vt:variant>
    </vt:vector>
  </HeadingPairs>
  <TitlesOfParts>
    <vt:vector size="31" baseType="lpstr">
      <vt:lpstr>1.Onbe</vt:lpstr>
      <vt:lpstr>2.Onki</vt:lpstr>
      <vt:lpstr>3.Inbe </vt:lpstr>
      <vt:lpstr>4.Inki</vt:lpstr>
      <vt:lpstr>5.Infelhki</vt:lpstr>
      <vt:lpstr>6.Önk.műk.</vt:lpstr>
      <vt:lpstr>7.Beruh.</vt:lpstr>
      <vt:lpstr>8.Felúj.</vt:lpstr>
      <vt:lpstr>9.Projekt</vt:lpstr>
      <vt:lpstr>10.Mérleg</vt:lpstr>
      <vt:lpstr>11_AKÜ</vt:lpstr>
      <vt:lpstr>12.EU</vt:lpstr>
      <vt:lpstr>'1.Onbe'!Nyomtatási_cím</vt:lpstr>
      <vt:lpstr>'12.EU'!Nyomtatási_cím</vt:lpstr>
      <vt:lpstr>'2.Onki'!Nyomtatási_cím</vt:lpstr>
      <vt:lpstr>'3.Inbe '!Nyomtatási_cím</vt:lpstr>
      <vt:lpstr>'4.Inki'!Nyomtatási_cím</vt:lpstr>
      <vt:lpstr>'5.Infelhki'!Nyomtatási_cím</vt:lpstr>
      <vt:lpstr>'6.Önk.műk.'!Nyomtatási_cím</vt:lpstr>
      <vt:lpstr>'7.Beruh.'!Nyomtatási_cím</vt:lpstr>
      <vt:lpstr>'8.Felúj.'!Nyomtatási_cím</vt:lpstr>
      <vt:lpstr>'9.Projekt'!Nyomtatási_cím</vt:lpstr>
      <vt:lpstr>'1.Onbe'!Nyomtatási_terület</vt:lpstr>
      <vt:lpstr>'10.Mérleg'!Nyomtatási_terület</vt:lpstr>
      <vt:lpstr>'12.EU'!Nyomtatási_terület</vt:lpstr>
      <vt:lpstr>'2.Onki'!Nyomtatási_terület</vt:lpstr>
      <vt:lpstr>'3.Inbe '!Nyomtatási_terület</vt:lpstr>
      <vt:lpstr>'4.Inki'!Nyomtatási_terület</vt:lpstr>
      <vt:lpstr>'7.Beruh.'!Nyomtatási_terület</vt:lpstr>
      <vt:lpstr>'8.Felúj.'!Nyomtatási_terület</vt:lpstr>
      <vt:lpstr>'9.Projekt'!Nyomtatási_terület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Schumacher Judit</dc:creator>
  <cp:lastModifiedBy>Eckert Szilvia</cp:lastModifiedBy>
  <cp:lastPrinted>2025-09-05T07:01:31Z</cp:lastPrinted>
  <dcterms:created xsi:type="dcterms:W3CDTF">2015-02-11T07:38:58Z</dcterms:created>
  <dcterms:modified xsi:type="dcterms:W3CDTF">2025-09-05T07:02:21Z</dcterms:modified>
</cp:coreProperties>
</file>