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JEGYZOKV\RENDELET\2026-\2026\"/>
    </mc:Choice>
  </mc:AlternateContent>
  <bookViews>
    <workbookView xWindow="0" yWindow="0" windowWidth="28800" windowHeight="11925" tabRatio="934" activeTab="12"/>
  </bookViews>
  <sheets>
    <sheet name="1.Onbe" sheetId="113" r:id="rId1"/>
    <sheet name="2.Onki" sheetId="115" r:id="rId2"/>
    <sheet name="3.Inbe " sheetId="181" r:id="rId3"/>
    <sheet name="4.Inki" sheetId="182" r:id="rId4"/>
    <sheet name="5.Infelhki" sheetId="185" r:id="rId5"/>
    <sheet name="6.Önk.műk." sheetId="105" r:id="rId6"/>
    <sheet name="7.Beruh." sheetId="134" r:id="rId7"/>
    <sheet name="8.Felúj." sheetId="147" r:id="rId8"/>
    <sheet name="9.Ter.Fejl.Alap" sheetId="195" r:id="rId9"/>
    <sheet name="10.Projekt" sheetId="144" r:id="rId10"/>
    <sheet name="11.Mérleg" sheetId="109" r:id="rId11"/>
    <sheet name="12.Létszám" sheetId="193" r:id="rId12"/>
    <sheet name="13.AKU" sheetId="197" r:id="rId13"/>
    <sheet name="14.EU" sheetId="192" r:id="rId14"/>
    <sheet name="15.Alap" sheetId="196" r:id="rId15"/>
  </sheets>
  <definedNames>
    <definedName name="_4._sz._sor_részletezése" localSheetId="0">#REF!</definedName>
    <definedName name="_4._sz._sor_részletezése" localSheetId="9">#REF!</definedName>
    <definedName name="_4._sz._sor_részletezése" localSheetId="13">#REF!</definedName>
    <definedName name="_4._sz._sor_részletezése" localSheetId="4">#REF!</definedName>
    <definedName name="_4._sz._sor_részletezése" localSheetId="6">#REF!</definedName>
    <definedName name="_4._sz._sor_részletezése" localSheetId="7">#REF!</definedName>
    <definedName name="_4._sz._sor_részletezése" localSheetId="8">#REF!</definedName>
    <definedName name="_4._sz._sor_részletezése">#REF!</definedName>
    <definedName name="_xlnm.Print_Titles" localSheetId="0">'1.Onbe'!$5:$7</definedName>
    <definedName name="_xlnm.Print_Titles" localSheetId="9">'10.Projekt'!$4:$8</definedName>
    <definedName name="_xlnm.Print_Titles" localSheetId="11">'12.Létszám'!$6:$6</definedName>
    <definedName name="_xlnm.Print_Titles" localSheetId="13">'14.EU'!$5:$9</definedName>
    <definedName name="_xlnm.Print_Titles" localSheetId="14">'15.Alap'!$6:$6</definedName>
    <definedName name="_xlnm.Print_Titles" localSheetId="1">'2.Onki'!$5:$7</definedName>
    <definedName name="_xlnm.Print_Titles" localSheetId="2">'3.Inbe '!$5:$8</definedName>
    <definedName name="_xlnm.Print_Titles" localSheetId="3">'4.Inki'!$5:$8</definedName>
    <definedName name="_xlnm.Print_Titles" localSheetId="4">'5.Infelhki'!$5:$8</definedName>
    <definedName name="_xlnm.Print_Titles" localSheetId="5">'6.Önk.műk.'!$4:$7</definedName>
    <definedName name="_xlnm.Print_Titles" localSheetId="6">'7.Beruh.'!$4:$8</definedName>
    <definedName name="_xlnm.Print_Titles" localSheetId="7">'8.Felúj.'!$4:$8</definedName>
    <definedName name="_xlnm.Print_Titles" localSheetId="8">'9.Ter.Fejl.Alap'!$5:$9</definedName>
    <definedName name="_xlnm.Print_Area" localSheetId="0">'1.Onbe'!$A$1:$I$71</definedName>
    <definedName name="_xlnm.Print_Area" localSheetId="9">'10.Projekt'!$A$1:$Q$99</definedName>
    <definedName name="_xlnm.Print_Area" localSheetId="10">'11.Mérleg'!$A$1:$M$38</definedName>
    <definedName name="_xlnm.Print_Area" localSheetId="11">'12.Létszám'!$A$1:$G$90</definedName>
    <definedName name="_xlnm.Print_Area" localSheetId="13">'14.EU'!$A$1:$R$31</definedName>
    <definedName name="_xlnm.Print_Area" localSheetId="14">'15.Alap'!$A$1:$H$24</definedName>
    <definedName name="_xlnm.Print_Area" localSheetId="1">'2.Onki'!$A$1:$I$46</definedName>
    <definedName name="_xlnm.Print_Area" localSheetId="2">'3.Inbe '!$A$1:$R$58</definedName>
    <definedName name="_xlnm.Print_Area" localSheetId="3">'4.Inki'!$A$1:$R$109</definedName>
    <definedName name="_xlnm.Print_Area" localSheetId="4">'5.Infelhki'!$A$1:$I$95</definedName>
    <definedName name="_xlnm.Print_Area" localSheetId="5">'6.Önk.műk.'!$A$1:$N$432</definedName>
    <definedName name="_xlnm.Print_Area" localSheetId="6">'7.Beruh.'!$A$1:$M$89</definedName>
    <definedName name="_xlnm.Print_Area" localSheetId="7">'8.Felúj.'!$A$1:$L$35</definedName>
    <definedName name="_xlnm.Print_Area" localSheetId="8">'9.Ter.Fejl.Alap'!$A$1:$L$69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0" i="192" l="1"/>
  <c r="E39" i="193" l="1"/>
  <c r="N22" i="105" l="1"/>
  <c r="N212" i="105" l="1"/>
  <c r="N254" i="105"/>
  <c r="I44" i="113"/>
  <c r="M75" i="144"/>
  <c r="I64" i="113" l="1"/>
  <c r="G80" i="144" l="1"/>
  <c r="J35" i="195" l="1"/>
  <c r="J66" i="195"/>
  <c r="H66" i="195"/>
  <c r="I14" i="195"/>
  <c r="J52" i="134"/>
  <c r="L80" i="134"/>
  <c r="E79" i="134" s="1"/>
  <c r="G25" i="109" l="1"/>
  <c r="G36" i="109" s="1"/>
  <c r="I42" i="115" l="1"/>
  <c r="I60" i="113"/>
  <c r="I64" i="195"/>
  <c r="J64" i="195"/>
  <c r="H64" i="195"/>
  <c r="J30" i="147"/>
  <c r="I30" i="147"/>
  <c r="K24" i="147"/>
  <c r="J62" i="195"/>
  <c r="H62" i="195"/>
  <c r="L76" i="134"/>
  <c r="E75" i="134" s="1"/>
  <c r="R30" i="192" l="1"/>
  <c r="Q30" i="192"/>
  <c r="O30" i="192"/>
  <c r="P30" i="192"/>
  <c r="N30" i="192"/>
  <c r="I30" i="192"/>
  <c r="J30" i="192"/>
  <c r="K30" i="192"/>
  <c r="L30" i="192"/>
  <c r="H30" i="192"/>
  <c r="R28" i="192" l="1"/>
  <c r="R29" i="192"/>
  <c r="G29" i="192" s="1"/>
  <c r="M28" i="192"/>
  <c r="M29" i="192"/>
  <c r="M87" i="144"/>
  <c r="M89" i="144"/>
  <c r="G28" i="192" l="1"/>
  <c r="I11" i="115"/>
  <c r="J95" i="144"/>
  <c r="K95" i="144"/>
  <c r="L95" i="144"/>
  <c r="M95" i="144"/>
  <c r="N95" i="144"/>
  <c r="O95" i="144"/>
  <c r="I95" i="144"/>
  <c r="F16" i="147"/>
  <c r="F14" i="147"/>
  <c r="F13" i="147"/>
  <c r="F12" i="147"/>
  <c r="F31" i="134"/>
  <c r="F23" i="134"/>
  <c r="F20" i="134"/>
  <c r="F19" i="134"/>
  <c r="F18" i="134"/>
  <c r="F17" i="134"/>
  <c r="I58" i="113"/>
  <c r="I59" i="113"/>
  <c r="I63" i="113"/>
  <c r="I91" i="185"/>
  <c r="H91" i="185"/>
  <c r="G91" i="185"/>
  <c r="F91" i="185"/>
  <c r="I81" i="185"/>
  <c r="H81" i="185"/>
  <c r="G81" i="185"/>
  <c r="F81" i="185"/>
  <c r="M40" i="182"/>
  <c r="G84" i="105"/>
  <c r="F84" i="105"/>
  <c r="G57" i="105"/>
  <c r="F21" i="105"/>
  <c r="R95" i="182"/>
  <c r="Q95" i="182"/>
  <c r="P95" i="182"/>
  <c r="O95" i="182"/>
  <c r="N95" i="182"/>
  <c r="M95" i="182"/>
  <c r="L95" i="182"/>
  <c r="K95" i="182"/>
  <c r="I94" i="182"/>
  <c r="H94" i="182"/>
  <c r="G94" i="182"/>
  <c r="J89" i="182"/>
  <c r="J87" i="182"/>
  <c r="J85" i="182"/>
  <c r="J83" i="182"/>
  <c r="J81" i="182"/>
  <c r="J79" i="182"/>
  <c r="J77" i="182"/>
  <c r="J75" i="182"/>
  <c r="J73" i="182"/>
  <c r="J71" i="182"/>
  <c r="J69" i="182"/>
  <c r="J67" i="182"/>
  <c r="J65" i="182"/>
  <c r="J63" i="182"/>
  <c r="J61" i="182"/>
  <c r="J59" i="182"/>
  <c r="J54" i="182"/>
  <c r="J50" i="182"/>
  <c r="J48" i="182"/>
  <c r="J46" i="182"/>
  <c r="J44" i="182"/>
  <c r="J42" i="182"/>
  <c r="J40" i="182"/>
  <c r="J36" i="182"/>
  <c r="J34" i="182"/>
  <c r="J32" i="182"/>
  <c r="J30" i="182"/>
  <c r="J26" i="182"/>
  <c r="J23" i="182"/>
  <c r="J20" i="182"/>
  <c r="J17" i="182"/>
  <c r="J14" i="182"/>
  <c r="J11" i="182"/>
  <c r="I56" i="181"/>
  <c r="I52" i="181"/>
  <c r="I48" i="181"/>
  <c r="I46" i="181"/>
  <c r="I44" i="181"/>
  <c r="I42" i="181"/>
  <c r="I40" i="181"/>
  <c r="I38" i="181"/>
  <c r="I34" i="181"/>
  <c r="I32" i="181"/>
  <c r="I30" i="181"/>
  <c r="I26" i="181"/>
  <c r="I23" i="181"/>
  <c r="I20" i="181"/>
  <c r="I17" i="181"/>
  <c r="I14" i="181"/>
  <c r="I11" i="181"/>
  <c r="H58" i="113"/>
  <c r="F138" i="105"/>
  <c r="G138" i="105"/>
  <c r="E138" i="105"/>
  <c r="E126" i="105"/>
  <c r="E57" i="105"/>
  <c r="G21" i="105"/>
  <c r="E21" i="105"/>
  <c r="I92" i="185" l="1"/>
  <c r="H92" i="185"/>
  <c r="F92" i="185"/>
  <c r="G92" i="185"/>
  <c r="L208" i="105"/>
  <c r="I37" i="113"/>
  <c r="K208" i="105"/>
  <c r="J208" i="105"/>
  <c r="V19" i="197" l="1"/>
  <c r="U19" i="197"/>
  <c r="T19" i="197"/>
  <c r="S19" i="197"/>
  <c r="R19" i="197"/>
  <c r="Q19" i="197"/>
  <c r="P19" i="197"/>
  <c r="O19" i="197"/>
  <c r="N19" i="197"/>
  <c r="M19" i="197"/>
  <c r="V18" i="197"/>
  <c r="U18" i="197"/>
  <c r="T18" i="197"/>
  <c r="S18" i="197"/>
  <c r="R18" i="197"/>
  <c r="Q18" i="197"/>
  <c r="P18" i="197"/>
  <c r="O18" i="197"/>
  <c r="N18" i="197"/>
  <c r="M18" i="197"/>
  <c r="V17" i="197"/>
  <c r="U17" i="197"/>
  <c r="T17" i="197"/>
  <c r="S17" i="197"/>
  <c r="R17" i="197"/>
  <c r="Q17" i="197"/>
  <c r="P17" i="197"/>
  <c r="O17" i="197"/>
  <c r="N17" i="197"/>
  <c r="M17" i="197"/>
  <c r="L17" i="197"/>
  <c r="J17" i="197"/>
  <c r="I17" i="197"/>
  <c r="H17" i="197"/>
  <c r="K15" i="197"/>
  <c r="K13" i="197"/>
  <c r="K11" i="197"/>
  <c r="K9" i="197"/>
  <c r="K17" i="197" s="1"/>
  <c r="H25" i="115"/>
  <c r="G17" i="115"/>
  <c r="I41" i="115" l="1"/>
  <c r="M24" i="109" s="1"/>
  <c r="I65" i="113"/>
  <c r="I39" i="115"/>
  <c r="I25" i="115"/>
  <c r="I13" i="113"/>
  <c r="J28" i="147" l="1"/>
  <c r="I28" i="147"/>
  <c r="I84" i="134"/>
  <c r="N192" i="105"/>
  <c r="L214" i="105"/>
  <c r="J24" i="134"/>
  <c r="I21" i="195"/>
  <c r="I66" i="195" s="1"/>
  <c r="N347" i="105"/>
  <c r="K27" i="144"/>
  <c r="K29" i="144"/>
  <c r="K21" i="144"/>
  <c r="K19" i="144"/>
  <c r="K17" i="144"/>
  <c r="K85" i="144"/>
  <c r="K83" i="144"/>
  <c r="I62" i="195" l="1"/>
  <c r="G24" i="196"/>
  <c r="G13" i="196"/>
  <c r="H24" i="196" l="1"/>
  <c r="H13" i="196"/>
  <c r="L405" i="105"/>
  <c r="K60" i="195"/>
  <c r="E60" i="195" s="1"/>
  <c r="K58" i="195"/>
  <c r="E58" i="195" s="1"/>
  <c r="K56" i="195"/>
  <c r="E56" i="195" s="1"/>
  <c r="K54" i="195"/>
  <c r="E54" i="195" s="1"/>
  <c r="K52" i="195"/>
  <c r="E52" i="195" s="1"/>
  <c r="K50" i="195"/>
  <c r="E50" i="195" s="1"/>
  <c r="K48" i="195"/>
  <c r="E48" i="195" s="1"/>
  <c r="K46" i="195"/>
  <c r="E46" i="195" s="1"/>
  <c r="K43" i="195"/>
  <c r="E43" i="195" s="1"/>
  <c r="K41" i="195"/>
  <c r="E41" i="195" s="1"/>
  <c r="K39" i="195"/>
  <c r="E39" i="195" s="1"/>
  <c r="K37" i="195"/>
  <c r="E37" i="195" s="1"/>
  <c r="K35" i="195"/>
  <c r="E35" i="195" s="1"/>
  <c r="K33" i="195"/>
  <c r="E33" i="195" s="1"/>
  <c r="K31" i="195"/>
  <c r="E31" i="195" s="1"/>
  <c r="K29" i="195"/>
  <c r="E29" i="195" s="1"/>
  <c r="K27" i="195"/>
  <c r="E27" i="195" s="1"/>
  <c r="K25" i="195"/>
  <c r="E25" i="195" s="1"/>
  <c r="K23" i="195"/>
  <c r="E23" i="195" s="1"/>
  <c r="K21" i="195"/>
  <c r="E21" i="195" s="1"/>
  <c r="K18" i="195"/>
  <c r="E18" i="195" s="1"/>
  <c r="L62" i="195" l="1"/>
  <c r="K16" i="195"/>
  <c r="E16" i="195" s="1"/>
  <c r="K14" i="195"/>
  <c r="E14" i="195" s="1"/>
  <c r="K12" i="195"/>
  <c r="E12" i="195" s="1"/>
  <c r="K64" i="195" l="1"/>
  <c r="K62" i="195"/>
  <c r="K66" i="195" l="1"/>
  <c r="E14" i="147" l="1"/>
  <c r="K26" i="147"/>
  <c r="E25" i="147" s="1"/>
  <c r="E20" i="147"/>
  <c r="E19" i="147"/>
  <c r="E11" i="147"/>
  <c r="J84" i="134"/>
  <c r="K84" i="134"/>
  <c r="L44" i="134" l="1"/>
  <c r="E43" i="134" s="1"/>
  <c r="L78" i="134"/>
  <c r="E77" i="134" s="1"/>
  <c r="L74" i="134"/>
  <c r="E73" i="134" s="1"/>
  <c r="L72" i="134"/>
  <c r="E71" i="134" s="1"/>
  <c r="L70" i="134"/>
  <c r="E69" i="134" s="1"/>
  <c r="L68" i="134"/>
  <c r="E67" i="134" s="1"/>
  <c r="L66" i="134"/>
  <c r="E65" i="134" s="1"/>
  <c r="M46" i="134"/>
  <c r="F45" i="134"/>
  <c r="K32" i="134"/>
  <c r="K86" i="134" s="1"/>
  <c r="J32" i="134"/>
  <c r="J86" i="134" s="1"/>
  <c r="F29" i="134"/>
  <c r="F27" i="134"/>
  <c r="J26" i="134"/>
  <c r="I26" i="134"/>
  <c r="I24" i="134"/>
  <c r="E12" i="134"/>
  <c r="F10" i="134"/>
  <c r="I86" i="134" l="1"/>
  <c r="I82" i="134"/>
  <c r="J82" i="134"/>
  <c r="K82" i="134"/>
  <c r="D37" i="193"/>
  <c r="E37" i="193"/>
  <c r="F9" i="193"/>
  <c r="E90" i="193"/>
  <c r="D90" i="193"/>
  <c r="F90" i="193" s="1"/>
  <c r="F89" i="193"/>
  <c r="E89" i="193"/>
  <c r="D89" i="193"/>
  <c r="E88" i="193"/>
  <c r="D88" i="193"/>
  <c r="E87" i="193"/>
  <c r="D87" i="193"/>
  <c r="E86" i="193"/>
  <c r="D86" i="193"/>
  <c r="E85" i="193"/>
  <c r="D85" i="193"/>
  <c r="F85" i="193" s="1"/>
  <c r="E84" i="193"/>
  <c r="D84" i="193"/>
  <c r="F81" i="193"/>
  <c r="F80" i="193"/>
  <c r="F78" i="193"/>
  <c r="F76" i="193"/>
  <c r="F75" i="193"/>
  <c r="F73" i="193"/>
  <c r="D72" i="193"/>
  <c r="D82" i="193" s="1"/>
  <c r="F71" i="193"/>
  <c r="F70" i="193"/>
  <c r="F68" i="193"/>
  <c r="F67" i="193"/>
  <c r="F65" i="193"/>
  <c r="F64" i="193"/>
  <c r="F62" i="193"/>
  <c r="F61" i="193"/>
  <c r="F59" i="193"/>
  <c r="F58" i="193"/>
  <c r="F56" i="193"/>
  <c r="F55" i="193"/>
  <c r="F53" i="193"/>
  <c r="F52" i="193"/>
  <c r="F50" i="193"/>
  <c r="F49" i="193"/>
  <c r="F48" i="193"/>
  <c r="F46" i="193"/>
  <c r="F45" i="193"/>
  <c r="F44" i="193"/>
  <c r="F42" i="193"/>
  <c r="F41" i="193"/>
  <c r="F40" i="193"/>
  <c r="F39" i="193"/>
  <c r="F36" i="193"/>
  <c r="F35" i="193"/>
  <c r="F34" i="193"/>
  <c r="F32" i="193"/>
  <c r="F31" i="193"/>
  <c r="F30" i="193"/>
  <c r="F29" i="193"/>
  <c r="F27" i="193"/>
  <c r="F26" i="193"/>
  <c r="F25" i="193"/>
  <c r="F24" i="193"/>
  <c r="F22" i="193"/>
  <c r="F21" i="193"/>
  <c r="F20" i="193"/>
  <c r="F19" i="193"/>
  <c r="F17" i="193"/>
  <c r="F16" i="193"/>
  <c r="F15" i="193"/>
  <c r="F14" i="193"/>
  <c r="F12" i="193"/>
  <c r="F11" i="193"/>
  <c r="F10" i="193"/>
  <c r="F7" i="193"/>
  <c r="F87" i="193" l="1"/>
  <c r="L82" i="134"/>
  <c r="F86" i="193"/>
  <c r="F88" i="193"/>
  <c r="E72" i="193"/>
  <c r="E82" i="193" s="1"/>
  <c r="F84" i="193"/>
  <c r="F37" i="193"/>
  <c r="F72" i="193" s="1"/>
  <c r="F82" i="193" s="1"/>
  <c r="L334" i="105" l="1"/>
  <c r="I32" i="115"/>
  <c r="I33" i="115"/>
  <c r="I34" i="115"/>
  <c r="P93" i="144"/>
  <c r="E92" i="144" s="1"/>
  <c r="P91" i="144"/>
  <c r="E90" i="144" s="1"/>
  <c r="P89" i="144"/>
  <c r="E88" i="144" s="1"/>
  <c r="P87" i="144"/>
  <c r="E86" i="144" s="1"/>
  <c r="P85" i="144"/>
  <c r="E84" i="144" s="1"/>
  <c r="P83" i="144"/>
  <c r="E82" i="144" s="1"/>
  <c r="P81" i="144"/>
  <c r="E80" i="144" s="1"/>
  <c r="P79" i="144"/>
  <c r="E78" i="144" s="1"/>
  <c r="P77" i="144"/>
  <c r="E76" i="144" s="1"/>
  <c r="P75" i="144"/>
  <c r="E74" i="144" s="1"/>
  <c r="P73" i="144"/>
  <c r="E72" i="144" s="1"/>
  <c r="P71" i="144"/>
  <c r="E70" i="144" s="1"/>
  <c r="P69" i="144"/>
  <c r="E68" i="144" s="1"/>
  <c r="P67" i="144"/>
  <c r="E66" i="144" s="1"/>
  <c r="P65" i="144"/>
  <c r="E64" i="144" s="1"/>
  <c r="P63" i="144"/>
  <c r="E62" i="144" s="1"/>
  <c r="P61" i="144"/>
  <c r="E60" i="144" s="1"/>
  <c r="P59" i="144"/>
  <c r="E58" i="144" s="1"/>
  <c r="P57" i="144"/>
  <c r="E56" i="144" s="1"/>
  <c r="P55" i="144"/>
  <c r="E54" i="144" s="1"/>
  <c r="P53" i="144"/>
  <c r="E52" i="144" s="1"/>
  <c r="P51" i="144"/>
  <c r="E50" i="144" s="1"/>
  <c r="P49" i="144"/>
  <c r="E48" i="144" s="1"/>
  <c r="P47" i="144"/>
  <c r="E46" i="144" s="1"/>
  <c r="P45" i="144"/>
  <c r="P43" i="144"/>
  <c r="P41" i="144"/>
  <c r="P39" i="144"/>
  <c r="P37" i="144"/>
  <c r="P35" i="144"/>
  <c r="P33" i="144"/>
  <c r="P31" i="144"/>
  <c r="P29" i="144"/>
  <c r="E28" i="144" s="1"/>
  <c r="P27" i="144"/>
  <c r="E26" i="144" s="1"/>
  <c r="P25" i="144"/>
  <c r="P23" i="144"/>
  <c r="P21" i="144"/>
  <c r="E20" i="144" s="1"/>
  <c r="P19" i="144"/>
  <c r="E18" i="144" s="1"/>
  <c r="P17" i="144"/>
  <c r="E16" i="144" s="1"/>
  <c r="P15" i="144"/>
  <c r="P13" i="144"/>
  <c r="P11" i="144"/>
  <c r="I247" i="105"/>
  <c r="I235" i="105"/>
  <c r="I224" i="105"/>
  <c r="L204" i="105"/>
  <c r="F34" i="144"/>
  <c r="F14" i="144"/>
  <c r="F12" i="144"/>
  <c r="Q25" i="192"/>
  <c r="Q22" i="192"/>
  <c r="Q21" i="192"/>
  <c r="Q19" i="192"/>
  <c r="L25" i="192"/>
  <c r="L23" i="192"/>
  <c r="R27" i="192" l="1"/>
  <c r="M27" i="192"/>
  <c r="R26" i="192"/>
  <c r="M26" i="192"/>
  <c r="R25" i="192"/>
  <c r="M25" i="192"/>
  <c r="R24" i="192"/>
  <c r="M24" i="192"/>
  <c r="R23" i="192"/>
  <c r="M23" i="192"/>
  <c r="R22" i="192"/>
  <c r="M22" i="192"/>
  <c r="R21" i="192"/>
  <c r="M21" i="192"/>
  <c r="R20" i="192"/>
  <c r="M20" i="192"/>
  <c r="R19" i="192"/>
  <c r="M19" i="192"/>
  <c r="R18" i="192"/>
  <c r="M18" i="192"/>
  <c r="R17" i="192"/>
  <c r="M17" i="192"/>
  <c r="R16" i="192"/>
  <c r="M16" i="192"/>
  <c r="O15" i="192"/>
  <c r="R15" i="192" s="1"/>
  <c r="M15" i="192"/>
  <c r="O14" i="192"/>
  <c r="J14" i="192"/>
  <c r="R13" i="192"/>
  <c r="M13" i="192"/>
  <c r="R12" i="192"/>
  <c r="M12" i="192"/>
  <c r="N11" i="192"/>
  <c r="M11" i="192"/>
  <c r="R11" i="192" l="1"/>
  <c r="G20" i="192"/>
  <c r="G26" i="192"/>
  <c r="G25" i="192"/>
  <c r="G27" i="192"/>
  <c r="G19" i="192"/>
  <c r="G22" i="192"/>
  <c r="G21" i="192"/>
  <c r="G13" i="192"/>
  <c r="G18" i="192"/>
  <c r="G15" i="192"/>
  <c r="G17" i="192"/>
  <c r="G11" i="192"/>
  <c r="G12" i="192"/>
  <c r="M14" i="192"/>
  <c r="G24" i="192"/>
  <c r="G16" i="192"/>
  <c r="G23" i="192"/>
  <c r="R14" i="192"/>
  <c r="G14" i="192" l="1"/>
  <c r="G30" i="192"/>
  <c r="M427" i="105" l="1"/>
  <c r="I78" i="105"/>
  <c r="L54" i="105"/>
  <c r="L421" i="105"/>
  <c r="I421" i="105" s="1"/>
  <c r="I423" i="105"/>
  <c r="I416" i="105"/>
  <c r="I414" i="105"/>
  <c r="L407" i="105"/>
  <c r="I382" i="105"/>
  <c r="I368" i="105"/>
  <c r="L364" i="105"/>
  <c r="I357" i="105"/>
  <c r="L351" i="105"/>
  <c r="L338" i="105"/>
  <c r="L321" i="105"/>
  <c r="L303" i="105"/>
  <c r="L301" i="105"/>
  <c r="L299" i="105"/>
  <c r="L297" i="105"/>
  <c r="L291" i="105"/>
  <c r="L289" i="105"/>
  <c r="L287" i="105"/>
  <c r="L285" i="105"/>
  <c r="L283" i="105"/>
  <c r="L281" i="105"/>
  <c r="L279" i="105"/>
  <c r="L274" i="105"/>
  <c r="N263" i="105"/>
  <c r="N261" i="105"/>
  <c r="N259" i="105"/>
  <c r="L256" i="105"/>
  <c r="L245" i="105"/>
  <c r="I245" i="105" s="1"/>
  <c r="L243" i="105"/>
  <c r="I243" i="105" s="1"/>
  <c r="L241" i="105"/>
  <c r="L239" i="105"/>
  <c r="K239" i="105"/>
  <c r="K427" i="105" s="1"/>
  <c r="J239" i="105"/>
  <c r="L233" i="105"/>
  <c r="L229" i="105"/>
  <c r="L227" i="105"/>
  <c r="I212" i="105"/>
  <c r="F158" i="105"/>
  <c r="G158" i="105"/>
  <c r="E158" i="105"/>
  <c r="N131" i="105"/>
  <c r="L125" i="105"/>
  <c r="L123" i="105"/>
  <c r="L121" i="105"/>
  <c r="L119" i="105"/>
  <c r="I87" i="105"/>
  <c r="K58" i="105"/>
  <c r="L58" i="105"/>
  <c r="M58" i="105"/>
  <c r="J58" i="105"/>
  <c r="F57" i="105"/>
  <c r="K16" i="105"/>
  <c r="J16" i="105"/>
  <c r="I239" i="105" l="1"/>
  <c r="J427" i="105"/>
  <c r="L14" i="105"/>
  <c r="J14" i="105"/>
  <c r="K14" i="105"/>
  <c r="K54" i="105"/>
  <c r="L52" i="105"/>
  <c r="I48" i="105"/>
  <c r="I36" i="105"/>
  <c r="L20" i="105"/>
  <c r="L18" i="105"/>
  <c r="K18" i="105"/>
  <c r="J18" i="105"/>
  <c r="L12" i="105" l="1"/>
  <c r="L10" i="105"/>
  <c r="L427" i="105" s="1"/>
  <c r="I14" i="105" l="1"/>
  <c r="F25" i="109" l="1"/>
  <c r="G24" i="109"/>
  <c r="M28" i="109"/>
  <c r="M25" i="109"/>
  <c r="H39" i="115"/>
  <c r="G39" i="115"/>
  <c r="F39" i="115"/>
  <c r="I66" i="113"/>
  <c r="H66" i="113"/>
  <c r="G66" i="113"/>
  <c r="F66" i="113"/>
  <c r="K29" i="109"/>
  <c r="E44" i="144"/>
  <c r="E36" i="144"/>
  <c r="E42" i="144"/>
  <c r="P95" i="144" l="1"/>
  <c r="E34" i="144"/>
  <c r="E40" i="144"/>
  <c r="E38" i="144"/>
  <c r="N250" i="105" l="1"/>
  <c r="J50" i="181" l="1"/>
  <c r="K159" i="105" l="1"/>
  <c r="L159" i="105"/>
  <c r="N159" i="105"/>
  <c r="J159" i="105"/>
  <c r="E84" i="105" l="1"/>
  <c r="K22" i="105" l="1"/>
  <c r="L22" i="105"/>
  <c r="M22" i="105"/>
  <c r="J22" i="105"/>
  <c r="I22" i="105" l="1"/>
  <c r="I409" i="105"/>
  <c r="L50" i="134" l="1"/>
  <c r="E49" i="134" s="1"/>
  <c r="L206" i="105" l="1"/>
  <c r="I390" i="105" l="1"/>
  <c r="I378" i="105"/>
  <c r="I405" i="105"/>
  <c r="I344" i="105"/>
  <c r="I403" i="105"/>
  <c r="I401" i="105"/>
  <c r="I399" i="105"/>
  <c r="I397" i="105" l="1"/>
  <c r="I395" i="105" l="1"/>
  <c r="I336" i="105"/>
  <c r="I384" i="105"/>
  <c r="L355" i="105" l="1"/>
  <c r="I371" i="105"/>
  <c r="I407" i="105" l="1"/>
  <c r="K139" i="105"/>
  <c r="L139" i="105"/>
  <c r="M139" i="105"/>
  <c r="N139" i="105"/>
  <c r="J139" i="105"/>
  <c r="I151" i="105"/>
  <c r="I149" i="105"/>
  <c r="I112" i="105"/>
  <c r="I107" i="105"/>
  <c r="K85" i="105"/>
  <c r="L85" i="105"/>
  <c r="M85" i="105"/>
  <c r="N85" i="105"/>
  <c r="J85" i="105"/>
  <c r="I99" i="105"/>
  <c r="I40" i="105"/>
  <c r="I38" i="105"/>
  <c r="H425" i="105"/>
  <c r="F126" i="105"/>
  <c r="M159" i="105" l="1"/>
  <c r="L64" i="134"/>
  <c r="E63" i="134" s="1"/>
  <c r="L62" i="134"/>
  <c r="E61" i="134" l="1"/>
  <c r="L60" i="134"/>
  <c r="E59" i="134" s="1"/>
  <c r="L58" i="134"/>
  <c r="E57" i="134" s="1"/>
  <c r="L42" i="134"/>
  <c r="E41" i="134" s="1"/>
  <c r="L40" i="134"/>
  <c r="E39" i="134" s="1"/>
  <c r="L38" i="134"/>
  <c r="E37" i="134" s="1"/>
  <c r="L36" i="134"/>
  <c r="E35" i="134" s="1"/>
  <c r="F25" i="134" l="1"/>
  <c r="L16" i="134"/>
  <c r="E15" i="134" s="1"/>
  <c r="E15" i="147" l="1"/>
  <c r="E13" i="147"/>
  <c r="E18" i="147"/>
  <c r="E17" i="147"/>
  <c r="E16" i="147"/>
  <c r="E12" i="147"/>
  <c r="K22" i="147"/>
  <c r="E21" i="147" s="1"/>
  <c r="E22" i="144" l="1"/>
  <c r="E14" i="144"/>
  <c r="E12" i="144"/>
  <c r="K32" i="147" l="1"/>
  <c r="F20" i="109"/>
  <c r="E20" i="109"/>
  <c r="F14" i="109"/>
  <c r="E14" i="109"/>
  <c r="L29" i="109"/>
  <c r="L20" i="109"/>
  <c r="K20" i="109"/>
  <c r="L14" i="109"/>
  <c r="K14" i="109"/>
  <c r="I412" i="105"/>
  <c r="F32" i="109" l="1"/>
  <c r="E33" i="109"/>
  <c r="F33" i="109"/>
  <c r="E32" i="109"/>
  <c r="K21" i="109"/>
  <c r="K30" i="109" s="1"/>
  <c r="K38" i="109" s="1"/>
  <c r="L21" i="109"/>
  <c r="L30" i="109" s="1"/>
  <c r="L38" i="109" s="1"/>
  <c r="E21" i="109"/>
  <c r="F21" i="109"/>
  <c r="E31" i="109" l="1"/>
  <c r="E34" i="109" s="1"/>
  <c r="L37" i="109"/>
  <c r="F31" i="109"/>
  <c r="F34" i="109" s="1"/>
  <c r="K37" i="109"/>
  <c r="G126" i="105" l="1"/>
  <c r="M82" i="134" l="1"/>
  <c r="L34" i="134" l="1"/>
  <c r="E33" i="134" s="1"/>
  <c r="L48" i="134"/>
  <c r="E47" i="134" s="1"/>
  <c r="L56" i="134"/>
  <c r="E55" i="134" s="1"/>
  <c r="L54" i="134"/>
  <c r="E53" i="134" s="1"/>
  <c r="L52" i="134"/>
  <c r="E51" i="134" s="1"/>
  <c r="L14" i="134" l="1"/>
  <c r="E13" i="134" s="1"/>
  <c r="L84" i="134"/>
  <c r="L86" i="134" l="1"/>
  <c r="I267" i="105" l="1"/>
  <c r="L353" i="105"/>
  <c r="I364" i="105"/>
  <c r="I366" i="105"/>
  <c r="I359" i="105"/>
  <c r="L319" i="105"/>
  <c r="I355" i="105"/>
  <c r="I349" i="105"/>
  <c r="I347" i="105"/>
  <c r="I332" i="105"/>
  <c r="L328" i="105"/>
  <c r="I328" i="105" s="1"/>
  <c r="L323" i="105"/>
  <c r="I252" i="105"/>
  <c r="I237" i="105"/>
  <c r="I229" i="105"/>
  <c r="I353" i="105" l="1"/>
  <c r="I319" i="105"/>
  <c r="I351" i="105"/>
  <c r="I194" i="105"/>
  <c r="I147" i="105"/>
  <c r="I145" i="105"/>
  <c r="I141" i="105"/>
  <c r="K127" i="105"/>
  <c r="K429" i="105" s="1"/>
  <c r="L127" i="105"/>
  <c r="L429" i="105" s="1"/>
  <c r="M127" i="105"/>
  <c r="M429" i="105" s="1"/>
  <c r="N127" i="105"/>
  <c r="J127" i="105"/>
  <c r="J429" i="105" s="1"/>
  <c r="I133" i="105"/>
  <c r="I135" i="105"/>
  <c r="I131" i="105"/>
  <c r="I103" i="105"/>
  <c r="M425" i="105" l="1"/>
  <c r="J425" i="105"/>
  <c r="K425" i="105"/>
  <c r="L425" i="105"/>
  <c r="I105" i="105"/>
  <c r="I101" i="105"/>
  <c r="I50" i="105"/>
  <c r="I97" i="105"/>
  <c r="I95" i="105"/>
  <c r="I93" i="105"/>
  <c r="I91" i="105"/>
  <c r="I89" i="105"/>
  <c r="N72" i="105"/>
  <c r="N58" i="105" s="1"/>
  <c r="I58" i="105" s="1"/>
  <c r="I60" i="105"/>
  <c r="I46" i="105"/>
  <c r="I44" i="105"/>
  <c r="I42" i="105"/>
  <c r="I34" i="105"/>
  <c r="I32" i="105"/>
  <c r="I30" i="105"/>
  <c r="I28" i="105"/>
  <c r="I24" i="105"/>
  <c r="N429" i="105" l="1"/>
  <c r="I72" i="105"/>
  <c r="I20" i="105"/>
  <c r="K30" i="147" l="1"/>
  <c r="Q95" i="144" l="1"/>
  <c r="E32" i="144"/>
  <c r="E30" i="144"/>
  <c r="J95" i="182" l="1"/>
  <c r="R52" i="182" l="1"/>
  <c r="Q52" i="182"/>
  <c r="P52" i="182"/>
  <c r="O52" i="182"/>
  <c r="N52" i="182"/>
  <c r="M52" i="182"/>
  <c r="L52" i="182"/>
  <c r="K52" i="182"/>
  <c r="R50" i="181"/>
  <c r="Q50" i="181"/>
  <c r="O50" i="181"/>
  <c r="N50" i="181"/>
  <c r="M50" i="181"/>
  <c r="L50" i="181"/>
  <c r="K50" i="181"/>
  <c r="P36" i="181" l="1"/>
  <c r="O36" i="181"/>
  <c r="N36" i="181"/>
  <c r="M36" i="181"/>
  <c r="L36" i="181"/>
  <c r="K36" i="181"/>
  <c r="J36" i="181"/>
  <c r="R36" i="181" l="1"/>
  <c r="Q36" i="181" l="1"/>
  <c r="P50" i="181" l="1"/>
  <c r="I36" i="181"/>
  <c r="I50" i="181" l="1"/>
  <c r="F17" i="115"/>
  <c r="I17" i="115"/>
  <c r="I16" i="115" s="1"/>
  <c r="H17" i="115"/>
  <c r="F22" i="113" l="1"/>
  <c r="F21" i="113" s="1"/>
  <c r="G306" i="105" l="1"/>
  <c r="F306" i="105"/>
  <c r="E306" i="105"/>
  <c r="I10" i="113" l="1"/>
  <c r="I9" i="113" s="1"/>
  <c r="I341" i="105"/>
  <c r="I202" i="105"/>
  <c r="I62" i="105"/>
  <c r="L46" i="134" l="1"/>
  <c r="E45" i="134" s="1"/>
  <c r="I46" i="113"/>
  <c r="R103" i="182"/>
  <c r="Q103" i="182"/>
  <c r="P103" i="182"/>
  <c r="O103" i="182"/>
  <c r="N103" i="182"/>
  <c r="M103" i="182"/>
  <c r="L103" i="182"/>
  <c r="K103" i="182"/>
  <c r="R38" i="182"/>
  <c r="Q38" i="182"/>
  <c r="P38" i="182"/>
  <c r="O38" i="182"/>
  <c r="N38" i="182"/>
  <c r="L38" i="182"/>
  <c r="K38" i="182"/>
  <c r="M38" i="182"/>
  <c r="H37" i="182"/>
  <c r="F49" i="181" l="1"/>
  <c r="F27" i="181" l="1"/>
  <c r="F35" i="181"/>
  <c r="I338" i="105" l="1"/>
  <c r="I334" i="105"/>
  <c r="I330" i="105"/>
  <c r="K28" i="147" l="1"/>
  <c r="L32" i="134" l="1"/>
  <c r="E31" i="134" s="1"/>
  <c r="L11" i="134" l="1"/>
  <c r="E10" i="134" s="1"/>
  <c r="L24" i="134"/>
  <c r="E23" i="134" s="1"/>
  <c r="L26" i="134"/>
  <c r="E25" i="134" s="1"/>
  <c r="L28" i="134"/>
  <c r="E27" i="134" s="1"/>
  <c r="L30" i="134"/>
  <c r="E29" i="134" s="1"/>
  <c r="R28" i="181" l="1"/>
  <c r="I326" i="105" l="1"/>
  <c r="I102" i="182"/>
  <c r="H102" i="182"/>
  <c r="G102" i="182"/>
  <c r="Q106" i="182"/>
  <c r="P106" i="182"/>
  <c r="O106" i="182"/>
  <c r="N106" i="182"/>
  <c r="M106" i="182"/>
  <c r="I105" i="182"/>
  <c r="H105" i="182"/>
  <c r="G105" i="182"/>
  <c r="I51" i="182"/>
  <c r="H51" i="182"/>
  <c r="G51" i="182"/>
  <c r="I37" i="182"/>
  <c r="G37" i="182"/>
  <c r="R28" i="182"/>
  <c r="R100" i="182" s="1"/>
  <c r="Q28" i="182"/>
  <c r="Q100" i="182" s="1"/>
  <c r="P28" i="182"/>
  <c r="P100" i="182" s="1"/>
  <c r="O28" i="182"/>
  <c r="O100" i="182" s="1"/>
  <c r="N28" i="182"/>
  <c r="N100" i="182" s="1"/>
  <c r="M28" i="182"/>
  <c r="M100" i="182" s="1"/>
  <c r="L28" i="182"/>
  <c r="L100" i="182" s="1"/>
  <c r="K28" i="182"/>
  <c r="K100" i="182" s="1"/>
  <c r="I27" i="182"/>
  <c r="H27" i="182"/>
  <c r="H99" i="182" s="1"/>
  <c r="G27" i="182"/>
  <c r="H49" i="181"/>
  <c r="G49" i="181"/>
  <c r="H35" i="181"/>
  <c r="G35" i="181"/>
  <c r="Q28" i="181"/>
  <c r="P28" i="181"/>
  <c r="O28" i="181"/>
  <c r="N28" i="181"/>
  <c r="M28" i="181"/>
  <c r="L28" i="181"/>
  <c r="K28" i="181"/>
  <c r="J28" i="181"/>
  <c r="H27" i="181"/>
  <c r="G27" i="181"/>
  <c r="I99" i="182" l="1"/>
  <c r="G99" i="182"/>
  <c r="J52" i="182"/>
  <c r="P54" i="181"/>
  <c r="P58" i="181" s="1"/>
  <c r="G55" i="182"/>
  <c r="G96" i="182" s="1"/>
  <c r="O56" i="182"/>
  <c r="O97" i="182" s="1"/>
  <c r="L56" i="182"/>
  <c r="L97" i="182" s="1"/>
  <c r="M9" i="109" s="1"/>
  <c r="R54" i="181"/>
  <c r="R58" i="181" s="1"/>
  <c r="N54" i="181"/>
  <c r="N58" i="181" s="1"/>
  <c r="J54" i="181"/>
  <c r="J58" i="181" s="1"/>
  <c r="F53" i="181"/>
  <c r="F57" i="181" s="1"/>
  <c r="O54" i="181"/>
  <c r="O58" i="181" s="1"/>
  <c r="K54" i="181"/>
  <c r="K58" i="181" s="1"/>
  <c r="K56" i="182"/>
  <c r="G53" i="181"/>
  <c r="G57" i="181" s="1"/>
  <c r="L54" i="181"/>
  <c r="L58" i="181" s="1"/>
  <c r="J28" i="182"/>
  <c r="H55" i="182"/>
  <c r="H96" i="182" s="1"/>
  <c r="M56" i="182"/>
  <c r="M97" i="182" s="1"/>
  <c r="M10" i="109" s="1"/>
  <c r="Q56" i="182"/>
  <c r="Q97" i="182" s="1"/>
  <c r="I28" i="181"/>
  <c r="H53" i="181"/>
  <c r="H57" i="181" s="1"/>
  <c r="M54" i="181"/>
  <c r="M58" i="181" s="1"/>
  <c r="Q54" i="181"/>
  <c r="Q58" i="181" s="1"/>
  <c r="I55" i="182"/>
  <c r="I96" i="182" s="1"/>
  <c r="N56" i="182"/>
  <c r="N97" i="182" s="1"/>
  <c r="M11" i="109" s="1"/>
  <c r="R56" i="182"/>
  <c r="R97" i="182" s="1"/>
  <c r="J103" i="182"/>
  <c r="J38" i="182"/>
  <c r="P56" i="182"/>
  <c r="P97" i="182" s="1"/>
  <c r="L106" i="182"/>
  <c r="R106" i="182"/>
  <c r="I54" i="181" l="1"/>
  <c r="I58" i="181" s="1"/>
  <c r="K97" i="182"/>
  <c r="K106" i="182"/>
  <c r="J106" i="182" s="1"/>
  <c r="J56" i="182"/>
  <c r="J100" i="182"/>
  <c r="I9" i="115" l="1"/>
  <c r="M8" i="109"/>
  <c r="J97" i="182"/>
  <c r="I272" i="105"/>
  <c r="I270" i="105"/>
  <c r="I254" i="105"/>
  <c r="I85" i="105" l="1"/>
  <c r="I139" i="105" l="1"/>
  <c r="I56" i="105"/>
  <c r="H10" i="115" l="1"/>
  <c r="G10" i="115"/>
  <c r="G8" i="115" s="1"/>
  <c r="F10" i="115"/>
  <c r="I137" i="105" l="1"/>
  <c r="F10" i="113" l="1"/>
  <c r="I323" i="105" l="1"/>
  <c r="I303" i="105"/>
  <c r="N307" i="105" l="1"/>
  <c r="N425" i="105" l="1"/>
  <c r="M12" i="109" s="1"/>
  <c r="N427" i="105"/>
  <c r="I427" i="105" s="1"/>
  <c r="G35" i="115" l="1"/>
  <c r="G31" i="115"/>
  <c r="G25" i="115"/>
  <c r="G16" i="115" s="1"/>
  <c r="G57" i="113"/>
  <c r="E23" i="109" s="1"/>
  <c r="G51" i="113"/>
  <c r="G46" i="113"/>
  <c r="G42" i="113"/>
  <c r="G33" i="113"/>
  <c r="G22" i="113"/>
  <c r="G21" i="113" s="1"/>
  <c r="G10" i="113"/>
  <c r="G9" i="113" s="1"/>
  <c r="I208" i="105"/>
  <c r="I220" i="105"/>
  <c r="I197" i="105"/>
  <c r="I200" i="105"/>
  <c r="I204" i="105"/>
  <c r="I206" i="105"/>
  <c r="I210" i="105"/>
  <c r="I214" i="105"/>
  <c r="I216" i="105"/>
  <c r="I218" i="105"/>
  <c r="I222" i="105"/>
  <c r="I227" i="105"/>
  <c r="I231" i="105"/>
  <c r="I233" i="105"/>
  <c r="I241" i="105"/>
  <c r="I250" i="105"/>
  <c r="I256" i="105"/>
  <c r="I259" i="105"/>
  <c r="I261" i="105"/>
  <c r="I263" i="105"/>
  <c r="I265" i="105"/>
  <c r="I274" i="105"/>
  <c r="I277" i="105"/>
  <c r="I279" i="105"/>
  <c r="I281" i="105"/>
  <c r="I283" i="105"/>
  <c r="I285" i="105"/>
  <c r="I287" i="105"/>
  <c r="I289" i="105"/>
  <c r="I291" i="105"/>
  <c r="I293" i="105"/>
  <c r="I295" i="105"/>
  <c r="I297" i="105"/>
  <c r="I299" i="105"/>
  <c r="I301" i="105"/>
  <c r="I305" i="105"/>
  <c r="I307" i="105"/>
  <c r="I309" i="105"/>
  <c r="I311" i="105"/>
  <c r="I313" i="105"/>
  <c r="I315" i="105"/>
  <c r="I317" i="105"/>
  <c r="I321" i="105"/>
  <c r="I61" i="113"/>
  <c r="G27" i="109" s="1"/>
  <c r="I82" i="105"/>
  <c r="I80" i="105"/>
  <c r="E19" i="134"/>
  <c r="E20" i="134"/>
  <c r="E10" i="144"/>
  <c r="E24" i="144"/>
  <c r="I163" i="105"/>
  <c r="H16" i="115"/>
  <c r="F25" i="115"/>
  <c r="I153" i="105"/>
  <c r="F8" i="115"/>
  <c r="H42" i="113"/>
  <c r="F42" i="113"/>
  <c r="I192" i="105"/>
  <c r="I190" i="105"/>
  <c r="I188" i="105"/>
  <c r="I186" i="105"/>
  <c r="I184" i="105"/>
  <c r="I182" i="105"/>
  <c r="I180" i="105"/>
  <c r="I177" i="105"/>
  <c r="I175" i="105"/>
  <c r="I173" i="105"/>
  <c r="I171" i="105"/>
  <c r="I169" i="105"/>
  <c r="I167" i="105"/>
  <c r="I165" i="105"/>
  <c r="I161" i="105"/>
  <c r="I157" i="105"/>
  <c r="I155" i="105"/>
  <c r="I143" i="105"/>
  <c r="I129" i="105"/>
  <c r="I125" i="105"/>
  <c r="I123" i="105"/>
  <c r="I121" i="105"/>
  <c r="I119" i="105"/>
  <c r="I117" i="105"/>
  <c r="I110" i="105"/>
  <c r="I54" i="105"/>
  <c r="I52" i="105"/>
  <c r="I26" i="105"/>
  <c r="I18" i="105"/>
  <c r="I16" i="105"/>
  <c r="I12" i="105"/>
  <c r="I10" i="105"/>
  <c r="I33" i="113"/>
  <c r="I35" i="115"/>
  <c r="H35" i="115"/>
  <c r="F35" i="115"/>
  <c r="H31" i="115"/>
  <c r="F31" i="115"/>
  <c r="H8" i="115"/>
  <c r="H61" i="113"/>
  <c r="F27" i="109" s="1"/>
  <c r="F61" i="113"/>
  <c r="H57" i="113"/>
  <c r="F57" i="113"/>
  <c r="I51" i="113"/>
  <c r="H51" i="113"/>
  <c r="F51" i="113"/>
  <c r="H46" i="113"/>
  <c r="F46" i="113"/>
  <c r="I42" i="113"/>
  <c r="H33" i="113"/>
  <c r="F33" i="113"/>
  <c r="I22" i="113"/>
  <c r="H22" i="113"/>
  <c r="H21" i="113" s="1"/>
  <c r="H10" i="113"/>
  <c r="H9" i="113" s="1"/>
  <c r="F9" i="113"/>
  <c r="M19" i="109" l="1"/>
  <c r="H56" i="113"/>
  <c r="H55" i="113" s="1"/>
  <c r="F23" i="109"/>
  <c r="F56" i="113"/>
  <c r="F55" i="113" s="1"/>
  <c r="G41" i="113"/>
  <c r="I21" i="113"/>
  <c r="F41" i="113"/>
  <c r="H14" i="115"/>
  <c r="H38" i="115" s="1"/>
  <c r="H46" i="115" s="1"/>
  <c r="H41" i="113"/>
  <c r="E18" i="134"/>
  <c r="E17" i="134"/>
  <c r="M17" i="109"/>
  <c r="M29" i="109"/>
  <c r="G61" i="113"/>
  <c r="G14" i="115"/>
  <c r="G38" i="115" s="1"/>
  <c r="G46" i="115" s="1"/>
  <c r="I115" i="105"/>
  <c r="F16" i="115"/>
  <c r="F14" i="115" s="1"/>
  <c r="F38" i="115" s="1"/>
  <c r="F46" i="115" s="1"/>
  <c r="I10" i="115"/>
  <c r="G10" i="109"/>
  <c r="G11" i="109"/>
  <c r="G16" i="109"/>
  <c r="G18" i="109"/>
  <c r="H8" i="113"/>
  <c r="F8" i="113"/>
  <c r="G8" i="113"/>
  <c r="I159" i="105"/>
  <c r="M13" i="109"/>
  <c r="I127" i="105"/>
  <c r="I429" i="105"/>
  <c r="I425" i="105" l="1"/>
  <c r="I15" i="115" s="1"/>
  <c r="G9" i="109"/>
  <c r="I8" i="113"/>
  <c r="G56" i="113"/>
  <c r="G55" i="113" s="1"/>
  <c r="E27" i="109"/>
  <c r="F35" i="109"/>
  <c r="F29" i="109"/>
  <c r="F30" i="109" s="1"/>
  <c r="F37" i="109" s="1"/>
  <c r="F53" i="113"/>
  <c r="F54" i="113" s="1"/>
  <c r="G53" i="113"/>
  <c r="I57" i="113"/>
  <c r="H53" i="113"/>
  <c r="H54" i="113" s="1"/>
  <c r="G8" i="109"/>
  <c r="G14" i="109" l="1"/>
  <c r="G71" i="113"/>
  <c r="F38" i="109"/>
  <c r="I56" i="113"/>
  <c r="I55" i="113" s="1"/>
  <c r="G23" i="109"/>
  <c r="G35" i="109" s="1"/>
  <c r="E29" i="109"/>
  <c r="E30" i="109" s="1"/>
  <c r="E37" i="109" s="1"/>
  <c r="E35" i="109"/>
  <c r="F71" i="113"/>
  <c r="G54" i="113"/>
  <c r="H71" i="113"/>
  <c r="M16" i="109"/>
  <c r="I31" i="115"/>
  <c r="I41" i="113"/>
  <c r="I53" i="113" s="1"/>
  <c r="G17" i="109"/>
  <c r="G20" i="109" s="1"/>
  <c r="I8" i="115"/>
  <c r="M18" i="109"/>
  <c r="E38" i="109" l="1"/>
  <c r="G29" i="109"/>
  <c r="I14" i="115"/>
  <c r="I38" i="115" s="1"/>
  <c r="I54" i="113" s="1"/>
  <c r="I71" i="113"/>
  <c r="G21" i="109"/>
  <c r="M20" i="109"/>
  <c r="G33" i="109" s="1"/>
  <c r="M14" i="109"/>
  <c r="G32" i="109" l="1"/>
  <c r="G30" i="109"/>
  <c r="G37" i="109" s="1"/>
  <c r="M21" i="109"/>
  <c r="G31" i="109" s="1"/>
  <c r="G34" i="109" s="1"/>
  <c r="I46" i="115"/>
  <c r="G38" i="109" l="1"/>
  <c r="M30" i="109"/>
  <c r="M38" i="109" l="1"/>
  <c r="M37" i="109"/>
</calcChain>
</file>

<file path=xl/sharedStrings.xml><?xml version="1.0" encoding="utf-8"?>
<sst xmlns="http://schemas.openxmlformats.org/spreadsheetml/2006/main" count="2016" uniqueCount="776">
  <si>
    <t>adatok eFt-ban</t>
  </si>
  <si>
    <t>A</t>
  </si>
  <si>
    <t>C</t>
  </si>
  <si>
    <t>B</t>
  </si>
  <si>
    <t>D</t>
  </si>
  <si>
    <t>E</t>
  </si>
  <si>
    <t>Megnevezés</t>
  </si>
  <si>
    <t>Temetők üzemeltetésével kapcsolatos feladatok</t>
  </si>
  <si>
    <t>Parkfenntartás</t>
  </si>
  <si>
    <t>Köztisztasági feladatok</t>
  </si>
  <si>
    <t>Városi kiemelt fesztiválok</t>
  </si>
  <si>
    <t>Városi lap kiadásai</t>
  </si>
  <si>
    <t>Kitüntetések</t>
  </si>
  <si>
    <t>MINDÖSSZESEN:</t>
  </si>
  <si>
    <t>Veszprém Megyei Jogú Város Önkormányzata</t>
  </si>
  <si>
    <t>F</t>
  </si>
  <si>
    <t>G</t>
  </si>
  <si>
    <t>H</t>
  </si>
  <si>
    <t>Cím</t>
  </si>
  <si>
    <t>Alcím</t>
  </si>
  <si>
    <t>Feladatellátás jellege*</t>
  </si>
  <si>
    <t>Teljes költség</t>
  </si>
  <si>
    <t>Önkormányzati felújítási kiadások</t>
  </si>
  <si>
    <t>K</t>
  </si>
  <si>
    <t>NK</t>
  </si>
  <si>
    <t>* Feladatellátás jellege:</t>
  </si>
  <si>
    <t>K= Magyarország helyi önkormányzatairól szóló 2011. évi CLXXXIX. törvény 13. § (1) bekezdése szerinti kötelező feladatok</t>
  </si>
  <si>
    <t>NK= Önkormányzat által önként vállalt feladatok</t>
  </si>
  <si>
    <t>J</t>
  </si>
  <si>
    <t>Önkormányzati beruházási kiadások</t>
  </si>
  <si>
    <t>Laczkó Dezső Múzeum</t>
  </si>
  <si>
    <t>Informatikai kiadások</t>
  </si>
  <si>
    <t>I</t>
  </si>
  <si>
    <t>L</t>
  </si>
  <si>
    <t>M</t>
  </si>
  <si>
    <t>Működési költségvetési kiadások</t>
  </si>
  <si>
    <t>Személyi juttatások</t>
  </si>
  <si>
    <t>Munk.a. terh. jár. és szoc.hj.adó</t>
  </si>
  <si>
    <t>Dologi kiadások</t>
  </si>
  <si>
    <t>Egyéb működési kiadások</t>
  </si>
  <si>
    <t>Nemzeti ünnepek kiadásaira</t>
  </si>
  <si>
    <t>Nemzetközi kapcsolatok</t>
  </si>
  <si>
    <t>Marketing tevékenység, marketing stratégia</t>
  </si>
  <si>
    <t xml:space="preserve">          - Gizella Napok</t>
  </si>
  <si>
    <t xml:space="preserve">          - Veszprémi Utcazene Fesztivál</t>
  </si>
  <si>
    <t>Eseti rendezvények</t>
  </si>
  <si>
    <t>Köztéri szobrok, emléktáblák, lektorátus</t>
  </si>
  <si>
    <t>Kiadványok, folyóiratok támogatása</t>
  </si>
  <si>
    <t>ebből: - Mendelssohn Kamarazenekar</t>
  </si>
  <si>
    <t xml:space="preserve"> - Veszprém Város Vegyeskara</t>
  </si>
  <si>
    <t>Tanórán kívüli tevékenység támogatása</t>
  </si>
  <si>
    <t>Sportpálya fenntartás, ill. fenntartói tám.</t>
  </si>
  <si>
    <t>Polgármesteri keret</t>
  </si>
  <si>
    <t>Városi civil keret</t>
  </si>
  <si>
    <t xml:space="preserve"> ebből : - Nyugdíjas szervezetek számára pályázati keret</t>
  </si>
  <si>
    <t xml:space="preserve">            - Pályázati keret</t>
  </si>
  <si>
    <t>Köztemetés</t>
  </si>
  <si>
    <t xml:space="preserve">Közcélú és közhasznú foglalkoztatás </t>
  </si>
  <si>
    <t>Települési szilárdhulladék szállítás ártámogatás</t>
  </si>
  <si>
    <t>Máltai Szeretetszolgálatnak pénzeszköz átadás (ellátási szerződés)</t>
  </si>
  <si>
    <t>Lelkisegély szolgálat</t>
  </si>
  <si>
    <t>Hittudományi Főiskola támogatása</t>
  </si>
  <si>
    <t>Munkavédelmi feladatok</t>
  </si>
  <si>
    <t>Közbeszerzési eljárások költségei</t>
  </si>
  <si>
    <t xml:space="preserve">Önkormányzat igazgatási tevékenysége </t>
  </si>
  <si>
    <t>Igazgatás - Állam felé befizetési kötelezettség</t>
  </si>
  <si>
    <t>ÁFA befizetés</t>
  </si>
  <si>
    <t>Kamatkiadások</t>
  </si>
  <si>
    <t>Városi Közbiztonság Keret</t>
  </si>
  <si>
    <t>Nem lakáscélú helyiségek üzemeltetési költségei</t>
  </si>
  <si>
    <t>Közüzemi Zrt. jutaléka</t>
  </si>
  <si>
    <t>Városi TV közszolgálati műsorok támogatása</t>
  </si>
  <si>
    <t>Jutasi úti műfüves pálya fenntartása (LUC)</t>
  </si>
  <si>
    <t>TDM Irodától szolgáltatás vásárlása</t>
  </si>
  <si>
    <t>Településfejlesztési feladatok</t>
  </si>
  <si>
    <t>Rekultivációt megelőző telephely fenntartási költség</t>
  </si>
  <si>
    <t>Aluljárók csapadékvíz átemelőinek üzemeltetése</t>
  </si>
  <si>
    <t>Szökőkutak, ivókutak szolgáltatási díjai</t>
  </si>
  <si>
    <t>Közvilágítás</t>
  </si>
  <si>
    <t>Közműalagút működtetése</t>
  </si>
  <si>
    <t>Környezetvédelmi feladat (Városüzemeltetés feladatai)</t>
  </si>
  <si>
    <t>Környezetvédelmi feladat (Közigazgatási Iroda feladatai)</t>
  </si>
  <si>
    <t>Nemzetiségi önkormányzatok kiadásai:</t>
  </si>
  <si>
    <t xml:space="preserve"> ebből: - Roma Nemzetiségi Önkormányzat</t>
  </si>
  <si>
    <t>- Német Nemzetiségi Önkormányzat</t>
  </si>
  <si>
    <t>- Örmény Nemzetiségi Önkormányzat</t>
  </si>
  <si>
    <t>- Lengyel Nemzetiségi Önkormányzat</t>
  </si>
  <si>
    <t>- Ukrán Nemzetiségi Önkormányzat</t>
  </si>
  <si>
    <t>Ebből: Önkormányzat által ellátott kötelező feladatok összesen:</t>
  </si>
  <si>
    <t>Ebből: Önkormányzat által ellátott önként vállalt feladatok összesen:</t>
  </si>
  <si>
    <t>KIMUTATÁS</t>
  </si>
  <si>
    <t>Módosítás</t>
  </si>
  <si>
    <t>Megjegyzés</t>
  </si>
  <si>
    <t>Göllesz Viktor Fogyatékos Személyek Nappali Intézménye</t>
  </si>
  <si>
    <t>Intézmények összesen:</t>
  </si>
  <si>
    <t>VMJV Önkormányzata</t>
  </si>
  <si>
    <t>ebből:</t>
  </si>
  <si>
    <t>Összesen</t>
  </si>
  <si>
    <t>Iparűzési adó</t>
  </si>
  <si>
    <t>Építményadó</t>
  </si>
  <si>
    <t>Telekadó</t>
  </si>
  <si>
    <t>Kommunális adó</t>
  </si>
  <si>
    <t>Idegenforgalmi adó</t>
  </si>
  <si>
    <t>Működési költségvetési bevételek</t>
  </si>
  <si>
    <t>Felhalmozási költségvetési bevételek</t>
  </si>
  <si>
    <t>Irányító szervtől kapott támogatás</t>
  </si>
  <si>
    <t>Működési bevételek</t>
  </si>
  <si>
    <t>Működési célú átvett pénzeszköz</t>
  </si>
  <si>
    <t>Felhalmozási bevétel</t>
  </si>
  <si>
    <t>Felhalmozási célú átvett pénzeszköz</t>
  </si>
  <si>
    <t>(Ringató Óvoda, Erdei Tagóvoda, Kuckó Tagóvoda)</t>
  </si>
  <si>
    <t>(Egry ltp. Óvoda, Nárcisz Tagóvoda)</t>
  </si>
  <si>
    <t>(Csillag úti Óvoda, Cholnoky ltp. Óvoda)</t>
  </si>
  <si>
    <t>(Kastélykert Óvoda, Ficánka Óvoda)</t>
  </si>
  <si>
    <t>Veszprémi Petőfi Színház</t>
  </si>
  <si>
    <t>INTÉZMÉNYEK ÖSSZESEN:</t>
  </si>
  <si>
    <t>VMJV Polgármesteri Hivatal által ellátott kötelező és önként vállalt feladatok</t>
  </si>
  <si>
    <t>N</t>
  </si>
  <si>
    <t>O</t>
  </si>
  <si>
    <t>P</t>
  </si>
  <si>
    <t>Felhalmozási költségvetési kiadások</t>
  </si>
  <si>
    <t>Egyéb felhalmozási célú kiadások</t>
  </si>
  <si>
    <t>Igazgatási tevékenység</t>
  </si>
  <si>
    <t>Gondnokság</t>
  </si>
  <si>
    <t>Ebből:</t>
  </si>
  <si>
    <t>Önkormányzati kötelező feladatokat ellátó intézmények összesen</t>
  </si>
  <si>
    <t>Önkormányzat által önként vállalt feladatokat ellátó intézmények összesen</t>
  </si>
  <si>
    <t>VMJV Polgármesteri Hivatal által ellátott kötelező és államigazgatási feladatok összesen</t>
  </si>
  <si>
    <t>Veszprém Megyei Jogú Város Önkormányzatának</t>
  </si>
  <si>
    <t>Működési célú támogatások Áht-on belülről</t>
  </si>
  <si>
    <t>Önkormányzatok működési támogatásai</t>
  </si>
  <si>
    <t>Működési célú költségvetési támogatások és kiegészítő támogatások</t>
  </si>
  <si>
    <t>Egyéb működési célú támogatások bevételei</t>
  </si>
  <si>
    <t>ebből: Társadalombizt. Alapból származó támogatás</t>
  </si>
  <si>
    <t>Közhatalmi bevételek</t>
  </si>
  <si>
    <t>Adók</t>
  </si>
  <si>
    <t>Egyéb pótlékok, bírságok</t>
  </si>
  <si>
    <t>Egyéb közhatalmi bevételek (bírságok, igazgatási szolgáltatási díjak)</t>
  </si>
  <si>
    <t>Önkormányzati Intézmények működési bevételek</t>
  </si>
  <si>
    <t>Működési célú átvett pénzeszközök</t>
  </si>
  <si>
    <t>Önkormányzati Intézmények működési célú átvett pénzeszközök</t>
  </si>
  <si>
    <t>Felhalmozási célú önkormányzati támogatások</t>
  </si>
  <si>
    <t>Egyéb felhalmozási célú támogatások bevételei</t>
  </si>
  <si>
    <t>Felhalmozási bevételek</t>
  </si>
  <si>
    <t>Ingatlanok értékesítése</t>
  </si>
  <si>
    <t>Önkormányzati Intézmények felhalmozási bevételei</t>
  </si>
  <si>
    <t>Felhalmozási célú átvett pénzeszközök</t>
  </si>
  <si>
    <t>Önkormányzati Intézmények felhalmozási célú átvett pénzeszközök</t>
  </si>
  <si>
    <t>Lakásalap</t>
  </si>
  <si>
    <t>Költségvetési bevételek összesen</t>
  </si>
  <si>
    <t>Költségvetési egyenleg összege</t>
  </si>
  <si>
    <t>Finanszírozási bevételek</t>
  </si>
  <si>
    <t>Intézmények</t>
  </si>
  <si>
    <t>VMJV Polgármesteri Hivatala</t>
  </si>
  <si>
    <t>Beruházási hitelfelvétel</t>
  </si>
  <si>
    <t>Előző évi hitelszerződéseken alapuló felvétel</t>
  </si>
  <si>
    <t>Bevételi főösszeg</t>
  </si>
  <si>
    <t xml:space="preserve">Cím  </t>
  </si>
  <si>
    <t>Intézményi költségvetési kiadások</t>
  </si>
  <si>
    <t>Céltartalékok</t>
  </si>
  <si>
    <t>Általános tartalék</t>
  </si>
  <si>
    <t>Lakásalap kiadása</t>
  </si>
  <si>
    <t>Költségvetési kiadások összesen</t>
  </si>
  <si>
    <t>Finanszírozási kiadások</t>
  </si>
  <si>
    <t>Működési finanszírozási kiadások</t>
  </si>
  <si>
    <t>Felhalmozási finanszírozási kiadások</t>
  </si>
  <si>
    <t xml:space="preserve"> - Hiteltörlesztés</t>
  </si>
  <si>
    <t xml:space="preserve"> - Lakásalap hiteltörlesztése</t>
  </si>
  <si>
    <t>Kiadási főösszeg</t>
  </si>
  <si>
    <t>VESZPRÉM MEGYEI JOGÚ VÁROS ÖNKORMÁNYZATÁNAK MŰKÖDÉSI ÉS FELHALMOZÁSI</t>
  </si>
  <si>
    <t>MŰKÖDÉSI KÖLTSÉGVETÉSI BEVÉTELEK</t>
  </si>
  <si>
    <t>MŰKÖDÉSI KÖLTSÉGVETÉSI KIADÁSOK</t>
  </si>
  <si>
    <t>Működési célú támogatások államháztartáson belülről</t>
  </si>
  <si>
    <t>Munkaadókat terhelő járulékok és szociális hozzájárulási adó</t>
  </si>
  <si>
    <t>Ellátottak pénzbeli juttatásai</t>
  </si>
  <si>
    <t>Egyéb működési célú kiadások (tartalékok nélkül)</t>
  </si>
  <si>
    <t>Működési költségvetési bevételek összesen</t>
  </si>
  <si>
    <t>Működési költségvetési kiadások összesen</t>
  </si>
  <si>
    <t>FELHALMOZÁSI KÖLTSÉGVETÉSI BEVÉTELEK</t>
  </si>
  <si>
    <t>FELHALMOZÁSI KÖLTSÉGVETÉSI KIADÁSOK</t>
  </si>
  <si>
    <t>Felhalmozási célú támogatások államháztartáson belülről</t>
  </si>
  <si>
    <t>Beruházási kiadások</t>
  </si>
  <si>
    <t>Felújítási kiadások</t>
  </si>
  <si>
    <t>Felhalmozási költségvetési bevételek összesen</t>
  </si>
  <si>
    <t>Felhalmozási költségvetési kiadások összesen</t>
  </si>
  <si>
    <t>MŰKÖDÉSI FINANSZÍROZÁSI BEVÉTELEK</t>
  </si>
  <si>
    <t>MŰKÖDÉSI FINANSZÍROZÁSI KIADÁSOK</t>
  </si>
  <si>
    <t>FELHALMOZÁSI FINANSZÍROZÁSI BEVÉTELEK</t>
  </si>
  <si>
    <t>FELHALMOZÁSI FINANSZÍROZÁSI KIADÁSOK</t>
  </si>
  <si>
    <t>Hosszú lejáratú hitel felvétele</t>
  </si>
  <si>
    <t>Hosszú lejáratú hitel tőkeösszegének törlesztése</t>
  </si>
  <si>
    <t>Finanszírozási bevételek összesen</t>
  </si>
  <si>
    <t>Finanszírozási kiadások összesen</t>
  </si>
  <si>
    <t>ÖSSZES BEVÉTEL</t>
  </si>
  <si>
    <t>ÖSSZES KIADÁS</t>
  </si>
  <si>
    <t>ebből működési:</t>
  </si>
  <si>
    <t>ebből felhalmozási:</t>
  </si>
  <si>
    <t>Finanszírozási kiadásokkal korrigált hiány összege</t>
  </si>
  <si>
    <t>Működési bevételek aránya %-ban</t>
  </si>
  <si>
    <t>Működési kiadások aránya %-ban</t>
  </si>
  <si>
    <t>Felhalmozási bevételek aránya %-ban</t>
  </si>
  <si>
    <t>Felhalmozási kiadások aránya %-ban</t>
  </si>
  <si>
    <t xml:space="preserve"> </t>
  </si>
  <si>
    <t>Kiemelt művészeti együttesek támogatása</t>
  </si>
  <si>
    <t>Bérleményekkel, haszonbérletekkel kapcsolatos feladatok</t>
  </si>
  <si>
    <t>Csapadékcsatornák üzemeltetési szolgáltatásai</t>
  </si>
  <si>
    <t>Felhalmozási célú átvett pénzeszközök (kölcsönök visszatérülése)</t>
  </si>
  <si>
    <t>Felhalmozási célú költségvetési maradvány igénybevétele</t>
  </si>
  <si>
    <t>Előző évi  költségvetési maradvány</t>
  </si>
  <si>
    <t>Államháztartáson belüli megelőlegezések</t>
  </si>
  <si>
    <t>Államháztartáson belüli megelőlegezések visszafizetése</t>
  </si>
  <si>
    <t>Veszprémi Ringató Körzeti Óvoda</t>
  </si>
  <si>
    <t>Veszprémi Egry úti Körzeti Óvoda</t>
  </si>
  <si>
    <t>Veszprémi Csillag úti Körzeti Óvoda</t>
  </si>
  <si>
    <t>Veszprémi Kastélykert Körzeti Óvoda</t>
  </si>
  <si>
    <t>Veszprémi Intézményi Szolgáltató Szervezet</t>
  </si>
  <si>
    <t>Nyári diákmunka</t>
  </si>
  <si>
    <t>Pannon Várszínház támogatás</t>
  </si>
  <si>
    <t>Városi rendezvények</t>
  </si>
  <si>
    <t>SÉD folyóirat költségei</t>
  </si>
  <si>
    <t>M.J.V.SZ. tám. Kárpátalja megsegítésére</t>
  </si>
  <si>
    <t xml:space="preserve">           - Tanulmányi ösztöndíj</t>
  </si>
  <si>
    <t>Lakbértámogatás</t>
  </si>
  <si>
    <t>Települési támogatások</t>
  </si>
  <si>
    <t>Parkolók üzemeltetési költsége</t>
  </si>
  <si>
    <t>ebből:  - Rendkívüli támogatás</t>
  </si>
  <si>
    <t>Közfoglalkoztatottak és diákmunkások létszáma</t>
  </si>
  <si>
    <t>Szolgáltatások, közvetített szolgáltatások ellenértéke</t>
  </si>
  <si>
    <t>ÁFA bevételek és visszatérülések</t>
  </si>
  <si>
    <t>Költségvetési hiány belső finanszírozására szolgáló bevételek</t>
  </si>
  <si>
    <t>Költségvetési hiány külső finanszírozására szolgáló bevételek</t>
  </si>
  <si>
    <t>Feladatellátás jellege</t>
  </si>
  <si>
    <t>Egyéb városüzemeltetési feladatok</t>
  </si>
  <si>
    <t>VKSZ Zrt. által ellátott városüzemeltetési feladatok</t>
  </si>
  <si>
    <t>VKSZ Zrt. által ellátott intézményüzemeltetési feladatok</t>
  </si>
  <si>
    <t>Intézményi működtetők költsége</t>
  </si>
  <si>
    <t>Szenvedélybetegek ellátásának működési kiadásaihoz támogatás</t>
  </si>
  <si>
    <t>Költségvetési maradvány</t>
  </si>
  <si>
    <t>eredeti előirányzat</t>
  </si>
  <si>
    <t>(Hársfa Tagóvoda, Bóbita Óvoda)</t>
  </si>
  <si>
    <t>Veszprémi Bóbita Körzeti Óvoda</t>
  </si>
  <si>
    <t>Veszprémi Vadvirág Körzeti Óvoda</t>
  </si>
  <si>
    <t>Bérlakások üzemeltetési költségei</t>
  </si>
  <si>
    <t>17</t>
  </si>
  <si>
    <t>Polgármester, Alpolgármesterek</t>
  </si>
  <si>
    <t>(Csillagvár Waldorf Tagóvoda, Vadvirág Óvoda)</t>
  </si>
  <si>
    <t>Q</t>
  </si>
  <si>
    <t>Veszprémi Bölcsődei és Egészségügyi Alapellátási Integrált Intézmény</t>
  </si>
  <si>
    <t>Program megnevezés</t>
  </si>
  <si>
    <t>Program megvalósításának ideje</t>
  </si>
  <si>
    <t>Saját erő</t>
  </si>
  <si>
    <t>EU támogatás összesen</t>
  </si>
  <si>
    <t xml:space="preserve">Veszprémi Bóbita Körzeti Óvoda </t>
  </si>
  <si>
    <r>
      <t>Ebből</t>
    </r>
    <r>
      <rPr>
        <i/>
        <sz val="10"/>
        <rFont val="Palatino Linotype"/>
        <family val="1"/>
        <charset val="238"/>
      </rPr>
      <t>: költségvetési támogatás</t>
    </r>
  </si>
  <si>
    <t>Projekt forrás összetétel</t>
  </si>
  <si>
    <t>Projekt költség megbontás</t>
  </si>
  <si>
    <t>1-16</t>
  </si>
  <si>
    <t>Eü. Alapellátás</t>
  </si>
  <si>
    <t>Stadion üzemeltetése</t>
  </si>
  <si>
    <t>Városi ifjúsági keret</t>
  </si>
  <si>
    <t>Szünidei gyermekétkeztetés</t>
  </si>
  <si>
    <t xml:space="preserve">          - Lakásfenntartási támogatás </t>
  </si>
  <si>
    <t xml:space="preserve">          - Albérleti támogatás</t>
  </si>
  <si>
    <t xml:space="preserve">          - Temetési támogatás</t>
  </si>
  <si>
    <t xml:space="preserve">          - Térítési díj</t>
  </si>
  <si>
    <t xml:space="preserve">          - Gyógyszertámogatás</t>
  </si>
  <si>
    <t xml:space="preserve">         - Adósságcsökkentési támogatás</t>
  </si>
  <si>
    <t xml:space="preserve">         - Szünidei gyermekétkeztetés</t>
  </si>
  <si>
    <t>Nevelési szolgáltatás</t>
  </si>
  <si>
    <t>Szolidaritási hozzájárulás</t>
  </si>
  <si>
    <t>DAT térképfrissítés, földkönyv, közműnyilvántartás, GPS</t>
  </si>
  <si>
    <t>Hiány finanszírozása belső finanszírozásra szolgáló költségvetési bevétel összegével</t>
  </si>
  <si>
    <t>Hiány finanszírozása külső finanszírozásra szolgáló költségvetési bevétel összegével</t>
  </si>
  <si>
    <t>Csillagvár Waldorf Tagóvoda</t>
  </si>
  <si>
    <t>Hársfa Tagóvoda</t>
  </si>
  <si>
    <t>Nárcisz Tagóvoda</t>
  </si>
  <si>
    <t>Cholnoky Jenő Ltp. Tagóvoda</t>
  </si>
  <si>
    <t>Ficánka Tagóvoda</t>
  </si>
  <si>
    <t>Hóvirág Bölcsőde</t>
  </si>
  <si>
    <t>Vackor Bölcsőde</t>
  </si>
  <si>
    <t>Aprófalvi Bölcsőde</t>
  </si>
  <si>
    <t>Módszertani Bölcsőde</t>
  </si>
  <si>
    <t>Fogorvosi körzeteknek működési hozzájárulás</t>
  </si>
  <si>
    <t>Fogorvosi körzetek részére pályázati alap</t>
  </si>
  <si>
    <t>Állatmenhelyek támogatása</t>
  </si>
  <si>
    <t>Hatósági engedélyek beszerzése, hatályban tartása</t>
  </si>
  <si>
    <t>Közutak, hidak fenntartása</t>
  </si>
  <si>
    <t>Művészetek Háza Veszprém Művelődési Ház és Kiállítóhely</t>
  </si>
  <si>
    <t>Kabóca Bábszínház</t>
  </si>
  <si>
    <t xml:space="preserve">Kabóca Bábszínház </t>
  </si>
  <si>
    <t>Veszprémi Családsegítő és Gyermekjóléti Integrált Intézmény</t>
  </si>
  <si>
    <t>Agóra Veszprém Kulturális Központ</t>
  </si>
  <si>
    <t xml:space="preserve">Agóra Veszprém Kulturális Központ </t>
  </si>
  <si>
    <t>1-17</t>
  </si>
  <si>
    <t>18</t>
  </si>
  <si>
    <t>Napsugár Bölcsőde</t>
  </si>
  <si>
    <t>Infrastruktúra fejlesztési feladatokhoz kapcsolódó kiadások</t>
  </si>
  <si>
    <t>Védett sírok felújítása az Alsóvárosi temetőben</t>
  </si>
  <si>
    <t>Brusznyai Árpád Alapítvány támogatása</t>
  </si>
  <si>
    <t>Működési célú tartalékok</t>
  </si>
  <si>
    <t>Felhalmozási célú tartalékok</t>
  </si>
  <si>
    <t>Működési célú céltartalékok</t>
  </si>
  <si>
    <t>Felhalmozási célú céltartalékok</t>
  </si>
  <si>
    <t>R</t>
  </si>
  <si>
    <t>S</t>
  </si>
  <si>
    <t>Projekt teljes költség</t>
  </si>
  <si>
    <t xml:space="preserve">          - Beiskolázási támogatás</t>
  </si>
  <si>
    <t>VMJV Polgármesteri Hivatal összesen:</t>
  </si>
  <si>
    <t>Egyéb működési célú kiadások</t>
  </si>
  <si>
    <t>Működési költségvetési                                                                         kiadások</t>
  </si>
  <si>
    <t xml:space="preserve"> - Adóbevételekkel szembeni kötelezettség</t>
  </si>
  <si>
    <t>Óvodák összesen:</t>
  </si>
  <si>
    <t>Egészségügyi és szociális intézmények összesen:</t>
  </si>
  <si>
    <t>Kulturális és közművelődési intézmények összesen:</t>
  </si>
  <si>
    <t xml:space="preserve">Előir. csop. </t>
  </si>
  <si>
    <t>Kie-melt előir.</t>
  </si>
  <si>
    <t xml:space="preserve">Kie-melt előir. </t>
  </si>
  <si>
    <t xml:space="preserve"> Erdei és Kuckó Tagóvoda</t>
  </si>
  <si>
    <t>Önkormányzati működési kiadások</t>
  </si>
  <si>
    <t>INTÉZMÉNYEK BERUHÁZÁSI KIADÁSAI ÖSSZESEN:</t>
  </si>
  <si>
    <t>VMJV  Polgármesteri Hivatal beruházási kiadásai összesen:</t>
  </si>
  <si>
    <t>BERUHÁZÁSI KIADÁSOK MINDÖSSZESEN:</t>
  </si>
  <si>
    <t>Veszprémi Petőfi Színház komplex fejlesztése</t>
  </si>
  <si>
    <t>Beruházások közműdíjai</t>
  </si>
  <si>
    <t>Vízrendezési feladatok, árkok felújítása</t>
  </si>
  <si>
    <t>Programiroda Kft. törzstőke emelés</t>
  </si>
  <si>
    <t xml:space="preserve">Programiroda Kft. tőketartalékba helyezés </t>
  </si>
  <si>
    <t>Veszprém - Balaton 2023 Zrt. törzstőke emelés</t>
  </si>
  <si>
    <t>Veszprém - Balaton 2023 Zrt. tőketartalékba helyezés</t>
  </si>
  <si>
    <t>Gyulafirátóti Bölcsőde</t>
  </si>
  <si>
    <t>Közösség Kádártáért Egyesület</t>
  </si>
  <si>
    <t>Virágzó Veszprém Egyesület</t>
  </si>
  <si>
    <t>Gerence Hagyományőrző Néptáncegyüttes támogatása</t>
  </si>
  <si>
    <t xml:space="preserve">            - Civil irodai szolgáltatások, civil ház</t>
  </si>
  <si>
    <t xml:space="preserve">            - Civil nap költségei</t>
  </si>
  <si>
    <t>Pszichiátriai betegek nappali ellátás ("Horgony" Pszichiátriai Betegekért Közhasznú Alapítvány)</t>
  </si>
  <si>
    <t>Intézményi karbantartási költségek</t>
  </si>
  <si>
    <t>Intézményi közüzemi költségek</t>
  </si>
  <si>
    <t>Kolostorok és kertek működtetése</t>
  </si>
  <si>
    <t xml:space="preserve">A  </t>
  </si>
  <si>
    <t>T</t>
  </si>
  <si>
    <t>Projekthez kapcsolódó működési bevétel (ÁFA)</t>
  </si>
  <si>
    <t xml:space="preserve">          - Comitatus Társadalomkutató Egyesület - Comitatus Önkormányzati Szemle</t>
  </si>
  <si>
    <t>** Az intézményeknél kimutatott adatokat is tartalmazza</t>
  </si>
  <si>
    <t>Informatika</t>
  </si>
  <si>
    <t>Ebrendészeti feladatok</t>
  </si>
  <si>
    <t>Európa Ifjúsági Fővárosa 2024 pályázat benyújtása</t>
  </si>
  <si>
    <t>Önkormányzati érdekeket érintő településrendezési eszközök módosítása</t>
  </si>
  <si>
    <t>Közterületi játszóeszközök felújítása (78/2003 GKM rendelet)</t>
  </si>
  <si>
    <t>Önkormányzati bérlakások felújítása</t>
  </si>
  <si>
    <t>Köztéri padok felújítása</t>
  </si>
  <si>
    <t>Labdapályák és sporteszközök felújítása</t>
  </si>
  <si>
    <t xml:space="preserve">          - Magyar Mozgógép Fesztivál</t>
  </si>
  <si>
    <t xml:space="preserve">          - Bakony Expo</t>
  </si>
  <si>
    <t>Városgazdálkodási szolgáltatás</t>
  </si>
  <si>
    <t xml:space="preserve"> - Projekt kiadásokhoz kapcsolódó céltartalék</t>
  </si>
  <si>
    <t>Programiroda - városi nagyrendezvények</t>
  </si>
  <si>
    <t>Regőczi István Alapítvány - Covid árvák megsegítésének támogatása</t>
  </si>
  <si>
    <t>Sport és Élsport</t>
  </si>
  <si>
    <t>Szabadidő- és Diáksport</t>
  </si>
  <si>
    <t>Programiroda Kft. - kulturális, művészeti rendezvények támogatása</t>
  </si>
  <si>
    <t>Könyvtári könyvek, egyéb doc. (CD, DVD stb.) jogszabályi előírás szerint</t>
  </si>
  <si>
    <t>Gépkocsi gumiabroncs beszerzés</t>
  </si>
  <si>
    <t>Csereerdő telepítés - Márkó-Bánd kerékpárút</t>
  </si>
  <si>
    <t>Előirányzat csoport / Kiemelt előirányzat neve</t>
  </si>
  <si>
    <t>Helyi önkormányzatok működésének általános támogatása</t>
  </si>
  <si>
    <t>Települési önkormányzatok egyes köznevelési feladatainak támogatása</t>
  </si>
  <si>
    <t>Települési önkormányzatok egyes szociális és gyermekjóléti feladatainak támogatása</t>
  </si>
  <si>
    <t>Települési önkormányzatok kulturális feladatainak támogatása</t>
  </si>
  <si>
    <t>Elszámolásból származó bevételek</t>
  </si>
  <si>
    <t>Települési önkormányzatok gyermekétkeztetési feladatainak támogatása</t>
  </si>
  <si>
    <t>Epipen injekció biztosítása gyermekjóléti, köznevelési intézményekben és házi gyermekorvosi rendelőkben</t>
  </si>
  <si>
    <t xml:space="preserve">    eredeti előirányzat</t>
  </si>
  <si>
    <t>Választókerületi keretek</t>
  </si>
  <si>
    <t>Humanitárius katasztrófa miatt érkező menekültek elhelyezési költségei</t>
  </si>
  <si>
    <t>Sportmarketing</t>
  </si>
  <si>
    <t>Veszprém monográfia tárhely</t>
  </si>
  <si>
    <t>Humanitárius katasztrófa miatt érkező menekültek ellátási (élelmezési) költségei</t>
  </si>
  <si>
    <t>Telefonbeszerzések</t>
  </si>
  <si>
    <t xml:space="preserve"> - Választókerületi keret</t>
  </si>
  <si>
    <t xml:space="preserve"> - Működési kiadásokra képzett céltartalék </t>
  </si>
  <si>
    <t>2022-2029</t>
  </si>
  <si>
    <t>TOP Plusz 1.3-1-21_VEI_2022-00002 Veszprém város fenntartható városfejlesztési stratégiái</t>
  </si>
  <si>
    <t>V-Busz Kft. - autóbusz vásárlás beruházási hitel tőketörlesztése</t>
  </si>
  <si>
    <t xml:space="preserve">Kisértékű tárgyi eszköz beszerzések </t>
  </si>
  <si>
    <t>Teljes költség**</t>
  </si>
  <si>
    <t>Hitel megnevezése</t>
  </si>
  <si>
    <t>Hitelt nyújtó pénzintézet</t>
  </si>
  <si>
    <t>Hitel- szerződés dátuma</t>
  </si>
  <si>
    <t>Lejárat idő- pontja</t>
  </si>
  <si>
    <t>Hitelkeret</t>
  </si>
  <si>
    <t>1.</t>
  </si>
  <si>
    <t>UniCredit Bank</t>
  </si>
  <si>
    <t>2.</t>
  </si>
  <si>
    <t>Hitelszerződés - MFB ÖIP 2013.</t>
  </si>
  <si>
    <t>Takarékbank</t>
  </si>
  <si>
    <t>3.</t>
  </si>
  <si>
    <t>Hitelszerződés - MFB ÖIP 2014</t>
  </si>
  <si>
    <t>4.</t>
  </si>
  <si>
    <t>OTP Bank</t>
  </si>
  <si>
    <t>Kölcsönszerződés - Célhitel 2019</t>
  </si>
  <si>
    <t>Fejlesztési hitel - 2021</t>
  </si>
  <si>
    <t>UniCreditBank</t>
  </si>
  <si>
    <t>Tőke-törlesztés /Kamat- fizetés 2027</t>
  </si>
  <si>
    <t>Tőke-törlesztés /Kamat- fizetés 2028</t>
  </si>
  <si>
    <t>Tőke-törlesztés /Kamat- fizetés 2029</t>
  </si>
  <si>
    <t>Tőke-törlesztés /Kamat- fizetés 2030</t>
  </si>
  <si>
    <t>Tőke-törlesztés /Kamat- fizetés 2031</t>
  </si>
  <si>
    <t>Tőke-törlesztés /Kamat- fizetés 2032</t>
  </si>
  <si>
    <t>Tőke-törlesztés /Kamat- fizetés 2033</t>
  </si>
  <si>
    <t>Tőke-törlesztés /Kamat- fizetés 2034</t>
  </si>
  <si>
    <t>adósságot keletkeztető ügyletekből származó kötelezettségei</t>
  </si>
  <si>
    <t>I.</t>
  </si>
  <si>
    <t>Pénzintézetekkel szemben fenálló kötelezettségek összesen</t>
  </si>
  <si>
    <t>Ebből tőketörlesztés</t>
  </si>
  <si>
    <t>Ebből kamatfizetés</t>
  </si>
  <si>
    <t>Környezetvédelmi Alap bevételei</t>
  </si>
  <si>
    <t>Fakivágási kompenzáció bevételei</t>
  </si>
  <si>
    <t>Polgármesteri Hivatal közhatalmi bevételei</t>
  </si>
  <si>
    <t xml:space="preserve"> - Zöldfelületek minőségi megőrzésének kiadásaira (fakivágási kompenzáció)</t>
  </si>
  <si>
    <t xml:space="preserve"> - Településrendezési szerződésből befolyt összeg</t>
  </si>
  <si>
    <t xml:space="preserve"> - Beruházási kiadásokra képzett céltartalék/lakásalap                     </t>
  </si>
  <si>
    <t xml:space="preserve"> - Beruházási kiadásokra képzett céltartalék</t>
  </si>
  <si>
    <t>Urbact fenntartható városfejlesztési hálózat IV. "BiodiverCity" - városi biológiai sokféleség megőrzése, minőségi támogatása és fejlesztése - dologi kiadások</t>
  </si>
  <si>
    <t>Urbact fenntartható városfejlesztési hálózat IV. "NextGen Youth Work" - ifjúságszakmai fejlesztések a fiatalok bevonásának és a digitalizáció előnyeinek tudatosítás és kihasználása az ifjúsági munkások körében - dologi kiadások</t>
  </si>
  <si>
    <t>2023. évi tény</t>
  </si>
  <si>
    <t>Urbact fenntartható városfejlesztési hálózat IV. "BiodiverCity" - városi biológiai sokféleség megőrzése, minőségi támogatása és fejlesztése</t>
  </si>
  <si>
    <t>2023-2025</t>
  </si>
  <si>
    <t>Urbact fenntartható városfejlesztési hálózat IV. "NextGen Youth Work" - ifjúságszakmai fejlesztések a fiatalok bevonásának és a digitalizáció előnyeinek tudatosítás és kihasználása az ifjúsági munkások körében</t>
  </si>
  <si>
    <t>*** A projekt a támogatási szerződés szerint részben nettó módon finanszírozott.</t>
  </si>
  <si>
    <t>Interreg Danube NONA</t>
  </si>
  <si>
    <t>Interreg Europa RROXIMITIES</t>
  </si>
  <si>
    <t>Driving Urban Transition SUMODO</t>
  </si>
  <si>
    <t>Köztéri műalkotások rekonstrukciója</t>
  </si>
  <si>
    <t>Kertészeti felújítások, őszi fásítás tervezése és kivitelezése</t>
  </si>
  <si>
    <t>Kossuth u. locsolórendszer felújítása</t>
  </si>
  <si>
    <t>Szociális bérlakás felújítások</t>
  </si>
  <si>
    <t>ebből: - VeszprémFest</t>
  </si>
  <si>
    <t xml:space="preserve">          - Brusznyai Árpád évfordulós kötet kiadása</t>
  </si>
  <si>
    <t xml:space="preserve">          - Veszprémi Várostörténeti Monográfia előkészítése</t>
  </si>
  <si>
    <t xml:space="preserve">          - Darcsi István - Veszprém város sporttörténete</t>
  </si>
  <si>
    <t xml:space="preserve">          - Senior Kisokos</t>
  </si>
  <si>
    <t xml:space="preserve">          - Négy évszak a Bakonyban</t>
  </si>
  <si>
    <t xml:space="preserve">          - Veszprémi Portré Szabad Sajtó Kulturális és KHE</t>
  </si>
  <si>
    <t>Magyar Kórusok találkozója</t>
  </si>
  <si>
    <t>Filharmónia koncertek támogatása</t>
  </si>
  <si>
    <t>Oktatási intézmények támogatása</t>
  </si>
  <si>
    <t xml:space="preserve">            - Nyugdíjas találkozó</t>
  </si>
  <si>
    <t xml:space="preserve">           - Ifjúsági koncepció megvalósításának végrehajtása</t>
  </si>
  <si>
    <t xml:space="preserve">           - Ifjúsági kötelező feladatok ellátása</t>
  </si>
  <si>
    <t xml:space="preserve">         - Letelepedési támogatás</t>
  </si>
  <si>
    <t>Keresztény Értelmiségek támogatása</t>
  </si>
  <si>
    <t>Szabad-Sajtó Kulturális és Ifjúsági Közhasznú Egyesület</t>
  </si>
  <si>
    <t>Veszprémi Rendőrkapitányság támogatása</t>
  </si>
  <si>
    <t>Nobel program támogatása</t>
  </si>
  <si>
    <t>Diabetes Világnap</t>
  </si>
  <si>
    <t>Hulladékkezelés költsége</t>
  </si>
  <si>
    <t>Ipari és gyártási szakirányú pályaorientációs foglalkozások tartása</t>
  </si>
  <si>
    <t>Magyar Lélek Alapítvány támogatása</t>
  </si>
  <si>
    <t>Beruházásokhoz kapcsolódó költöztetési feladatok</t>
  </si>
  <si>
    <t>Alkohol és Drogsegély Ambulancia Napsugár Klub</t>
  </si>
  <si>
    <t>Jutasi 100 emlékprogram</t>
  </si>
  <si>
    <t>Brusznyai Árpád születésének 100. évfordulója</t>
  </si>
  <si>
    <t>Szeglethy György születésének 170. évfordulója</t>
  </si>
  <si>
    <t>"Digitális élményközpontok hálózatának kialakítása és központi minőségbiztosítása" projekt üzemeltetési költsége</t>
  </si>
  <si>
    <t>Szent Imre Alapítvány támogatása</t>
  </si>
  <si>
    <t>Pegazus Színház Közhasznú Nonprofit Kft. támogatása</t>
  </si>
  <si>
    <t>Kulturális kínálat bővítés</t>
  </si>
  <si>
    <t>Beruházásokhoz kapcsolódó ingatlanrendezési feladatok</t>
  </si>
  <si>
    <t>Helyi védett épületek bejegyzése</t>
  </si>
  <si>
    <t xml:space="preserve">Szán utca - Méhes  u. csapadékvíz elvezetés (útrek. előtt) I. ütem: Cs-1-0-0 </t>
  </si>
  <si>
    <t>Bakony Társasház belső gáz és központifűtés rendszer felújítása, valamint villamos hálózat felújításának tervezési munkái</t>
  </si>
  <si>
    <t>Wass Albert szobor elhelyezése közterületen</t>
  </si>
  <si>
    <t xml:space="preserve"> - ebből: 1. vk. Veszprém-Gyulafirátót Római Katolikus Templom (Nepomuki Szent János-templom elemi károk elhárításához javasolt összeg)</t>
  </si>
  <si>
    <t xml:space="preserve">Kisértékű tárgyi eszközök beszerzése </t>
  </si>
  <si>
    <t>Iskolavédőnők, iskolaorvosok, háziorvosi praxisok</t>
  </si>
  <si>
    <t>Számítástechnikai eszközök beszerzése</t>
  </si>
  <si>
    <t>Kisértékű tárgyi eszközök beszerzése</t>
  </si>
  <si>
    <t>Polcrendszer bővítés</t>
  </si>
  <si>
    <t xml:space="preserve">          - Szeglethy György kötet kiadásának támogatása (Veszprémi Szemle Várostörténeti KHA)</t>
  </si>
  <si>
    <t>V-Bike közbringa rendszer üzemeltetése (közszolgáltatási feladatok II.)</t>
  </si>
  <si>
    <t>Szolgáltatás vásárlás (közszolgáltatási feladatok I.)</t>
  </si>
  <si>
    <t>Városi fenntarthatósággal összefüggő feladatok ellátása</t>
  </si>
  <si>
    <t xml:space="preserve">Egyéb működési bevételek </t>
  </si>
  <si>
    <t>Működési célú költségvetési maradvány igénybevétele</t>
  </si>
  <si>
    <t>Beruházásokhoz kapcsolódó energetikai tanúsítvány</t>
  </si>
  <si>
    <t>"Kapaszkodó" Mentálhigiénés Egyesület támogatása</t>
  </si>
  <si>
    <t>Településképi Arculati Kézikönyv és Településképi rendelet módosítása</t>
  </si>
  <si>
    <t>Művészetek Háza Veszprém épületeinek felújítása (tetőhéjalás javítás, homlokzat felújítás, nyílászáró csere)</t>
  </si>
  <si>
    <t>Földutak és nagyfelületű útfelújítások</t>
  </si>
  <si>
    <t xml:space="preserve">          - Erős Hit, Erős Akarat c. kötet kiadásának támogatása (Veszprémi Szemle Várostörténeti KHA)</t>
  </si>
  <si>
    <t>Német Nemzetiségi Önk. helyiségének bérleti díja</t>
  </si>
  <si>
    <t>Kittenberger K. Növény- és Vadaspark Nonprofit Kft. működéséhez hozzájárulás</t>
  </si>
  <si>
    <t>Vagyongazdálkodással és ingatlanhasznosítással összefüggő fel. (földhivatali eljárások, vagyonértékelés)</t>
  </si>
  <si>
    <t>Volánbusz Zrt. szolgáltató részére elővárosi és regionális járatokon történő helyi személyszállítási közszolgáltatási feladatok ellátásához hozzájárulás</t>
  </si>
  <si>
    <t>Közterület-felügyelet</t>
  </si>
  <si>
    <t>Handball Team Zrt. szolgáltatás vásárlás</t>
  </si>
  <si>
    <t xml:space="preserve">2027. évi Tájékozódási Futó Világbajnokság </t>
  </si>
  <si>
    <t>Tulajdonosi bevételek</t>
  </si>
  <si>
    <t xml:space="preserve"> Európai Uniós forrásból finanszírozott támogatással megvalósuló programok, projektek bevételeiről és kiadásairól az Ávr. 24. § (1) bekezdés a) pontjának és b) pont bd) alpontjának megfelelően</t>
  </si>
  <si>
    <t>Élhetőbb Rátótért Egyesület</t>
  </si>
  <si>
    <t>ReAct Veszprém a fenntarthatóság útján - Erasmus+ Ifjúsági részvételi tevékenységek</t>
  </si>
  <si>
    <t>TOP_Plusz-6.1.4-23--VE-2024-00001 Aktív turizmus fejlesztése a Bakony térségben</t>
  </si>
  <si>
    <t>Nemzetközi projektek projekten belül el nem számolható költségei</t>
  </si>
  <si>
    <t xml:space="preserve">Interreg Európa Program "HEROES" Projekt </t>
  </si>
  <si>
    <t>Európai Városi Kezdeményezés (EUI) FOOTPRINTS transzfer projekt</t>
  </si>
  <si>
    <t>Erasmus+ KA153YOU: mobilitás ifjúsági munkások számára</t>
  </si>
  <si>
    <t>NETZero Cites - Twin City pályázati program</t>
  </si>
  <si>
    <t>Önkormányzati ingatlan energetikai célú felújítása</t>
  </si>
  <si>
    <t>HÉSZ Településterv felülvizsgálat</t>
  </si>
  <si>
    <t>Veszprémi Ringató és Csillag óvodák klímabeszerzése</t>
  </si>
  <si>
    <t>Városháza "A" épület nyílászáró csere</t>
  </si>
  <si>
    <t>Március 15. utcában található 30507/90 hrsz.-ú ingatlanon lévő uszoda funkcióváltása és felújítása</t>
  </si>
  <si>
    <t xml:space="preserve">         - Gyárkert Fesztivál</t>
  </si>
  <si>
    <t xml:space="preserve">         - Veszprémi Régizenei Napok</t>
  </si>
  <si>
    <t xml:space="preserve"> - "Otthon - Veszprémben"- önálló lakhatást, letelepedést elősegítő és helyi munkavállalást ösztönző támogatás (Veszprémi Ifjúsági Közalapítvány)</t>
  </si>
  <si>
    <t xml:space="preserve"> - Veszprémi újszülöttek támogatása (Veszprémi Ifjúsági Közalapítvány)</t>
  </si>
  <si>
    <t>Területfejlesztési Alapba történő befizetési kötelezettség</t>
  </si>
  <si>
    <t xml:space="preserve">Peres ügyek, kártérítési díjak </t>
  </si>
  <si>
    <t>Zöldkár helyreállítások ellátása</t>
  </si>
  <si>
    <t>Uszodajárat támogatása</t>
  </si>
  <si>
    <t>Helyi Esélyegyenlőségi Program intézkedési tervében foglalt feladatok</t>
  </si>
  <si>
    <t>Idősügyi Koncepció intézkedési tervében foglalt feladatok</t>
  </si>
  <si>
    <t>Veszprém Podcast</t>
  </si>
  <si>
    <t>Kamaszbarát Önkormányzat cím megpályázása</t>
  </si>
  <si>
    <t>Otthonra találni a művészetben projekt támogatása</t>
  </si>
  <si>
    <t>Részvételi költségvetés</t>
  </si>
  <si>
    <t>European Urban Initiative, „TOPIC 2: Technology in cities” pályázat benyújtása</t>
  </si>
  <si>
    <t>Adventi programok</t>
  </si>
  <si>
    <t>Téli Gyárkert 2024.</t>
  </si>
  <si>
    <t>Sportrégió pályázat</t>
  </si>
  <si>
    <t>Belföldi értékpapír beváltása, visszavásárlása</t>
  </si>
  <si>
    <t>2025. évi eredeti előirányzat</t>
  </si>
  <si>
    <t>Belföldi értékpapír vásárlása</t>
  </si>
  <si>
    <t>Hitel-állomány  2025.12.31</t>
  </si>
  <si>
    <t>Tőke-törlesztés /Kamat- fizetés 2035</t>
  </si>
  <si>
    <t>2024-2026</t>
  </si>
  <si>
    <t>2024-2028</t>
  </si>
  <si>
    <t xml:space="preserve">Via Calvaria Program </t>
  </si>
  <si>
    <t>Önkormányzati épületek energiahatékonysági vizsgálata</t>
  </si>
  <si>
    <t>Pannon Kultúrklub támogatása</t>
  </si>
  <si>
    <t>Veszprém - Rovaniemi testvérvárosi kapcsolat 50 éves jubileumi támogatása</t>
  </si>
  <si>
    <t>Szilágyi Táncegyüttes Alapítvány támogatása</t>
  </si>
  <si>
    <t>AutiSpektrum Egyesület támogatása</t>
  </si>
  <si>
    <t>Sportrégió pályázat regisztrációs díja</t>
  </si>
  <si>
    <t>Minerva Tanulási Alapítvány támogatása</t>
  </si>
  <si>
    <t>Szeretfilmsúdió Egyesület támogatása</t>
  </si>
  <si>
    <t>Orlandó Egyesület támogatása</t>
  </si>
  <si>
    <t>Pannon Egyetem támogatása</t>
  </si>
  <si>
    <t>2025. évi európai parlamenti, helyi önkormányzati és nemzetiségi önkormányzati választások lebonyolítása / 2024. évi EPON</t>
  </si>
  <si>
    <t>Feladatellátás                            jellege</t>
  </si>
  <si>
    <t>Bútorok, székek beszerzése</t>
  </si>
  <si>
    <t>Amerikai Kuckó</t>
  </si>
  <si>
    <r>
      <t xml:space="preserve">Országos Dokumentumellátó Rendszer eszközbeszerzés </t>
    </r>
    <r>
      <rPr>
        <i/>
        <sz val="10"/>
        <rFont val="Palatino Linotype"/>
        <family val="1"/>
        <charset val="238"/>
      </rPr>
      <t>(könyvtári könyvek beszerzése)</t>
    </r>
  </si>
  <si>
    <t xml:space="preserve"> - Orlandó Énekegyüttes</t>
  </si>
  <si>
    <t>Európa Kulturális Fővárosa</t>
  </si>
  <si>
    <t xml:space="preserve">Tárgyi eszközök beszerzése </t>
  </si>
  <si>
    <t>EKF 2024 kísérőprogramjai és utókommunikációja</t>
  </si>
  <si>
    <t>VESZOL - Veszprém, Pápai u. 37. sz. munkásszálló működtetési feladatai</t>
  </si>
  <si>
    <t>Csizmadia kerámiák restaurálása és elhelyezése</t>
  </si>
  <si>
    <t>XXVI. Magyar Ingatlanfejlesztési Nívódíj pályázat részvételi díja</t>
  </si>
  <si>
    <t>VESZOL - Veszprém, Pápai u. 37. sz. munkásszálló működtetési feladatai – eszközpótlások (konyhai eszközök, felszerelések, bútorok, mosógép, szárítógép, párnák, matracok, takarók, monitor, ágyneműk)</t>
  </si>
  <si>
    <t>Közművelődési szolgáltatás</t>
  </si>
  <si>
    <t>Helikoni Ünnepségek Keszthelyen</t>
  </si>
  <si>
    <t>Önkormányzati Intézmények  működési célú támogatások Áht.-n belülről</t>
  </si>
  <si>
    <t>Felhalmozási célú támogatások Áht.-n belülről</t>
  </si>
  <si>
    <t>Önkormányzati Intézmények felhalmozási célú támogatások Áht.-n belülről</t>
  </si>
  <si>
    <t xml:space="preserve"> - Intézményi felmentési idő, jub. jut., végkielégítés és működési kiadások</t>
  </si>
  <si>
    <t xml:space="preserve"> - Helyi Környezetvédelmi Alap</t>
  </si>
  <si>
    <t>Felhalmozási célú támogatás Áht.-n belülről</t>
  </si>
  <si>
    <t>Működési célú támogatás Áht.-n belülről</t>
  </si>
  <si>
    <t>Eötvös Károly Könyvtár</t>
  </si>
  <si>
    <t>Könyvtár kistelepülési könyvtári és közművelődési célú kiegészítő állami támogatás</t>
  </si>
  <si>
    <t>Munk.a. terh. jár. és szoc. hj. adó</t>
  </si>
  <si>
    <t>Veszprémi Kistérség Többcélú Társulásának pénzeszköz átadás (Egyesített Szoc. Int.)</t>
  </si>
  <si>
    <t>V-Busz Kft.</t>
  </si>
  <si>
    <t>Kapcsolat 96 Mentálhigiénés Egyesület</t>
  </si>
  <si>
    <t>2025. évi Tour de Hongrie támogatása</t>
  </si>
  <si>
    <t>Ingatlanrendezési ügyek (kisajátítások, más célú haszn., humuszvédelmi terv, erdővédelmi járulék)</t>
  </si>
  <si>
    <t xml:space="preserve">       1. vk. Kádárta Faluház sportpálya pad</t>
  </si>
  <si>
    <t xml:space="preserve">       1. vk. Játszótér - járdaépítés</t>
  </si>
  <si>
    <t>2026. évi előirányzat</t>
  </si>
  <si>
    <t xml:space="preserve">          - Brusznyai Hangverseny</t>
  </si>
  <si>
    <t xml:space="preserve">          - Lélektől Lélekig Színház Gyógyító Erejének fesztiválja</t>
  </si>
  <si>
    <t xml:space="preserve">          - Veszprémi Rátonyi Róbert Operettfesztivál</t>
  </si>
  <si>
    <t xml:space="preserve">          - Kabóciádé Családi Fesztivál</t>
  </si>
  <si>
    <t xml:space="preserve">          - Auer Lipót Nemzetközi Hegedűfesztivál</t>
  </si>
  <si>
    <t xml:space="preserve">          - A Tánc Fesztiválja</t>
  </si>
  <si>
    <t xml:space="preserve">          - Ex Symposion folyóirat</t>
  </si>
  <si>
    <t xml:space="preserve"> - Veszprém Bakony Táncegyüttes</t>
  </si>
  <si>
    <t xml:space="preserve"> - Veszprémi Liszt Ferenc Kórustársaság</t>
  </si>
  <si>
    <t xml:space="preserve"> - Gizella Nőikar</t>
  </si>
  <si>
    <t xml:space="preserve"> - Gárdonyi Zoltán Ifjúsági Kamarazenekar</t>
  </si>
  <si>
    <t>ebből:   - Fiatalok napja rendezvény</t>
  </si>
  <si>
    <t>Védőoltások támogatása</t>
  </si>
  <si>
    <t>Európa Kulturális Fővárosa 2023 beruházások előkészítése (önerő), MVP elszámolások</t>
  </si>
  <si>
    <t>Jutas Őrmester túra</t>
  </si>
  <si>
    <t>Táplálékallergiás gyermekek részére étkeztetés biztosítása</t>
  </si>
  <si>
    <t>Önkormányzatiság kialakulásának évfordulója</t>
  </si>
  <si>
    <t>Veszprém-Nagytemplom Református Egyházközség Templomkert építészeti és kertészeti rendezésének támogatása</t>
  </si>
  <si>
    <t>Megyei Jogú Városok Szövetsége - Parajdot sújtó természeti katasztrófa megsegítésére</t>
  </si>
  <si>
    <t>Csapadékvíz elvezető árkok fenntartása</t>
  </si>
  <si>
    <t>Rendőrjárőrként felvett személyek támogatása</t>
  </si>
  <si>
    <t>2024. évi tény</t>
  </si>
  <si>
    <t>2022-2023. évi tény</t>
  </si>
  <si>
    <t>2025-2028</t>
  </si>
  <si>
    <t xml:space="preserve">TOP_PLUSZ-3.4.1-23-VP1-2025-00004 Veszprém Vármegyei Pedagógiai Szakszolgálat Cholnoky utcai telephelyének fejlesztése </t>
  </si>
  <si>
    <t>TOP_PLUSZ-3.4.1-23-VP1-2025-00005 Új nappali foglalkoztató létesítése fogyatékkal élő felnőttek számára a Kőhíd utcában</t>
  </si>
  <si>
    <t>2025-2029</t>
  </si>
  <si>
    <t>TOP_PLUSZ-3.4.1-23-VP1-2025-00003
Idősellátás fejlesztése Veszprémben - Török Ignác u. és Hóvirág u.</t>
  </si>
  <si>
    <t>TOP_PLUSZ-3.4.1-23-VP1-2025-00007
Rózsa Úti Általános Iskola részleges megújítása</t>
  </si>
  <si>
    <t>20258-2028</t>
  </si>
  <si>
    <t>TOP_PLUSZ-3.4.1-23-VP1-2025-00006
Cholnoky Jenő Általános Iskola részleges megújítása</t>
  </si>
  <si>
    <t>TOP_PLUSZ-3.4.1-23-VP1-2025-00001
Hriszto Botev Német Nemzetiségi Nyelvoktató Általános Iskola részleges megújítása</t>
  </si>
  <si>
    <t>TOP_PLUSZ-1.3.2-23-VP1-2025-00001
Belterületi útfejlesztés</t>
  </si>
  <si>
    <t>TOP_PLUSZ-1.3.2-23-VP1-2025-00002
Veszprém Aréna-Veszprém Sportuszoda közötti út építése</t>
  </si>
  <si>
    <t>TOP_PLUSZ-3.2.1-23-VP1-2025-00001
"Veszprém felemel" (Humán ESZA)</t>
  </si>
  <si>
    <t>TOP_PLUSZ-3.4.1-23-VP1-2025-00002
Gyulaffy László Német Nemzetiségi Nyelvoktató Általános Iskola részleges megújítása</t>
  </si>
  <si>
    <t>TOP_PLUSZ-1.3.2-23-VP1-2025-00004 Kék infrastruktúra megújítása: korszerű csapadékvíz-gazdálkodás, az elvezetés javítása</t>
  </si>
  <si>
    <t>2025. évi várható</t>
  </si>
  <si>
    <t>2026. év utáni javaslat</t>
  </si>
  <si>
    <t>Teljesítés                      2024.          12. 31.-ig**</t>
  </si>
  <si>
    <t>2025. évi              várható**</t>
  </si>
  <si>
    <t>SZEOSZ - Mozgás Éjszakája 2025 program</t>
  </si>
  <si>
    <t>Versenyképes Járások Program - Felnőtt háziorvosi rendelők akadálymentesítése Veszprémben</t>
  </si>
  <si>
    <t>Versenyképes Járások Program - Mentőorvosi kocsi (MOK) beszerzése</t>
  </si>
  <si>
    <t>Versenyképes Járások Program - Veszprémi Hivatásos Tűzoltóparancsnokság részére eszközbeszerzés</t>
  </si>
  <si>
    <t>Versenyképes Járások Program - Veszprémi Rendőrkapitányság közbiztonság fejlesztése I. ütem</t>
  </si>
  <si>
    <t>Versenyképes Járások Program - Veszprém Vármegyei Csolnoky Ferenc Kórház 8200 Veszprém, Komakút tér 1. szám alatti telephelyének, egykori "SZTK" Rendelőintézetének részleges felújítása - 1. ütem (Fogadótér)</t>
  </si>
  <si>
    <t>Versenyképes Járások Program - Veszprém, Völgyikút u. 2. Idősek Otthona klímatizálása</t>
  </si>
  <si>
    <t xml:space="preserve">TOP_PLUSZ-1.3.2-23-VP1-2025-00003 
Mártírok úti parkolóház építése </t>
  </si>
  <si>
    <t>TOP_PLUSZ-3.4.1-23-VP1-2025-00005
Új nappali foglalkoztató létesítése fogyatékkal élő felnőttek számára a Kőhíd utcában</t>
  </si>
  <si>
    <t>DIMOP_PLUSZ-2.1.1-24-2025-00008 Önkormányzati energiamenedzsment rendszer kialakítása Veszprémben</t>
  </si>
  <si>
    <t>Veszprémi Futsal munkacsarnok kivitelezése (3057/90 hrsz., Március 15. utca)</t>
  </si>
  <si>
    <t>Közigazgatási és Területfejlesztési Minisztérium - Veszprém-Balaton Európa Sportrégiója 2026 támogatása</t>
  </si>
  <si>
    <t>Urbact IV. Fenntartható Városfejlesztési Program Transzferhálózatok "COMONCITY"</t>
  </si>
  <si>
    <t>Urbact IV. Fenntartható Városfejlesztési Program Transzferhálózatok "P.A.R.K.S"</t>
  </si>
  <si>
    <t>Versenyképes Járások Program - Felnőtt háziorvosi rendelők akadálymentesítése Veszprémben II. ütem</t>
  </si>
  <si>
    <t>Versenyképes Járások Program - Dózsa György Német Nemzetiségi Nyeolvoktató Általános Iskolában vizesblokk felújítása</t>
  </si>
  <si>
    <t>Versenyképes Járások Program - Veszprém Vármegyei Csolnoky Ferenc Kórház 8200 Veszprém, Komakút tér 1. szám alatti telephelyének, egykor "SZTK" Rendelőintézetének részleges felújítása - 2. ütem (Labor)</t>
  </si>
  <si>
    <t>EUI City-to-City projekt- "Zöldülő városok párbeszéde"</t>
  </si>
  <si>
    <t>Engedélyezett létszám jogviszonyonkénti megbontása</t>
  </si>
  <si>
    <t xml:space="preserve"> - Köznevelési foglalkoztatotti jogviszony</t>
  </si>
  <si>
    <t xml:space="preserve"> - Közalkalmazotti jogviszony</t>
  </si>
  <si>
    <t xml:space="preserve"> - Munkaviszony</t>
  </si>
  <si>
    <t xml:space="preserve"> - Egészségügyi szolgálati jogviszony</t>
  </si>
  <si>
    <t xml:space="preserve"> - munkaviszony</t>
  </si>
  <si>
    <t xml:space="preserve"> - Közszolgálati jogviszony</t>
  </si>
  <si>
    <t xml:space="preserve"> - Választott tisztségviselők</t>
  </si>
  <si>
    <t>Köznevelési foglalkoztatotti jogviszony</t>
  </si>
  <si>
    <t>Közalkalmazotti jogviszony</t>
  </si>
  <si>
    <t>Munkaviszony</t>
  </si>
  <si>
    <t>Egészségügyi szolgálati jogviszony</t>
  </si>
  <si>
    <t>Közszolgálati jogviszony</t>
  </si>
  <si>
    <t>Választott tisztségviselők</t>
  </si>
  <si>
    <t>a 2026. évi engedélyezett létszámról</t>
  </si>
  <si>
    <t xml:space="preserve">2026.01.01 engedélyezett létszám </t>
  </si>
  <si>
    <t xml:space="preserve">2026. évi engedélyezett létszám </t>
  </si>
  <si>
    <t>2026. március 1-től</t>
  </si>
  <si>
    <t>2026. évi beruházási és egyéb felhalmozási célú kiadások előirányzata</t>
  </si>
  <si>
    <t>Teljesítés                      2024.          12. 31-ig</t>
  </si>
  <si>
    <t>2025. évi              várható</t>
  </si>
  <si>
    <t xml:space="preserve">     4.vk. Haszkovó u. 18. mögötti szelektív hulladékgyűjtő sziget helyén 3 állásos parkoló kialakítása</t>
  </si>
  <si>
    <t xml:space="preserve">       8.vk. Napvitorla a Hóvirág bölcsődében</t>
  </si>
  <si>
    <t>Cholnoky Jenő utca 19. szám alatti 17-18. számú felnőtt háziorvosi rendelő felújításának tervezése</t>
  </si>
  <si>
    <t>Vámosi úti temető bővítése</t>
  </si>
  <si>
    <t>Közterület-felügyelet - fényképezőgépek beszerzése</t>
  </si>
  <si>
    <t>Gyulafirátót északi lakóterület útépítéséhez szükséges kiegészítő munkák tervezése</t>
  </si>
  <si>
    <t>Gyulafirátót északi lakóterület útépítés</t>
  </si>
  <si>
    <t>Jutasi úti-Kopácsy József utcai csomópont jelzőlámpás kialakítás (közlekedésvizsgálat)</t>
  </si>
  <si>
    <t>2026. évi felújítási kiadások előirányzata</t>
  </si>
  <si>
    <t>Teljesítés 2024. 12. 31-ig</t>
  </si>
  <si>
    <r>
      <rPr>
        <u/>
        <sz val="11"/>
        <color theme="1"/>
        <rFont val="Palatino Linotype"/>
        <family val="1"/>
        <charset val="238"/>
      </rPr>
      <t xml:space="preserve">Veszprémi Intézményi Szolgáltató Szervezet </t>
    </r>
    <r>
      <rPr>
        <sz val="11"/>
        <color theme="1"/>
        <rFont val="Palatino Linotype"/>
        <family val="1"/>
        <charset val="238"/>
      </rPr>
      <t>-Veszprém, Haszkovó u. 39. felújítása vezetékes vízkár miatt</t>
    </r>
  </si>
  <si>
    <t xml:space="preserve">Dubniczay-palota (Vár u. 29.) homlokzat és nyílászáró felújítás - tervezés  </t>
  </si>
  <si>
    <t xml:space="preserve">Szán utca - Méhes utca csapadékvíz elvezetés (útrek. előtt) I. ütem - kivitelezés  </t>
  </si>
  <si>
    <t xml:space="preserve">Völgyhíd védőkorlát tervezése </t>
  </si>
  <si>
    <t xml:space="preserve">Mester utca környékén akcióterületi terv </t>
  </si>
  <si>
    <t xml:space="preserve">Avar utca (Kistó utca - Tüzér utca között) csapadékvíz elvezetésének felülvizsgálata és rekonstrukciójának tervezése </t>
  </si>
  <si>
    <t>Március 15. utcában található 3057/90 hrsz-ú ingatlanon lévő uszoda funkcióváltása és felújítása</t>
  </si>
  <si>
    <t>Közterületek fejlesztésének tervezése Cholnokyvárosban</t>
  </si>
  <si>
    <t>Posta utca csapadékvíz elvezetés és járda tervezés</t>
  </si>
  <si>
    <t>Veszprém, Victor Hugo utca terméskőfal károsodásának megszüntetéséhez szükséges munkák tervezése</t>
  </si>
  <si>
    <t>Felnőtt háziorvosi rendelőbe (15. és 19. számú, Veszprém, Március 15. u. 4/b.) 3 db. klíma berendezés telepítése</t>
  </si>
  <si>
    <t>Művészetek Háza Veszprém Művelődési Ház és Kiállítóhely Dubniczay-palota (Vár u. 29.) Fűtésrendszer korszerűsítése</t>
  </si>
  <si>
    <t>VKTT Egyesített Szociális Intézmény 1. számú Idősek Otthona (Török Ignác u. 10.) - További alapmegerősítések tervezése, kivitelezése</t>
  </si>
  <si>
    <t>Március 15. utca 4/C fogorvosi rendelő felújítása</t>
  </si>
  <si>
    <t>Stadion gázfogadó cseréje - beruházás 6121 hrsz.</t>
  </si>
  <si>
    <t>Pápai u. 37. lift felújítása 1940/1 hrsz.</t>
  </si>
  <si>
    <t>Orvosi rendelő rendeltetésmód változtatása, tervezés-felújítás - Veszprém-Kádárta, Győri u. 51., 2849 hrsz.</t>
  </si>
  <si>
    <t>Kisajátítások Takácskert városrész II. ütemű beépítéséhez kapcsolódó útépítés (043/232, 043/233, 043/234, 043/235, 043/237 hrsz-ú ingatlanok):</t>
  </si>
  <si>
    <t xml:space="preserve">Gyulafirátót, Pásztor utca útépítéséhez kapcsolódó ingatlanok (01168, 9634/3, 9578/4 hrsz-ú ingatlanok) </t>
  </si>
  <si>
    <t>Versenyképes Járások Program - Veszprém Vármegyei Csolnoky Ferenc Kórház 8200 Veszprém, Komakút tér 1. szám alatti telephelyének, egykor "SZTK" Rendelőintézetének részleges felújítása - 2. ütem (Labor) - önerő</t>
  </si>
  <si>
    <t>a Környezetvédelmi Alap felosztásáról</t>
  </si>
  <si>
    <t>BEVÉTELEK</t>
  </si>
  <si>
    <t>Egyéb pótlékok, bírságok (talajterhelési díj)</t>
  </si>
  <si>
    <t>Működési célú költségvetési maradvány</t>
  </si>
  <si>
    <t>Bevételek összesen:</t>
  </si>
  <si>
    <t>KIADÁSOK</t>
  </si>
  <si>
    <t>Parkfenntartás - Gelemér utcai park kertészeti rendezésére (gallyazás, tuskómarás)</t>
  </si>
  <si>
    <t xml:space="preserve"> Helyi Környezetvédelmi Alap</t>
  </si>
  <si>
    <t>Erdészeti feladatok</t>
  </si>
  <si>
    <t>Őszi fásítás</t>
  </si>
  <si>
    <t>Kiadások összesen:</t>
  </si>
  <si>
    <t>KÖLTSÉGVETÉSI BEVÉTELEI ÉS KIADÁSAI 2026. ÉVBEN</t>
  </si>
  <si>
    <t>2026. évi eredeti előirányzat</t>
  </si>
  <si>
    <t xml:space="preserve">2025. évi várható </t>
  </si>
  <si>
    <t>2026. évi költségvetési bevételei</t>
  </si>
  <si>
    <t>2026. évi költségvetési kiadásai</t>
  </si>
  <si>
    <t xml:space="preserve"> - Esélyegyenlőségi feladatok megvalósítása</t>
  </si>
  <si>
    <t>2024. évi              tény</t>
  </si>
  <si>
    <t>Hitelfelvétel 2026</t>
  </si>
  <si>
    <t>Tőke-törlesztés 2026</t>
  </si>
  <si>
    <t>Hitel-állomány  2026.12.31</t>
  </si>
  <si>
    <t>Kamat 2026</t>
  </si>
  <si>
    <t>Tőke-törlesztés /Kamat- fizetés 2036</t>
  </si>
  <si>
    <t>2025. évi        várható</t>
  </si>
  <si>
    <t>2026. évi   eredeti előirányzat</t>
  </si>
  <si>
    <t>Térfigyelő rendszer fejlesztése (új kamerák)</t>
  </si>
  <si>
    <t>2026. évi bevételi előirányzat</t>
  </si>
  <si>
    <t>2026. évi kiadási előirányzat</t>
  </si>
  <si>
    <t>TOP_PLUSZ-3.2.1-23-VP1-2025-00001 Veszprém felemel  (Humán ESZA)</t>
  </si>
  <si>
    <t>2026. évi országgyűlési képviselő választás</t>
  </si>
  <si>
    <t xml:space="preserve">          - Rasovszky Kristóf - Szokolai László könyv</t>
  </si>
  <si>
    <t xml:space="preserve">          - Hegyi Zoltán: Garázsmenet könyv kiadása</t>
  </si>
  <si>
    <t xml:space="preserve">Köztéri szobrok, emléktáblák, lektorátus </t>
  </si>
  <si>
    <t>2026. évi felhalmozási költségvetési kiadásainak előirányzata</t>
  </si>
  <si>
    <t>2024. évi           tény</t>
  </si>
  <si>
    <t>2026. évi  előirányzat</t>
  </si>
  <si>
    <r>
      <t>Kisértékű tárgyi eszközök beszerzése</t>
    </r>
    <r>
      <rPr>
        <i/>
        <sz val="10"/>
        <rFont val="Palatino Linotype"/>
        <family val="1"/>
        <charset val="238"/>
      </rPr>
      <t xml:space="preserve"> (polc, tároló)</t>
    </r>
  </si>
  <si>
    <t>Szegedy-Maszák Z. műalkotás vásárlás - NKA pályázati támogatásból</t>
  </si>
  <si>
    <t>Infrastrukturális fejlesztés - NKA pályázati támogatásból</t>
  </si>
  <si>
    <t>Informatikai eszközök beszerzése (Corvinia adatbázis bővítés)</t>
  </si>
  <si>
    <t>Felsőörsi raktárbázis ajtócsere</t>
  </si>
  <si>
    <t>Kiállítási vitrinek</t>
  </si>
  <si>
    <t>Gombor gyűjtemény</t>
  </si>
  <si>
    <t>Fémkereső</t>
  </si>
  <si>
    <t>Képtároló rácsok</t>
  </si>
  <si>
    <t>Üvegműtárgy vásárlás NKA támogatásból</t>
  </si>
  <si>
    <t>Tárgyi eszközök beszerzése</t>
  </si>
  <si>
    <t xml:space="preserve">Műszaki, színháztechnikai beruházások </t>
  </si>
  <si>
    <t xml:space="preserve">Tárgyi eszköz beszerzés </t>
  </si>
  <si>
    <t>Új állatkerti bekötőút kialakításával összefüggő csapadékvíz-elvezetés tervezése</t>
  </si>
  <si>
    <t>Részvételi Költségvetés - Hotel előtti körforgalom gyalogátkelőinek jelzőlámpás irányatása</t>
  </si>
  <si>
    <t>Részvételi Költségvetés - Hirszto Botev Német Nemzetiségi Nyelvoktató Iskola udvarának fejlesztése, felújítása</t>
  </si>
  <si>
    <t>Részvételi Költségvetés - A gyulafirátóti Kastélykert udvarának szabadtéri közösségi térré alakítása</t>
  </si>
  <si>
    <t xml:space="preserve">KEHOP_Plusz_2.2.1-25 "Zöld-kék infrastruktúra fejlesztések településeken (ERFA)" című pályázat benyújtásához Projekt Megalapozó Tanulmány </t>
  </si>
  <si>
    <t>VVI Kft. - törzstőke emelés</t>
  </si>
  <si>
    <t>VVI Kft. - tőketartalékba helyezés</t>
  </si>
  <si>
    <t>1 fő óvodapedagógus 2026.06.30-ig</t>
  </si>
  <si>
    <t xml:space="preserve">                 - Veszprémi Szemle folyóirat kiadása - Veszprémi Szemle Várostörténeti Közhasznú Alapítvány támogatása</t>
  </si>
  <si>
    <t>ebből:   - Vár Ucca Műhely folyóirat</t>
  </si>
  <si>
    <t xml:space="preserve">                 - Tóth József - Tóth Józsi egy diszkós kalandjai a Bakony Művektől Barbadosig című könyv támogatása</t>
  </si>
  <si>
    <t>megvalósuló 2026. évi felhalmozási kiadások előirányzata</t>
  </si>
  <si>
    <t>Az ifjúság egészségügyi, fogorvosi és felnőtt háziorvosi körzetekhez igazodó létszám</t>
  </si>
  <si>
    <t>Veszprém Megyei Jogú Város Önkormányzata intézményei</t>
  </si>
  <si>
    <t>önkormányzati feladatok és egyéb kötelezettségek 2026. évi működési költségvetési kiadásai</t>
  </si>
  <si>
    <t>Veszprém Megyei Jogú Város Önkormányzata:</t>
  </si>
  <si>
    <t xml:space="preserve">Közigazgatási és Területfejlesztési Minisztérium - Területfejlesztési Alap visszatérítéséből                                                                                                                       </t>
  </si>
  <si>
    <t>támogatásból megvalósuló programok, projektek 2026. évi költségvetési kiadásainak előirányzata</t>
  </si>
  <si>
    <t>Veszprém Megyei Jogú Város Önkormányzata támogatási szerződéssel rendelkező</t>
  </si>
  <si>
    <t>Családika program</t>
  </si>
  <si>
    <t>5. melléklet az 5/2026. (II.26.) önkormányzati rendelethez</t>
  </si>
  <si>
    <t>6. melléklet az 5/2026. (II.26.) önkormányzati rendelethez</t>
  </si>
  <si>
    <t>1. melléklet az 5/2026. (II.26.) önkormányzati rendelethez</t>
  </si>
  <si>
    <t>2. melléklet az 5/2026. (II.26.) önkormányzati rendelethez</t>
  </si>
  <si>
    <t>3. melléklet az 5/2026. (II.26.) önkormányzati rendelethez</t>
  </si>
  <si>
    <t>4. melléklet az 5/2026. (II.26.) önkormányzati rendelethez</t>
  </si>
  <si>
    <t>7. melléklet az 5/2026. (II.26.) önkormányzati rendelethez</t>
  </si>
  <si>
    <t>8. melléklet az 5/2026. (II.26.) önkormányzati rendelethez</t>
  </si>
  <si>
    <t>9. melléklet az 5/2026. (II.26.) önkormányzati rendelethez</t>
  </si>
  <si>
    <t>10. melléklet az 5/2026. (II.26.) önkormányzati rendelethez</t>
  </si>
  <si>
    <t>11. melléklet az 5/2026. (II.26) önkormányzati rendelethez</t>
  </si>
  <si>
    <t>12. melléklet az 5/2026. (II.26.) önkormányzati rendelethez</t>
  </si>
  <si>
    <t>13. melléklet az 5/2026. (II.26.) önkormányzati rendelethez</t>
  </si>
  <si>
    <t>14. melléklet az 5/2026. (II.26.) önkormányzati rendelethez</t>
  </si>
  <si>
    <t>15. melléklet az 5/2026. (II.26.)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</si>
</sst>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0.000"/>
    <numFmt numFmtId="165" formatCode="0.0%"/>
  </numFmts>
  <fonts count="5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Palatino Linotype"/>
      <family val="1"/>
      <charset val="238"/>
    </font>
    <font>
      <sz val="10"/>
      <name val="Arial"/>
      <family val="2"/>
      <charset val="238"/>
    </font>
    <font>
      <b/>
      <sz val="11"/>
      <name val="Palatino Linotype"/>
      <family val="1"/>
      <charset val="238"/>
    </font>
    <font>
      <i/>
      <sz val="11"/>
      <name val="Palatino Linotype"/>
      <family val="1"/>
      <charset val="238"/>
    </font>
    <font>
      <sz val="9"/>
      <name val="Palatino Linotype"/>
      <family val="1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0"/>
      <name val="Palatino Linotype"/>
      <family val="1"/>
      <charset val="238"/>
    </font>
    <font>
      <b/>
      <sz val="9"/>
      <name val="Palatino Linotype"/>
      <family val="1"/>
      <charset val="238"/>
    </font>
    <font>
      <i/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sz val="9"/>
      <name val="Arial CE"/>
      <charset val="238"/>
    </font>
    <font>
      <i/>
      <u/>
      <sz val="10"/>
      <name val="Palatino Linotype"/>
      <family val="1"/>
      <charset val="238"/>
    </font>
    <font>
      <b/>
      <i/>
      <sz val="10"/>
      <name val="Palatino Linotype"/>
      <family val="1"/>
      <charset val="238"/>
    </font>
    <font>
      <b/>
      <i/>
      <sz val="11"/>
      <name val="Palatino Linotype"/>
      <family val="1"/>
      <charset val="238"/>
    </font>
    <font>
      <sz val="7"/>
      <name val="Palatino Linotype"/>
      <family val="1"/>
      <charset val="238"/>
    </font>
    <font>
      <i/>
      <sz val="10"/>
      <name val="Arial CE"/>
      <charset val="238"/>
    </font>
    <font>
      <sz val="11"/>
      <name val="Arial CE"/>
      <charset val="238"/>
    </font>
    <font>
      <sz val="10"/>
      <name val="Times New Roman"/>
      <family val="1"/>
      <charset val="238"/>
    </font>
    <font>
      <b/>
      <u/>
      <sz val="10"/>
      <name val="Palatino Linotype"/>
      <family val="1"/>
      <charset val="238"/>
    </font>
    <font>
      <b/>
      <u/>
      <sz val="11"/>
      <name val="Palatino Linotype"/>
      <family val="1"/>
      <charset val="238"/>
    </font>
    <font>
      <u/>
      <sz val="10"/>
      <name val="Palatino Linotype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Palatino Linotype"/>
      <family val="1"/>
      <charset val="238"/>
    </font>
    <font>
      <b/>
      <sz val="10"/>
      <color theme="5" tint="-0.499984740745262"/>
      <name val="Palatino Linotype"/>
      <family val="1"/>
      <charset val="238"/>
    </font>
    <font>
      <b/>
      <i/>
      <sz val="10"/>
      <color theme="5" tint="-0.499984740745262"/>
      <name val="Palatino Linotype"/>
      <family val="1"/>
      <charset val="238"/>
    </font>
    <font>
      <b/>
      <sz val="10"/>
      <color theme="5" tint="-0.499984740745262"/>
      <name val="Arial CE"/>
      <charset val="238"/>
    </font>
    <font>
      <b/>
      <i/>
      <sz val="10"/>
      <color theme="5" tint="-0.499984740745262"/>
      <name val="Arial CE"/>
      <charset val="238"/>
    </font>
    <font>
      <b/>
      <sz val="11"/>
      <color theme="5" tint="-0.499984740745262"/>
      <name val="Palatino Linotype"/>
      <family val="1"/>
      <charset val="238"/>
    </font>
    <font>
      <sz val="11"/>
      <color theme="5" tint="-0.499984740745262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b/>
      <i/>
      <sz val="11"/>
      <color theme="5" tint="-0.499984740745262"/>
      <name val="Palatino Linotype"/>
      <family val="1"/>
      <charset val="238"/>
    </font>
    <font>
      <sz val="10"/>
      <color theme="5" tint="-0.499984740745262"/>
      <name val="Palatino Linotype"/>
      <family val="1"/>
      <charset val="238"/>
    </font>
    <font>
      <i/>
      <sz val="10"/>
      <color theme="5" tint="-0.499984740745262"/>
      <name val="Palatino Linotype"/>
      <family val="1"/>
      <charset val="238"/>
    </font>
    <font>
      <sz val="16"/>
      <name val="Palatino Linotype"/>
      <family val="1"/>
      <charset val="238"/>
    </font>
    <font>
      <b/>
      <sz val="11"/>
      <color rgb="FF800000"/>
      <name val="Palatino Linotype"/>
      <family val="1"/>
      <charset val="238"/>
    </font>
    <font>
      <b/>
      <sz val="10"/>
      <color rgb="FF632523"/>
      <name val="Palatino Linotype"/>
      <family val="1"/>
      <charset val="238"/>
    </font>
    <font>
      <b/>
      <sz val="10"/>
      <color theme="9" tint="-0.499984740745262"/>
      <name val="Palatino Linotype"/>
      <family val="1"/>
      <charset val="238"/>
    </font>
    <font>
      <sz val="10.5"/>
      <name val="Palatino Linotype"/>
      <family val="1"/>
      <charset val="238"/>
    </font>
    <font>
      <sz val="12"/>
      <name val="Palatino Linotype"/>
      <family val="1"/>
      <charset val="238"/>
    </font>
    <font>
      <sz val="10"/>
      <color rgb="FF632523"/>
      <name val="Palatino Linotype"/>
      <family val="1"/>
      <charset val="238"/>
    </font>
    <font>
      <u/>
      <sz val="11"/>
      <color theme="1"/>
      <name val="Palatino Linotype"/>
      <family val="1"/>
      <charset val="238"/>
    </font>
    <font>
      <u/>
      <sz val="11"/>
      <name val="Palatino Linotyp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2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58">
    <xf numFmtId="0" fontId="0" fillId="0" borderId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3" fillId="0" borderId="0"/>
    <xf numFmtId="0" fontId="16" fillId="0" borderId="0"/>
    <xf numFmtId="0" fontId="17" fillId="0" borderId="0"/>
    <xf numFmtId="0" fontId="17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10" fillId="0" borderId="0"/>
    <xf numFmtId="0" fontId="12" fillId="0" borderId="0"/>
    <xf numFmtId="0" fontId="12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8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54">
    <xf numFmtId="0" fontId="0" fillId="0" borderId="0" xfId="0"/>
    <xf numFmtId="0" fontId="11" fillId="0" borderId="0" xfId="0" applyFont="1" applyAlignment="1">
      <alignment vertical="center"/>
    </xf>
    <xf numFmtId="3" fontId="11" fillId="0" borderId="0" xfId="0" applyNumberFormat="1" applyFont="1"/>
    <xf numFmtId="0" fontId="11" fillId="0" borderId="0" xfId="0" applyFont="1" applyAlignment="1">
      <alignment horizontal="center" vertical="center"/>
    </xf>
    <xf numFmtId="4" fontId="11" fillId="0" borderId="0" xfId="0" applyNumberFormat="1" applyFont="1" applyAlignment="1">
      <alignment horizontal="left" vertical="center"/>
    </xf>
    <xf numFmtId="4" fontId="11" fillId="0" borderId="0" xfId="0" applyNumberFormat="1" applyFont="1" applyAlignment="1">
      <alignment vertical="center"/>
    </xf>
    <xf numFmtId="4" fontId="15" fillId="0" borderId="0" xfId="0" applyNumberFormat="1" applyFont="1" applyAlignment="1">
      <alignment horizontal="center" vertical="center"/>
    </xf>
    <xf numFmtId="0" fontId="18" fillId="0" borderId="1" xfId="0" applyFont="1" applyBorder="1" applyAlignment="1">
      <alignment horizontal="center" vertical="center" textRotation="90"/>
    </xf>
    <xf numFmtId="0" fontId="11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4" fontId="14" fillId="0" borderId="0" xfId="0" applyNumberFormat="1" applyFont="1" applyAlignment="1">
      <alignment horizontal="left" vertical="center" wrapText="1" indent="3"/>
    </xf>
    <xf numFmtId="0" fontId="13" fillId="0" borderId="0" xfId="0" applyFont="1" applyAlignment="1">
      <alignment vertical="center"/>
    </xf>
    <xf numFmtId="0" fontId="11" fillId="0" borderId="5" xfId="0" applyFont="1" applyBorder="1" applyAlignment="1">
      <alignment horizontal="center" vertical="center"/>
    </xf>
    <xf numFmtId="164" fontId="13" fillId="0" borderId="6" xfId="0" applyNumberFormat="1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4" fontId="13" fillId="0" borderId="0" xfId="0" applyNumberFormat="1" applyFont="1" applyAlignment="1">
      <alignment vertical="center"/>
    </xf>
    <xf numFmtId="4" fontId="11" fillId="0" borderId="0" xfId="0" applyNumberFormat="1" applyFont="1" applyAlignment="1">
      <alignment horizontal="right" vertical="center"/>
    </xf>
    <xf numFmtId="0" fontId="11" fillId="0" borderId="0" xfId="0" applyFont="1"/>
    <xf numFmtId="3" fontId="15" fillId="0" borderId="0" xfId="0" applyNumberFormat="1" applyFont="1" applyAlignment="1">
      <alignment horizontal="center"/>
    </xf>
    <xf numFmtId="0" fontId="13" fillId="0" borderId="0" xfId="0" applyFont="1" applyAlignment="1">
      <alignment horizontal="left" wrapText="1"/>
    </xf>
    <xf numFmtId="0" fontId="11" fillId="0" borderId="0" xfId="0" applyFont="1" applyAlignment="1">
      <alignment horizontal="left" wrapText="1" indent="1"/>
    </xf>
    <xf numFmtId="3" fontId="11" fillId="0" borderId="0" xfId="26" applyNumberFormat="1" applyFont="1"/>
    <xf numFmtId="3" fontId="11" fillId="0" borderId="0" xfId="26" applyNumberFormat="1" applyFont="1" applyAlignment="1">
      <alignment vertical="center"/>
    </xf>
    <xf numFmtId="3" fontId="11" fillId="0" borderId="0" xfId="26" applyNumberFormat="1" applyFont="1" applyAlignment="1">
      <alignment horizontal="center" vertical="center"/>
    </xf>
    <xf numFmtId="3" fontId="13" fillId="0" borderId="10" xfId="26" applyNumberFormat="1" applyFont="1" applyBorder="1" applyAlignment="1">
      <alignment horizontal="center"/>
    </xf>
    <xf numFmtId="3" fontId="11" fillId="0" borderId="10" xfId="26" applyNumberFormat="1" applyFont="1" applyBorder="1" applyAlignment="1">
      <alignment horizontal="center"/>
    </xf>
    <xf numFmtId="3" fontId="13" fillId="0" borderId="10" xfId="26" applyNumberFormat="1" applyFont="1" applyBorder="1" applyAlignment="1">
      <alignment wrapText="1"/>
    </xf>
    <xf numFmtId="3" fontId="13" fillId="0" borderId="0" xfId="26" applyNumberFormat="1" applyFont="1"/>
    <xf numFmtId="49" fontId="11" fillId="0" borderId="4" xfId="26" applyNumberFormat="1" applyFont="1" applyBorder="1" applyAlignment="1">
      <alignment horizontal="center"/>
    </xf>
    <xf numFmtId="3" fontId="11" fillId="0" borderId="0" xfId="26" applyNumberFormat="1" applyFont="1" applyAlignment="1">
      <alignment horizontal="center"/>
    </xf>
    <xf numFmtId="3" fontId="11" fillId="0" borderId="0" xfId="26" applyNumberFormat="1" applyFont="1" applyAlignment="1">
      <alignment horizontal="left" indent="2"/>
    </xf>
    <xf numFmtId="3" fontId="13" fillId="0" borderId="8" xfId="26" applyNumberFormat="1" applyFont="1" applyBorder="1" applyAlignment="1">
      <alignment horizontal="center"/>
    </xf>
    <xf numFmtId="3" fontId="11" fillId="0" borderId="8" xfId="26" applyNumberFormat="1" applyFont="1" applyBorder="1" applyAlignment="1">
      <alignment horizontal="center"/>
    </xf>
    <xf numFmtId="3" fontId="13" fillId="0" borderId="8" xfId="26" applyNumberFormat="1" applyFont="1" applyBorder="1"/>
    <xf numFmtId="3" fontId="13" fillId="0" borderId="0" xfId="26" applyNumberFormat="1" applyFont="1" applyAlignment="1">
      <alignment horizontal="center"/>
    </xf>
    <xf numFmtId="3" fontId="14" fillId="0" borderId="0" xfId="26" applyNumberFormat="1" applyFont="1" applyAlignment="1">
      <alignment horizontal="center"/>
    </xf>
    <xf numFmtId="3" fontId="14" fillId="0" borderId="0" xfId="26" applyNumberFormat="1" applyFont="1" applyAlignment="1">
      <alignment horizontal="left" indent="2"/>
    </xf>
    <xf numFmtId="3" fontId="14" fillId="0" borderId="0" xfId="26" applyNumberFormat="1" applyFont="1"/>
    <xf numFmtId="3" fontId="11" fillId="0" borderId="0" xfId="26" applyNumberFormat="1" applyFont="1" applyAlignment="1">
      <alignment horizontal="left" indent="3"/>
    </xf>
    <xf numFmtId="3" fontId="13" fillId="0" borderId="0" xfId="26" applyNumberFormat="1" applyFont="1" applyAlignment="1">
      <alignment horizontal="center" vertical="center"/>
    </xf>
    <xf numFmtId="3" fontId="13" fillId="0" borderId="0" xfId="26" applyNumberFormat="1" applyFont="1" applyAlignment="1">
      <alignment vertical="center"/>
    </xf>
    <xf numFmtId="3" fontId="11" fillId="0" borderId="0" xfId="26" applyNumberFormat="1" applyFont="1" applyAlignment="1">
      <alignment horizontal="left"/>
    </xf>
    <xf numFmtId="49" fontId="11" fillId="0" borderId="4" xfId="26" applyNumberFormat="1" applyFont="1" applyBorder="1" applyAlignment="1">
      <alignment horizontal="center" vertical="top"/>
    </xf>
    <xf numFmtId="3" fontId="11" fillId="0" borderId="0" xfId="26" applyNumberFormat="1" applyFont="1" applyAlignment="1">
      <alignment horizontal="center" vertical="top"/>
    </xf>
    <xf numFmtId="3" fontId="11" fillId="0" borderId="0" xfId="26" applyNumberFormat="1" applyFont="1" applyAlignment="1">
      <alignment vertical="top"/>
    </xf>
    <xf numFmtId="49" fontId="11" fillId="0" borderId="11" xfId="26" applyNumberFormat="1" applyFont="1" applyBorder="1" applyAlignment="1">
      <alignment horizontal="center" vertical="center"/>
    </xf>
    <xf numFmtId="3" fontId="13" fillId="0" borderId="12" xfId="26" applyNumberFormat="1" applyFont="1" applyBorder="1" applyAlignment="1">
      <alignment horizontal="center" vertical="center"/>
    </xf>
    <xf numFmtId="3" fontId="11" fillId="0" borderId="12" xfId="26" applyNumberFormat="1" applyFont="1" applyBorder="1" applyAlignment="1">
      <alignment horizontal="center" vertical="center"/>
    </xf>
    <xf numFmtId="3" fontId="13" fillId="0" borderId="12" xfId="26" applyNumberFormat="1" applyFont="1" applyBorder="1" applyAlignment="1">
      <alignment vertical="center"/>
    </xf>
    <xf numFmtId="3" fontId="11" fillId="0" borderId="0" xfId="26" applyNumberFormat="1" applyFont="1" applyAlignment="1">
      <alignment horizontal="left" indent="1"/>
    </xf>
    <xf numFmtId="3" fontId="11" fillId="0" borderId="0" xfId="26" applyNumberFormat="1" applyFont="1" applyAlignment="1">
      <alignment horizontal="left" vertical="top" indent="1"/>
    </xf>
    <xf numFmtId="49" fontId="11" fillId="0" borderId="0" xfId="26" applyNumberFormat="1" applyFont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 vertical="top"/>
    </xf>
    <xf numFmtId="0" fontId="11" fillId="0" borderId="0" xfId="0" applyFont="1" applyAlignment="1">
      <alignment vertical="top"/>
    </xf>
    <xf numFmtId="164" fontId="14" fillId="0" borderId="6" xfId="0" applyNumberFormat="1" applyFont="1" applyBorder="1" applyAlignment="1">
      <alignment horizontal="left" vertical="center" wrapText="1" indent="3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4" fontId="15" fillId="0" borderId="18" xfId="0" applyNumberFormat="1" applyFont="1" applyBorder="1" applyAlignment="1">
      <alignment horizontal="center"/>
    </xf>
    <xf numFmtId="4" fontId="15" fillId="0" borderId="18" xfId="0" applyNumberFormat="1" applyFont="1" applyBorder="1" applyAlignment="1">
      <alignment horizontal="center" vertical="center"/>
    </xf>
    <xf numFmtId="4" fontId="19" fillId="0" borderId="19" xfId="0" applyNumberFormat="1" applyFont="1" applyBorder="1" applyAlignment="1">
      <alignment horizontal="center" vertical="center"/>
    </xf>
    <xf numFmtId="4" fontId="15" fillId="0" borderId="18" xfId="0" applyNumberFormat="1" applyFont="1" applyBorder="1" applyAlignment="1">
      <alignment horizontal="center" vertical="center" wrapText="1"/>
    </xf>
    <xf numFmtId="4" fontId="15" fillId="0" borderId="18" xfId="0" applyNumberFormat="1" applyFont="1" applyBorder="1" applyAlignment="1">
      <alignment horizontal="center" vertical="top" wrapText="1"/>
    </xf>
    <xf numFmtId="4" fontId="15" fillId="0" borderId="19" xfId="0" applyNumberFormat="1" applyFont="1" applyBorder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3" fillId="0" borderId="0" xfId="0" applyFont="1"/>
    <xf numFmtId="3" fontId="20" fillId="0" borderId="0" xfId="0" applyNumberFormat="1" applyFont="1" applyAlignment="1">
      <alignment horizontal="right" vertical="center"/>
    </xf>
    <xf numFmtId="3" fontId="15" fillId="0" borderId="0" xfId="0" applyNumberFormat="1" applyFont="1"/>
    <xf numFmtId="0" fontId="13" fillId="0" borderId="0" xfId="0" applyFont="1" applyAlignment="1">
      <alignment horizontal="center"/>
    </xf>
    <xf numFmtId="3" fontId="11" fillId="0" borderId="10" xfId="26" applyNumberFormat="1" applyFont="1" applyBorder="1" applyAlignment="1">
      <alignment horizontal="center" wrapText="1"/>
    </xf>
    <xf numFmtId="3" fontId="13" fillId="0" borderId="10" xfId="26" applyNumberFormat="1" applyFont="1" applyBorder="1" applyAlignment="1">
      <alignment horizontal="left" wrapText="1"/>
    </xf>
    <xf numFmtId="3" fontId="13" fillId="0" borderId="0" xfId="26" applyNumberFormat="1" applyFont="1" applyAlignment="1">
      <alignment horizontal="left"/>
    </xf>
    <xf numFmtId="3" fontId="13" fillId="0" borderId="0" xfId="26" applyNumberFormat="1" applyFont="1" applyAlignment="1">
      <alignment horizontal="left" wrapText="1"/>
    </xf>
    <xf numFmtId="3" fontId="11" fillId="0" borderId="0" xfId="26" applyNumberFormat="1" applyFont="1" applyAlignment="1">
      <alignment horizontal="center" wrapText="1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3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 vertical="top"/>
    </xf>
    <xf numFmtId="0" fontId="13" fillId="0" borderId="9" xfId="0" applyFont="1" applyBorder="1" applyAlignment="1">
      <alignment wrapText="1"/>
    </xf>
    <xf numFmtId="3" fontId="11" fillId="0" borderId="9" xfId="26" applyNumberFormat="1" applyFont="1" applyBorder="1" applyAlignment="1">
      <alignment horizontal="center" wrapText="1"/>
    </xf>
    <xf numFmtId="3" fontId="13" fillId="0" borderId="9" xfId="26" applyNumberFormat="1" applyFont="1" applyBorder="1" applyAlignment="1">
      <alignment horizontal="left" wrapText="1"/>
    </xf>
    <xf numFmtId="0" fontId="13" fillId="0" borderId="0" xfId="0" applyFont="1" applyAlignment="1">
      <alignment vertical="top" wrapText="1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0" fontId="13" fillId="0" borderId="29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3" fillId="0" borderId="29" xfId="0" applyFont="1" applyBorder="1" applyAlignment="1">
      <alignment vertical="center"/>
    </xf>
    <xf numFmtId="0" fontId="11" fillId="0" borderId="30" xfId="0" applyFont="1" applyBorder="1" applyAlignment="1">
      <alignment horizontal="center" vertical="center"/>
    </xf>
    <xf numFmtId="0" fontId="13" fillId="0" borderId="30" xfId="0" applyFont="1" applyBorder="1" applyAlignment="1">
      <alignment vertical="center"/>
    </xf>
    <xf numFmtId="0" fontId="13" fillId="0" borderId="8" xfId="0" applyFont="1" applyBorder="1" applyAlignment="1">
      <alignment vertical="center" shrinkToFit="1"/>
    </xf>
    <xf numFmtId="0" fontId="11" fillId="0" borderId="0" xfId="0" applyFont="1" applyAlignment="1">
      <alignment horizontal="left" indent="1"/>
    </xf>
    <xf numFmtId="0" fontId="11" fillId="0" borderId="9" xfId="0" applyFont="1" applyBorder="1" applyAlignment="1">
      <alignment horizontal="left" indent="1"/>
    </xf>
    <xf numFmtId="0" fontId="11" fillId="0" borderId="31" xfId="0" applyFont="1" applyBorder="1" applyAlignment="1">
      <alignment horizontal="center" vertical="center"/>
    </xf>
    <xf numFmtId="0" fontId="13" fillId="0" borderId="31" xfId="0" applyFont="1" applyBorder="1" applyAlignment="1">
      <alignment vertical="center"/>
    </xf>
    <xf numFmtId="3" fontId="18" fillId="0" borderId="0" xfId="0" applyNumberFormat="1" applyFont="1"/>
    <xf numFmtId="3" fontId="20" fillId="0" borderId="0" xfId="0" applyNumberFormat="1" applyFont="1" applyAlignment="1">
      <alignment horizontal="right"/>
    </xf>
    <xf numFmtId="3" fontId="11" fillId="0" borderId="0" xfId="29" applyNumberFormat="1" applyFont="1"/>
    <xf numFmtId="3" fontId="11" fillId="0" borderId="0" xfId="29" applyNumberFormat="1" applyFont="1" applyAlignment="1">
      <alignment horizontal="center"/>
    </xf>
    <xf numFmtId="14" fontId="11" fillId="0" borderId="0" xfId="29" applyNumberFormat="1" applyFont="1" applyAlignment="1">
      <alignment horizontal="center"/>
    </xf>
    <xf numFmtId="3" fontId="11" fillId="0" borderId="0" xfId="29" applyNumberFormat="1" applyFont="1" applyAlignment="1">
      <alignment horizontal="center" vertical="center" wrapText="1"/>
    </xf>
    <xf numFmtId="3" fontId="13" fillId="0" borderId="32" xfId="29" applyNumberFormat="1" applyFont="1" applyBorder="1" applyAlignment="1">
      <alignment horizontal="right" vertical="center"/>
    </xf>
    <xf numFmtId="3" fontId="11" fillId="0" borderId="33" xfId="29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3" fillId="0" borderId="34" xfId="26" applyNumberFormat="1" applyFont="1" applyBorder="1" applyAlignment="1">
      <alignment horizontal="center" vertical="center" wrapText="1"/>
    </xf>
    <xf numFmtId="3" fontId="13" fillId="0" borderId="35" xfId="26" applyNumberFormat="1" applyFont="1" applyBorder="1" applyAlignment="1">
      <alignment horizontal="right" wrapText="1"/>
    </xf>
    <xf numFmtId="3" fontId="13" fillId="0" borderId="35" xfId="0" applyNumberFormat="1" applyFont="1" applyBorder="1" applyAlignment="1">
      <alignment horizontal="right"/>
    </xf>
    <xf numFmtId="3" fontId="11" fillId="0" borderId="35" xfId="0" applyNumberFormat="1" applyFont="1" applyBorder="1" applyAlignment="1">
      <alignment horizontal="right"/>
    </xf>
    <xf numFmtId="3" fontId="13" fillId="0" borderId="36" xfId="0" applyNumberFormat="1" applyFont="1" applyBorder="1" applyAlignment="1">
      <alignment horizontal="right" vertical="center"/>
    </xf>
    <xf numFmtId="3" fontId="11" fillId="0" borderId="37" xfId="0" applyNumberFormat="1" applyFont="1" applyBorder="1" applyAlignment="1">
      <alignment horizontal="right"/>
    </xf>
    <xf numFmtId="3" fontId="13" fillId="0" borderId="39" xfId="26" applyNumberFormat="1" applyFont="1" applyBorder="1"/>
    <xf numFmtId="3" fontId="11" fillId="0" borderId="35" xfId="26" applyNumberFormat="1" applyFont="1" applyBorder="1"/>
    <xf numFmtId="3" fontId="13" fillId="0" borderId="36" xfId="26" applyNumberFormat="1" applyFont="1" applyBorder="1"/>
    <xf numFmtId="3" fontId="13" fillId="0" borderId="35" xfId="26" applyNumberFormat="1" applyFont="1" applyBorder="1"/>
    <xf numFmtId="3" fontId="14" fillId="0" borderId="35" xfId="26" applyNumberFormat="1" applyFont="1" applyBorder="1"/>
    <xf numFmtId="3" fontId="13" fillId="0" borderId="35" xfId="26" applyNumberFormat="1" applyFont="1" applyBorder="1" applyAlignment="1">
      <alignment vertical="center"/>
    </xf>
    <xf numFmtId="3" fontId="11" fillId="0" borderId="35" xfId="26" applyNumberFormat="1" applyFont="1" applyBorder="1" applyAlignment="1">
      <alignment vertical="top"/>
    </xf>
    <xf numFmtId="3" fontId="13" fillId="0" borderId="34" xfId="26" applyNumberFormat="1" applyFont="1" applyBorder="1" applyAlignment="1">
      <alignment vertical="center"/>
    </xf>
    <xf numFmtId="3" fontId="11" fillId="0" borderId="0" xfId="26" applyNumberFormat="1" applyFont="1" applyAlignment="1">
      <alignment horizontal="center" vertical="top" wrapText="1"/>
    </xf>
    <xf numFmtId="0" fontId="19" fillId="0" borderId="0" xfId="0" applyFont="1" applyAlignment="1">
      <alignment horizontal="center"/>
    </xf>
    <xf numFmtId="3" fontId="11" fillId="0" borderId="50" xfId="26" applyNumberFormat="1" applyFont="1" applyBorder="1" applyAlignment="1">
      <alignment horizontal="center" textRotation="90" wrapText="1"/>
    </xf>
    <xf numFmtId="3" fontId="11" fillId="0" borderId="4" xfId="26" applyNumberFormat="1" applyFont="1" applyBorder="1" applyAlignment="1">
      <alignment horizontal="center" wrapText="1"/>
    </xf>
    <xf numFmtId="49" fontId="11" fillId="0" borderId="4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11" fillId="0" borderId="4" xfId="0" applyNumberFormat="1" applyFont="1" applyBorder="1" applyAlignment="1">
      <alignment horizontal="center" vertical="top"/>
    </xf>
    <xf numFmtId="3" fontId="11" fillId="0" borderId="51" xfId="26" applyNumberFormat="1" applyFont="1" applyBorder="1" applyAlignment="1">
      <alignment horizontal="center" textRotation="90" wrapText="1"/>
    </xf>
    <xf numFmtId="0" fontId="11" fillId="0" borderId="52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49" fontId="11" fillId="0" borderId="50" xfId="26" applyNumberFormat="1" applyFont="1" applyBorder="1" applyAlignment="1">
      <alignment horizontal="center"/>
    </xf>
    <xf numFmtId="49" fontId="11" fillId="0" borderId="51" xfId="26" applyNumberFormat="1" applyFont="1" applyBorder="1" applyAlignment="1">
      <alignment horizontal="center"/>
    </xf>
    <xf numFmtId="49" fontId="14" fillId="0" borderId="4" xfId="26" applyNumberFormat="1" applyFont="1" applyBorder="1" applyAlignment="1">
      <alignment horizontal="center"/>
    </xf>
    <xf numFmtId="49" fontId="11" fillId="0" borderId="4" xfId="26" applyNumberFormat="1" applyFont="1" applyBorder="1" applyAlignment="1">
      <alignment horizontal="center" vertical="center"/>
    </xf>
    <xf numFmtId="3" fontId="18" fillId="0" borderId="38" xfId="26" applyNumberFormat="1" applyFont="1" applyBorder="1" applyAlignment="1">
      <alignment horizontal="center" vertical="center" wrapText="1"/>
    </xf>
    <xf numFmtId="3" fontId="11" fillId="0" borderId="55" xfId="26" applyNumberFormat="1" applyFont="1" applyBorder="1" applyAlignment="1">
      <alignment horizontal="center" vertical="center" textRotation="90" wrapText="1"/>
    </xf>
    <xf numFmtId="3" fontId="13" fillId="0" borderId="38" xfId="26" applyNumberFormat="1" applyFont="1" applyBorder="1" applyAlignment="1">
      <alignment horizontal="center" vertical="center" wrapText="1"/>
    </xf>
    <xf numFmtId="3" fontId="13" fillId="0" borderId="39" xfId="26" applyNumberFormat="1" applyFont="1" applyBorder="1" applyAlignment="1">
      <alignment horizontal="right" wrapText="1"/>
    </xf>
    <xf numFmtId="49" fontId="11" fillId="0" borderId="0" xfId="0" applyNumberFormat="1" applyFont="1"/>
    <xf numFmtId="49" fontId="13" fillId="0" borderId="0" xfId="0" applyNumberFormat="1" applyFont="1"/>
    <xf numFmtId="3" fontId="13" fillId="0" borderId="37" xfId="0" applyNumberFormat="1" applyFont="1" applyBorder="1" applyAlignment="1">
      <alignment horizontal="right"/>
    </xf>
    <xf numFmtId="3" fontId="13" fillId="0" borderId="57" xfId="0" applyNumberFormat="1" applyFont="1" applyBorder="1" applyAlignment="1">
      <alignment horizontal="right" vertical="center"/>
    </xf>
    <xf numFmtId="3" fontId="13" fillId="0" borderId="35" xfId="0" applyNumberFormat="1" applyFont="1" applyBorder="1" applyAlignment="1">
      <alignment horizontal="right" vertical="center"/>
    </xf>
    <xf numFmtId="3" fontId="13" fillId="0" borderId="58" xfId="0" applyNumberFormat="1" applyFont="1" applyBorder="1" applyAlignment="1">
      <alignment horizontal="right" vertical="center"/>
    </xf>
    <xf numFmtId="49" fontId="11" fillId="0" borderId="55" xfId="26" applyNumberFormat="1" applyFont="1" applyBorder="1" applyAlignment="1">
      <alignment horizontal="center" vertical="center" textRotation="90"/>
    </xf>
    <xf numFmtId="3" fontId="13" fillId="0" borderId="38" xfId="26" applyNumberFormat="1" applyFont="1" applyBorder="1" applyAlignment="1">
      <alignment horizontal="center" vertical="center"/>
    </xf>
    <xf numFmtId="0" fontId="11" fillId="0" borderId="0" xfId="34" applyFont="1"/>
    <xf numFmtId="0" fontId="11" fillId="0" borderId="16" xfId="34" applyFont="1" applyBorder="1" applyAlignment="1">
      <alignment horizontal="center" vertical="top"/>
    </xf>
    <xf numFmtId="0" fontId="11" fillId="0" borderId="16" xfId="28" applyFont="1" applyBorder="1" applyAlignment="1">
      <alignment wrapText="1"/>
    </xf>
    <xf numFmtId="0" fontId="11" fillId="0" borderId="0" xfId="34" applyFont="1" applyAlignment="1">
      <alignment vertical="center"/>
    </xf>
    <xf numFmtId="3" fontId="11" fillId="0" borderId="21" xfId="28" applyNumberFormat="1" applyFont="1" applyBorder="1" applyAlignment="1">
      <alignment horizontal="right"/>
    </xf>
    <xf numFmtId="3" fontId="11" fillId="0" borderId="22" xfId="34" applyNumberFormat="1" applyFont="1" applyBorder="1" applyAlignment="1">
      <alignment horizontal="right"/>
    </xf>
    <xf numFmtId="3" fontId="11" fillId="0" borderId="21" xfId="34" applyNumberFormat="1" applyFont="1" applyBorder="1" applyAlignment="1">
      <alignment horizontal="right"/>
    </xf>
    <xf numFmtId="0" fontId="11" fillId="0" borderId="0" xfId="34" applyFont="1" applyAlignment="1">
      <alignment horizontal="left"/>
    </xf>
    <xf numFmtId="3" fontId="11" fillId="0" borderId="16" xfId="34" applyNumberFormat="1" applyFont="1" applyBorder="1" applyAlignment="1">
      <alignment horizontal="right"/>
    </xf>
    <xf numFmtId="3" fontId="11" fillId="0" borderId="0" xfId="35" applyNumberFormat="1" applyFont="1" applyAlignment="1">
      <alignment horizontal="right"/>
    </xf>
    <xf numFmtId="3" fontId="11" fillId="0" borderId="0" xfId="35" applyNumberFormat="1" applyFont="1" applyAlignment="1">
      <alignment horizontal="right" wrapText="1"/>
    </xf>
    <xf numFmtId="3" fontId="20" fillId="0" borderId="16" xfId="27" applyNumberFormat="1" applyFont="1" applyBorder="1" applyAlignment="1">
      <alignment wrapText="1"/>
    </xf>
    <xf numFmtId="3" fontId="18" fillId="0" borderId="0" xfId="0" applyNumberFormat="1" applyFont="1" applyAlignment="1">
      <alignment horizontal="center"/>
    </xf>
    <xf numFmtId="0" fontId="11" fillId="0" borderId="16" xfId="34" applyFont="1" applyBorder="1" applyAlignment="1">
      <alignment horizontal="center"/>
    </xf>
    <xf numFmtId="4" fontId="11" fillId="0" borderId="2" xfId="0" applyNumberFormat="1" applyFont="1" applyBorder="1" applyAlignment="1">
      <alignment horizontal="center" vertical="center" wrapText="1"/>
    </xf>
    <xf numFmtId="4" fontId="11" fillId="0" borderId="0" xfId="0" applyNumberFormat="1" applyFont="1"/>
    <xf numFmtId="4" fontId="13" fillId="0" borderId="6" xfId="0" applyNumberFormat="1" applyFont="1" applyBorder="1" applyAlignment="1">
      <alignment vertical="center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3" fontId="11" fillId="0" borderId="71" xfId="0" applyNumberFormat="1" applyFont="1" applyBorder="1"/>
    <xf numFmtId="0" fontId="13" fillId="0" borderId="8" xfId="0" applyFont="1" applyBorder="1" applyAlignment="1">
      <alignment horizontal="left" vertical="center"/>
    </xf>
    <xf numFmtId="3" fontId="13" fillId="0" borderId="73" xfId="0" applyNumberFormat="1" applyFont="1" applyBorder="1" applyAlignment="1">
      <alignment vertical="center"/>
    </xf>
    <xf numFmtId="3" fontId="13" fillId="0" borderId="75" xfId="0" applyNumberFormat="1" applyFont="1" applyBorder="1" applyAlignment="1">
      <alignment horizontal="right" vertical="center"/>
    </xf>
    <xf numFmtId="3" fontId="11" fillId="0" borderId="71" xfId="0" applyNumberFormat="1" applyFont="1" applyBorder="1" applyAlignment="1">
      <alignment horizontal="right"/>
    </xf>
    <xf numFmtId="3" fontId="11" fillId="0" borderId="76" xfId="0" applyNumberFormat="1" applyFont="1" applyBorder="1" applyAlignment="1">
      <alignment horizontal="right"/>
    </xf>
    <xf numFmtId="0" fontId="13" fillId="0" borderId="29" xfId="0" applyFont="1" applyBorder="1" applyAlignment="1">
      <alignment horizontal="left" vertical="center"/>
    </xf>
    <xf numFmtId="3" fontId="13" fillId="0" borderId="78" xfId="0" applyNumberFormat="1" applyFont="1" applyBorder="1" applyAlignment="1">
      <alignment horizontal="right" vertical="center"/>
    </xf>
    <xf numFmtId="0" fontId="13" fillId="0" borderId="80" xfId="0" applyFont="1" applyBorder="1" applyAlignment="1">
      <alignment horizontal="center" vertical="center"/>
    </xf>
    <xf numFmtId="0" fontId="11" fillId="0" borderId="29" xfId="0" applyFont="1" applyBorder="1" applyAlignment="1">
      <alignment vertical="center"/>
    </xf>
    <xf numFmtId="0" fontId="13" fillId="0" borderId="83" xfId="0" applyFont="1" applyBorder="1" applyAlignment="1">
      <alignment horizontal="left" vertical="center"/>
    </xf>
    <xf numFmtId="0" fontId="13" fillId="0" borderId="84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/>
    </xf>
    <xf numFmtId="0" fontId="11" fillId="0" borderId="6" xfId="0" applyFont="1" applyBorder="1"/>
    <xf numFmtId="3" fontId="13" fillId="0" borderId="71" xfId="0" applyNumberFormat="1" applyFont="1" applyBorder="1" applyAlignment="1">
      <alignment horizontal="right"/>
    </xf>
    <xf numFmtId="3" fontId="13" fillId="0" borderId="88" xfId="0" applyNumberFormat="1" applyFont="1" applyBorder="1" applyAlignment="1">
      <alignment horizontal="right" vertical="center"/>
    </xf>
    <xf numFmtId="3" fontId="11" fillId="0" borderId="71" xfId="0" applyNumberFormat="1" applyFont="1" applyBorder="1" applyAlignment="1">
      <alignment horizontal="right" vertical="center"/>
    </xf>
    <xf numFmtId="3" fontId="11" fillId="0" borderId="88" xfId="0" applyNumberFormat="1" applyFont="1" applyBorder="1" applyAlignment="1">
      <alignment horizontal="right" vertical="center"/>
    </xf>
    <xf numFmtId="3" fontId="13" fillId="0" borderId="89" xfId="0" applyNumberFormat="1" applyFont="1" applyBorder="1" applyAlignment="1">
      <alignment horizontal="right" vertical="center"/>
    </xf>
    <xf numFmtId="3" fontId="13" fillId="0" borderId="71" xfId="0" applyNumberFormat="1" applyFont="1" applyBorder="1" applyAlignment="1">
      <alignment horizontal="right" vertical="center"/>
    </xf>
    <xf numFmtId="3" fontId="13" fillId="0" borderId="90" xfId="0" applyNumberFormat="1" applyFont="1" applyBorder="1" applyAlignment="1">
      <alignment horizontal="right" vertical="center"/>
    </xf>
    <xf numFmtId="165" fontId="11" fillId="0" borderId="71" xfId="36" applyNumberFormat="1" applyFont="1" applyFill="1" applyBorder="1" applyAlignment="1">
      <alignment horizontal="right"/>
    </xf>
    <xf numFmtId="165" fontId="11" fillId="0" borderId="91" xfId="36" applyNumberFormat="1" applyFont="1" applyFill="1" applyBorder="1" applyAlignment="1">
      <alignment horizontal="right"/>
    </xf>
    <xf numFmtId="3" fontId="11" fillId="0" borderId="76" xfId="0" applyNumberFormat="1" applyFont="1" applyBorder="1" applyAlignment="1">
      <alignment horizontal="right" vertical="center" textRotation="180"/>
    </xf>
    <xf numFmtId="3" fontId="13" fillId="0" borderId="92" xfId="0" applyNumberFormat="1" applyFont="1" applyBorder="1" applyAlignment="1">
      <alignment horizontal="right" vertical="center"/>
    </xf>
    <xf numFmtId="3" fontId="11" fillId="0" borderId="76" xfId="0" applyNumberFormat="1" applyFont="1" applyBorder="1" applyAlignment="1">
      <alignment horizontal="right" vertical="center"/>
    </xf>
    <xf numFmtId="3" fontId="11" fillId="0" borderId="78" xfId="0" applyNumberFormat="1" applyFont="1" applyBorder="1" applyAlignment="1">
      <alignment horizontal="right" vertical="center"/>
    </xf>
    <xf numFmtId="3" fontId="11" fillId="0" borderId="93" xfId="0" applyNumberFormat="1" applyFont="1" applyBorder="1" applyAlignment="1">
      <alignment horizontal="right" vertical="center"/>
    </xf>
    <xf numFmtId="165" fontId="11" fillId="0" borderId="76" xfId="36" applyNumberFormat="1" applyFont="1" applyFill="1" applyBorder="1" applyAlignment="1">
      <alignment horizontal="right"/>
    </xf>
    <xf numFmtId="165" fontId="11" fillId="0" borderId="27" xfId="36" applyNumberFormat="1" applyFont="1" applyFill="1" applyBorder="1" applyAlignment="1">
      <alignment horizontal="right"/>
    </xf>
    <xf numFmtId="0" fontId="11" fillId="0" borderId="96" xfId="0" applyFont="1" applyBorder="1" applyAlignment="1">
      <alignment horizontal="center" vertical="center"/>
    </xf>
    <xf numFmtId="164" fontId="13" fillId="0" borderId="94" xfId="0" applyNumberFormat="1" applyFont="1" applyBorder="1" applyAlignment="1">
      <alignment vertical="center" wrapText="1"/>
    </xf>
    <xf numFmtId="4" fontId="13" fillId="0" borderId="94" xfId="0" applyNumberFormat="1" applyFont="1" applyBorder="1" applyAlignment="1">
      <alignment vertical="center"/>
    </xf>
    <xf numFmtId="4" fontId="19" fillId="0" borderId="97" xfId="0" applyNumberFormat="1" applyFont="1" applyBorder="1" applyAlignment="1">
      <alignment horizontal="center" vertical="center"/>
    </xf>
    <xf numFmtId="0" fontId="11" fillId="0" borderId="98" xfId="0" applyFont="1" applyBorder="1" applyAlignment="1">
      <alignment horizontal="center"/>
    </xf>
    <xf numFmtId="0" fontId="13" fillId="0" borderId="8" xfId="0" applyFont="1" applyBorder="1" applyAlignment="1">
      <alignment vertical="center"/>
    </xf>
    <xf numFmtId="0" fontId="11" fillId="0" borderId="9" xfId="0" applyFont="1" applyBorder="1" applyAlignment="1">
      <alignment horizontal="left" wrapText="1" indent="1"/>
    </xf>
    <xf numFmtId="3" fontId="13" fillId="0" borderId="104" xfId="26" applyNumberFormat="1" applyFont="1" applyBorder="1" applyAlignment="1">
      <alignment horizontal="right" wrapText="1"/>
    </xf>
    <xf numFmtId="49" fontId="15" fillId="0" borderId="18" xfId="0" applyNumberFormat="1" applyFont="1" applyBorder="1" applyAlignment="1">
      <alignment horizontal="center" wrapText="1"/>
    </xf>
    <xf numFmtId="3" fontId="11" fillId="0" borderId="0" xfId="15" applyNumberFormat="1" applyFont="1" applyAlignment="1">
      <alignment horizontal="right"/>
    </xf>
    <xf numFmtId="0" fontId="11" fillId="0" borderId="0" xfId="15" applyFont="1"/>
    <xf numFmtId="3" fontId="11" fillId="0" borderId="106" xfId="29" applyNumberFormat="1" applyFont="1" applyBorder="1" applyAlignment="1">
      <alignment horizontal="center" vertical="center" wrapText="1"/>
    </xf>
    <xf numFmtId="3" fontId="11" fillId="0" borderId="107" xfId="29" applyNumberFormat="1" applyFont="1" applyBorder="1" applyAlignment="1">
      <alignment horizontal="right" vertical="center" wrapText="1"/>
    </xf>
    <xf numFmtId="4" fontId="11" fillId="0" borderId="109" xfId="0" applyNumberFormat="1" applyFont="1" applyBorder="1" applyAlignment="1">
      <alignment vertical="center"/>
    </xf>
    <xf numFmtId="4" fontId="15" fillId="0" borderId="110" xfId="0" applyNumberFormat="1" applyFont="1" applyBorder="1" applyAlignment="1">
      <alignment horizontal="center" vertical="center"/>
    </xf>
    <xf numFmtId="3" fontId="11" fillId="0" borderId="0" xfId="26" applyNumberFormat="1" applyFont="1" applyAlignment="1">
      <alignment horizontal="left" wrapText="1" indent="3"/>
    </xf>
    <xf numFmtId="3" fontId="11" fillId="0" borderId="35" xfId="26" applyNumberFormat="1" applyFont="1" applyBorder="1" applyAlignment="1">
      <alignment vertical="center"/>
    </xf>
    <xf numFmtId="3" fontId="18" fillId="0" borderId="0" xfId="34" applyNumberFormat="1" applyFont="1" applyAlignment="1">
      <alignment horizontal="right"/>
    </xf>
    <xf numFmtId="0" fontId="18" fillId="0" borderId="0" xfId="34" applyFont="1"/>
    <xf numFmtId="3" fontId="20" fillId="0" borderId="0" xfId="34" applyNumberFormat="1" applyFont="1" applyAlignment="1">
      <alignment horizontal="right"/>
    </xf>
    <xf numFmtId="0" fontId="18" fillId="0" borderId="0" xfId="34" applyFont="1" applyAlignment="1">
      <alignment horizontal="center"/>
    </xf>
    <xf numFmtId="3" fontId="11" fillId="0" borderId="0" xfId="15" applyNumberFormat="1" applyFont="1" applyAlignment="1">
      <alignment horizontal="center"/>
    </xf>
    <xf numFmtId="3" fontId="11" fillId="0" borderId="0" xfId="34" applyNumberFormat="1" applyFont="1" applyAlignment="1">
      <alignment horizontal="center" wrapText="1"/>
    </xf>
    <xf numFmtId="3" fontId="11" fillId="0" borderId="7" xfId="34" applyNumberFormat="1" applyFont="1" applyBorder="1" applyAlignment="1">
      <alignment horizontal="center" vertical="center" wrapText="1"/>
    </xf>
    <xf numFmtId="3" fontId="11" fillId="0" borderId="5" xfId="34" applyNumberFormat="1" applyFont="1" applyBorder="1" applyAlignment="1">
      <alignment horizontal="center" vertical="center" wrapText="1"/>
    </xf>
    <xf numFmtId="0" fontId="13" fillId="0" borderId="23" xfId="34" applyFont="1" applyBorder="1" applyAlignment="1">
      <alignment horizontal="center"/>
    </xf>
    <xf numFmtId="0" fontId="13" fillId="0" borderId="0" xfId="34" applyFont="1"/>
    <xf numFmtId="3" fontId="11" fillId="0" borderId="122" xfId="34" applyNumberFormat="1" applyFont="1" applyBorder="1" applyAlignment="1">
      <alignment horizontal="right"/>
    </xf>
    <xf numFmtId="3" fontId="11" fillId="0" borderId="123" xfId="34" applyNumberFormat="1" applyFont="1" applyBorder="1" applyAlignment="1">
      <alignment horizontal="right"/>
    </xf>
    <xf numFmtId="3" fontId="11" fillId="0" borderId="0" xfId="15" applyNumberFormat="1" applyFont="1" applyAlignment="1">
      <alignment horizontal="left"/>
    </xf>
    <xf numFmtId="3" fontId="34" fillId="0" borderId="0" xfId="15" applyNumberFormat="1" applyFont="1" applyAlignment="1">
      <alignment horizontal="left"/>
    </xf>
    <xf numFmtId="0" fontId="13" fillId="0" borderId="15" xfId="34" applyFont="1" applyBorder="1" applyAlignment="1">
      <alignment horizontal="center"/>
    </xf>
    <xf numFmtId="0" fontId="31" fillId="0" borderId="21" xfId="34" applyFont="1" applyBorder="1" applyAlignment="1">
      <alignment horizontal="left"/>
    </xf>
    <xf numFmtId="3" fontId="18" fillId="0" borderId="0" xfId="34" applyNumberFormat="1" applyFont="1" applyAlignment="1">
      <alignment horizontal="center" vertical="center"/>
    </xf>
    <xf numFmtId="3" fontId="13" fillId="0" borderId="0" xfId="34" applyNumberFormat="1" applyFont="1" applyAlignment="1">
      <alignment horizontal="right"/>
    </xf>
    <xf numFmtId="3" fontId="13" fillId="0" borderId="0" xfId="35" applyNumberFormat="1" applyFont="1" applyAlignment="1">
      <alignment horizontal="right"/>
    </xf>
    <xf numFmtId="3" fontId="11" fillId="0" borderId="0" xfId="26" applyNumberFormat="1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0" applyFont="1"/>
    <xf numFmtId="0" fontId="15" fillId="0" borderId="6" xfId="0" applyFont="1" applyBorder="1" applyAlignment="1">
      <alignment horizontal="center"/>
    </xf>
    <xf numFmtId="3" fontId="15" fillId="0" borderId="6" xfId="0" applyNumberFormat="1" applyFont="1" applyBorder="1" applyAlignment="1">
      <alignment horizontal="center"/>
    </xf>
    <xf numFmtId="0" fontId="15" fillId="0" borderId="0" xfId="0" applyFont="1"/>
    <xf numFmtId="3" fontId="18" fillId="0" borderId="0" xfId="0" applyNumberFormat="1" applyFont="1" applyAlignment="1">
      <alignment horizontal="right"/>
    </xf>
    <xf numFmtId="3" fontId="15" fillId="0" borderId="0" xfId="26" applyNumberFormat="1" applyFont="1" applyAlignment="1">
      <alignment horizontal="center" vertical="center"/>
    </xf>
    <xf numFmtId="3" fontId="15" fillId="0" borderId="0" xfId="26" applyNumberFormat="1" applyFont="1" applyAlignment="1">
      <alignment horizontal="center"/>
    </xf>
    <xf numFmtId="3" fontId="19" fillId="0" borderId="0" xfId="26" applyNumberFormat="1" applyFont="1" applyAlignment="1">
      <alignment horizontal="center" vertical="center"/>
    </xf>
    <xf numFmtId="3" fontId="11" fillId="0" borderId="0" xfId="34" applyNumberFormat="1" applyFont="1" applyAlignment="1">
      <alignment horizontal="right"/>
    </xf>
    <xf numFmtId="0" fontId="11" fillId="0" borderId="0" xfId="34" applyFont="1" applyAlignment="1">
      <alignment horizontal="center"/>
    </xf>
    <xf numFmtId="3" fontId="30" fillId="0" borderId="41" xfId="27" applyNumberFormat="1" applyFont="1" applyBorder="1" applyAlignment="1">
      <alignment horizontal="left"/>
    </xf>
    <xf numFmtId="3" fontId="18" fillId="0" borderId="0" xfId="34" applyNumberFormat="1" applyFont="1" applyAlignment="1">
      <alignment horizontal="center" wrapText="1"/>
    </xf>
    <xf numFmtId="3" fontId="21" fillId="0" borderId="0" xfId="34" applyNumberFormat="1" applyFont="1" applyAlignment="1">
      <alignment horizontal="right"/>
    </xf>
    <xf numFmtId="0" fontId="15" fillId="0" borderId="0" xfId="34" applyFont="1" applyAlignment="1">
      <alignment horizontal="center"/>
    </xf>
    <xf numFmtId="0" fontId="15" fillId="0" borderId="0" xfId="35" applyFont="1" applyAlignment="1">
      <alignment horizontal="center" wrapText="1"/>
    </xf>
    <xf numFmtId="3" fontId="15" fillId="0" borderId="0" xfId="35" applyNumberFormat="1" applyFont="1" applyAlignment="1">
      <alignment horizontal="center"/>
    </xf>
    <xf numFmtId="3" fontId="11" fillId="0" borderId="118" xfId="29" applyNumberFormat="1" applyFont="1" applyBorder="1" applyAlignment="1">
      <alignment horizontal="left"/>
    </xf>
    <xf numFmtId="3" fontId="39" fillId="0" borderId="125" xfId="28" applyNumberFormat="1" applyFont="1" applyBorder="1" applyAlignment="1">
      <alignment horizontal="right" wrapText="1"/>
    </xf>
    <xf numFmtId="3" fontId="39" fillId="0" borderId="16" xfId="28" applyNumberFormat="1" applyFont="1" applyBorder="1" applyAlignment="1">
      <alignment horizontal="right" wrapText="1"/>
    </xf>
    <xf numFmtId="0" fontId="39" fillId="0" borderId="108" xfId="28" applyFont="1" applyBorder="1"/>
    <xf numFmtId="3" fontId="11" fillId="0" borderId="19" xfId="34" applyNumberFormat="1" applyFont="1" applyBorder="1" applyAlignment="1">
      <alignment horizontal="center" vertical="center" wrapText="1"/>
    </xf>
    <xf numFmtId="0" fontId="11" fillId="0" borderId="62" xfId="34" applyFont="1" applyBorder="1" applyAlignment="1">
      <alignment horizontal="center" wrapText="1"/>
    </xf>
    <xf numFmtId="0" fontId="11" fillId="0" borderId="46" xfId="34" applyFont="1" applyBorder="1" applyAlignment="1">
      <alignment horizontal="center" wrapText="1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3" fontId="18" fillId="0" borderId="0" xfId="29" applyNumberFormat="1" applyFont="1"/>
    <xf numFmtId="3" fontId="18" fillId="0" borderId="0" xfId="29" applyNumberFormat="1" applyFont="1" applyAlignment="1">
      <alignment horizontal="center"/>
    </xf>
    <xf numFmtId="3" fontId="18" fillId="0" borderId="0" xfId="29" applyNumberFormat="1" applyFont="1" applyAlignment="1">
      <alignment horizontal="left" wrapText="1"/>
    </xf>
    <xf numFmtId="14" fontId="18" fillId="0" borderId="0" xfId="29" applyNumberFormat="1" applyFont="1" applyAlignment="1">
      <alignment horizontal="center"/>
    </xf>
    <xf numFmtId="3" fontId="40" fillId="0" borderId="113" xfId="28" applyNumberFormat="1" applyFont="1" applyBorder="1" applyAlignment="1">
      <alignment horizontal="right" wrapText="1"/>
    </xf>
    <xf numFmtId="3" fontId="40" fillId="0" borderId="102" xfId="28" applyNumberFormat="1" applyFont="1" applyBorder="1" applyAlignment="1">
      <alignment horizontal="right" wrapText="1"/>
    </xf>
    <xf numFmtId="3" fontId="39" fillId="0" borderId="126" xfId="28" applyNumberFormat="1" applyFont="1" applyBorder="1" applyAlignment="1">
      <alignment horizontal="right" wrapText="1"/>
    </xf>
    <xf numFmtId="0" fontId="11" fillId="0" borderId="137" xfId="34" applyFont="1" applyBorder="1" applyAlignment="1">
      <alignment horizontal="center" wrapText="1"/>
    </xf>
    <xf numFmtId="3" fontId="18" fillId="0" borderId="0" xfId="29" applyNumberFormat="1" applyFont="1" applyAlignment="1">
      <alignment horizontal="center" wrapText="1"/>
    </xf>
    <xf numFmtId="3" fontId="18" fillId="0" borderId="18" xfId="29" applyNumberFormat="1" applyFont="1" applyBorder="1" applyAlignment="1">
      <alignment horizontal="center" vertical="center" wrapText="1"/>
    </xf>
    <xf numFmtId="3" fontId="11" fillId="0" borderId="152" xfId="29" applyNumberFormat="1" applyFont="1" applyBorder="1" applyAlignment="1">
      <alignment horizontal="center" vertical="center" wrapText="1"/>
    </xf>
    <xf numFmtId="3" fontId="11" fillId="0" borderId="107" xfId="29" applyNumberFormat="1" applyFont="1" applyBorder="1" applyAlignment="1">
      <alignment horizontal="center" vertical="center" wrapText="1"/>
    </xf>
    <xf numFmtId="3" fontId="18" fillId="0" borderId="0" xfId="29" applyNumberFormat="1" applyFont="1" applyAlignment="1">
      <alignment horizontal="center" vertical="center" wrapText="1"/>
    </xf>
    <xf numFmtId="3" fontId="11" fillId="0" borderId="4" xfId="29" applyNumberFormat="1" applyFont="1" applyBorder="1" applyAlignment="1">
      <alignment horizontal="center" wrapText="1"/>
    </xf>
    <xf numFmtId="3" fontId="31" fillId="0" borderId="65" xfId="29" applyNumberFormat="1" applyFont="1" applyBorder="1" applyAlignment="1">
      <alignment horizontal="left"/>
    </xf>
    <xf numFmtId="3" fontId="11" fillId="0" borderId="64" xfId="29" applyNumberFormat="1" applyFont="1" applyBorder="1" applyAlignment="1">
      <alignment horizontal="center" wrapText="1"/>
    </xf>
    <xf numFmtId="3" fontId="11" fillId="0" borderId="153" xfId="29" applyNumberFormat="1" applyFont="1" applyBorder="1" applyAlignment="1">
      <alignment horizontal="center" vertical="center" wrapText="1"/>
    </xf>
    <xf numFmtId="3" fontId="11" fillId="0" borderId="154" xfId="29" applyNumberFormat="1" applyFont="1" applyBorder="1" applyAlignment="1">
      <alignment horizontal="center" vertical="center" wrapText="1"/>
    </xf>
    <xf numFmtId="3" fontId="11" fillId="0" borderId="46" xfId="29" applyNumberFormat="1" applyFont="1" applyBorder="1" applyAlignment="1">
      <alignment horizontal="right" vertical="center" wrapText="1"/>
    </xf>
    <xf numFmtId="3" fontId="11" fillId="0" borderId="16" xfId="29" applyNumberFormat="1" applyFont="1" applyBorder="1" applyAlignment="1">
      <alignment horizontal="right" vertical="center" wrapText="1"/>
    </xf>
    <xf numFmtId="3" fontId="11" fillId="0" borderId="125" xfId="29" applyNumberFormat="1" applyFont="1" applyBorder="1" applyAlignment="1">
      <alignment horizontal="right" vertical="center" wrapText="1"/>
    </xf>
    <xf numFmtId="3" fontId="11" fillId="0" borderId="17" xfId="29" applyNumberFormat="1" applyFont="1" applyBorder="1" applyAlignment="1">
      <alignment horizontal="right" vertical="center" wrapText="1"/>
    </xf>
    <xf numFmtId="3" fontId="11" fillId="0" borderId="16" xfId="29" applyNumberFormat="1" applyFont="1" applyBorder="1" applyAlignment="1">
      <alignment horizontal="center" vertical="top" wrapText="1"/>
    </xf>
    <xf numFmtId="3" fontId="13" fillId="0" borderId="127" xfId="29" applyNumberFormat="1" applyFont="1" applyBorder="1" applyAlignment="1">
      <alignment horizontal="right" vertical="center"/>
    </xf>
    <xf numFmtId="3" fontId="13" fillId="0" borderId="61" xfId="29" applyNumberFormat="1" applyFont="1" applyBorder="1" applyAlignment="1">
      <alignment horizontal="right" vertical="center"/>
    </xf>
    <xf numFmtId="3" fontId="35" fillId="0" borderId="21" xfId="27" applyNumberFormat="1" applyFont="1" applyBorder="1" applyAlignment="1">
      <alignment wrapText="1"/>
    </xf>
    <xf numFmtId="3" fontId="35" fillId="0" borderId="99" xfId="0" applyNumberFormat="1" applyFont="1" applyBorder="1"/>
    <xf numFmtId="0" fontId="11" fillId="0" borderId="0" xfId="0" applyFont="1" applyAlignment="1">
      <alignment horizontal="left" wrapText="1"/>
    </xf>
    <xf numFmtId="3" fontId="18" fillId="0" borderId="0" xfId="34" applyNumberFormat="1" applyFont="1" applyAlignment="1" applyProtection="1">
      <alignment horizontal="center" vertical="center"/>
      <protection locked="0"/>
    </xf>
    <xf numFmtId="0" fontId="18" fillId="0" borderId="23" xfId="35" applyFont="1" applyBorder="1" applyAlignment="1" applyProtection="1">
      <alignment horizontal="center"/>
      <protection locked="0"/>
    </xf>
    <xf numFmtId="3" fontId="30" fillId="0" borderId="21" xfId="33" applyNumberFormat="1" applyFont="1" applyBorder="1" applyAlignment="1" applyProtection="1">
      <alignment horizontal="left"/>
      <protection locked="0"/>
    </xf>
    <xf numFmtId="0" fontId="30" fillId="0" borderId="21" xfId="34" applyFont="1" applyBorder="1" applyAlignment="1" applyProtection="1">
      <alignment horizontal="left" wrapText="1"/>
      <protection locked="0"/>
    </xf>
    <xf numFmtId="0" fontId="18" fillId="0" borderId="21" xfId="35" applyFont="1" applyBorder="1" applyAlignment="1" applyProtection="1">
      <alignment horizontal="center"/>
      <protection locked="0"/>
    </xf>
    <xf numFmtId="3" fontId="18" fillId="0" borderId="25" xfId="34" applyNumberFormat="1" applyFont="1" applyBorder="1" applyAlignment="1" applyProtection="1">
      <alignment horizontal="left"/>
      <protection locked="0"/>
    </xf>
    <xf numFmtId="0" fontId="18" fillId="0" borderId="0" xfId="34" applyFont="1" applyAlignment="1" applyProtection="1">
      <alignment horizontal="left"/>
      <protection locked="0"/>
    </xf>
    <xf numFmtId="0" fontId="18" fillId="0" borderId="0" xfId="34" applyFont="1" applyAlignment="1" applyProtection="1">
      <alignment horizontal="center" vertical="center"/>
      <protection locked="0"/>
    </xf>
    <xf numFmtId="3" fontId="18" fillId="0" borderId="16" xfId="33" applyNumberFormat="1" applyFont="1" applyBorder="1" applyAlignment="1" applyProtection="1">
      <alignment horizontal="center" vertical="top"/>
      <protection locked="0"/>
    </xf>
    <xf numFmtId="0" fontId="18" fillId="0" borderId="16" xfId="34" applyFont="1" applyBorder="1" applyAlignment="1" applyProtection="1">
      <alignment horizontal="left" wrapText="1"/>
      <protection locked="0"/>
    </xf>
    <xf numFmtId="3" fontId="18" fillId="0" borderId="25" xfId="34" applyNumberFormat="1" applyFont="1" applyBorder="1" applyAlignment="1" applyProtection="1">
      <alignment horizontal="right"/>
      <protection locked="0"/>
    </xf>
    <xf numFmtId="0" fontId="18" fillId="0" borderId="0" xfId="34" applyFont="1" applyProtection="1">
      <protection locked="0"/>
    </xf>
    <xf numFmtId="3" fontId="18" fillId="0" borderId="16" xfId="33" applyNumberFormat="1" applyFont="1" applyBorder="1" applyAlignment="1" applyProtection="1">
      <alignment horizontal="center"/>
      <protection locked="0"/>
    </xf>
    <xf numFmtId="0" fontId="24" fillId="0" borderId="16" xfId="34" applyFont="1" applyBorder="1" applyProtection="1">
      <protection locked="0"/>
    </xf>
    <xf numFmtId="0" fontId="24" fillId="0" borderId="21" xfId="35" applyFont="1" applyBorder="1" applyAlignment="1" applyProtection="1">
      <alignment horizontal="left"/>
      <protection locked="0"/>
    </xf>
    <xf numFmtId="3" fontId="30" fillId="0" borderId="16" xfId="33" applyNumberFormat="1" applyFont="1" applyBorder="1" applyAlignment="1" applyProtection="1">
      <alignment horizontal="left"/>
      <protection locked="0"/>
    </xf>
    <xf numFmtId="0" fontId="24" fillId="0" borderId="16" xfId="34" applyFont="1" applyBorder="1" applyAlignment="1" applyProtection="1">
      <alignment horizontal="left"/>
      <protection locked="0"/>
    </xf>
    <xf numFmtId="0" fontId="21" fillId="0" borderId="16" xfId="34" applyFont="1" applyBorder="1" applyAlignment="1" applyProtection="1">
      <alignment wrapText="1"/>
      <protection locked="0"/>
    </xf>
    <xf numFmtId="0" fontId="32" fillId="0" borderId="16" xfId="34" applyFont="1" applyBorder="1" applyAlignment="1" applyProtection="1">
      <alignment horizontal="left"/>
      <protection locked="0"/>
    </xf>
    <xf numFmtId="3" fontId="30" fillId="0" borderId="21" xfId="0" applyNumberFormat="1" applyFont="1" applyBorder="1" applyAlignment="1" applyProtection="1">
      <alignment horizontal="left"/>
      <protection locked="0"/>
    </xf>
    <xf numFmtId="3" fontId="30" fillId="0" borderId="22" xfId="0" applyNumberFormat="1" applyFont="1" applyBorder="1" applyAlignment="1" applyProtection="1">
      <alignment horizontal="left"/>
      <protection locked="0"/>
    </xf>
    <xf numFmtId="3" fontId="18" fillId="0" borderId="21" xfId="33" applyNumberFormat="1" applyFont="1" applyBorder="1" applyAlignment="1" applyProtection="1">
      <alignment horizontal="center"/>
      <protection locked="0"/>
    </xf>
    <xf numFmtId="3" fontId="11" fillId="0" borderId="0" xfId="29" applyNumberFormat="1" applyFont="1" applyAlignment="1">
      <alignment horizontal="left" wrapText="1"/>
    </xf>
    <xf numFmtId="3" fontId="11" fillId="0" borderId="0" xfId="29" applyNumberFormat="1" applyFont="1" applyAlignment="1">
      <alignment horizontal="center" vertical="center"/>
    </xf>
    <xf numFmtId="3" fontId="11" fillId="0" borderId="112" xfId="29" applyNumberFormat="1" applyFont="1" applyBorder="1" applyAlignment="1">
      <alignment horizontal="right" vertical="center" wrapText="1"/>
    </xf>
    <xf numFmtId="0" fontId="11" fillId="0" borderId="16" xfId="28" applyFont="1" applyBorder="1" applyAlignment="1">
      <alignment vertical="center" wrapText="1"/>
    </xf>
    <xf numFmtId="3" fontId="39" fillId="0" borderId="99" xfId="34" applyNumberFormat="1" applyFont="1" applyBorder="1" applyAlignment="1">
      <alignment horizontal="right"/>
    </xf>
    <xf numFmtId="3" fontId="44" fillId="0" borderId="21" xfId="27" applyNumberFormat="1" applyFont="1" applyBorder="1" applyAlignment="1">
      <alignment horizontal="left" vertical="top" wrapText="1" indent="4"/>
    </xf>
    <xf numFmtId="3" fontId="21" fillId="0" borderId="66" xfId="33" applyNumberFormat="1" applyFont="1" applyBorder="1"/>
    <xf numFmtId="3" fontId="15" fillId="0" borderId="0" xfId="0" applyNumberFormat="1" applyFont="1" applyAlignment="1">
      <alignment horizontal="center" vertical="center"/>
    </xf>
    <xf numFmtId="3" fontId="14" fillId="0" borderId="0" xfId="0" applyNumberFormat="1" applyFont="1" applyAlignment="1">
      <alignment vertical="center"/>
    </xf>
    <xf numFmtId="0" fontId="28" fillId="0" borderId="0" xfId="0" applyFont="1"/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Alignment="1">
      <alignment vertical="center"/>
    </xf>
    <xf numFmtId="3" fontId="20" fillId="0" borderId="0" xfId="0" applyNumberFormat="1" applyFont="1" applyAlignment="1">
      <alignment vertical="center"/>
    </xf>
    <xf numFmtId="3" fontId="23" fillId="0" borderId="7" xfId="0" applyNumberFormat="1" applyFont="1" applyBorder="1" applyAlignment="1">
      <alignment horizontal="center" vertical="center" wrapText="1"/>
    </xf>
    <xf numFmtId="3" fontId="18" fillId="0" borderId="23" xfId="0" applyNumberFormat="1" applyFont="1" applyBorder="1" applyAlignment="1">
      <alignment horizontal="center"/>
    </xf>
    <xf numFmtId="3" fontId="18" fillId="0" borderId="21" xfId="0" applyNumberFormat="1" applyFont="1" applyBorder="1" applyAlignment="1">
      <alignment horizontal="center"/>
    </xf>
    <xf numFmtId="3" fontId="21" fillId="0" borderId="118" xfId="33" applyNumberFormat="1" applyFont="1" applyBorder="1" applyAlignment="1">
      <alignment horizontal="left"/>
    </xf>
    <xf numFmtId="3" fontId="21" fillId="0" borderId="66" xfId="33" applyNumberFormat="1" applyFont="1" applyBorder="1" applyAlignment="1">
      <alignment horizontal="left"/>
    </xf>
    <xf numFmtId="3" fontId="18" fillId="0" borderId="21" xfId="0" applyNumberFormat="1" applyFont="1" applyBorder="1"/>
    <xf numFmtId="3" fontId="18" fillId="0" borderId="66" xfId="0" applyNumberFormat="1" applyFont="1" applyBorder="1"/>
    <xf numFmtId="3" fontId="18" fillId="0" borderId="15" xfId="0" applyNumberFormat="1" applyFont="1" applyBorder="1" applyAlignment="1">
      <alignment horizontal="center"/>
    </xf>
    <xf numFmtId="3" fontId="18" fillId="0" borderId="16" xfId="0" applyNumberFormat="1" applyFont="1" applyBorder="1" applyAlignment="1">
      <alignment horizontal="center"/>
    </xf>
    <xf numFmtId="3" fontId="18" fillId="0" borderId="108" xfId="33" applyNumberFormat="1" applyFont="1" applyBorder="1" applyAlignment="1">
      <alignment horizontal="left"/>
    </xf>
    <xf numFmtId="3" fontId="18" fillId="0" borderId="16" xfId="0" applyNumberFormat="1" applyFont="1" applyBorder="1"/>
    <xf numFmtId="3" fontId="18" fillId="0" borderId="99" xfId="0" applyNumberFormat="1" applyFont="1" applyBorder="1"/>
    <xf numFmtId="3" fontId="35" fillId="0" borderId="15" xfId="0" applyNumberFormat="1" applyFont="1" applyBorder="1" applyAlignment="1">
      <alignment horizontal="center" vertical="center"/>
    </xf>
    <xf numFmtId="3" fontId="35" fillId="0" borderId="16" xfId="0" applyNumberFormat="1" applyFont="1" applyBorder="1" applyAlignment="1">
      <alignment horizontal="center"/>
    </xf>
    <xf numFmtId="3" fontId="35" fillId="0" borderId="108" xfId="0" applyNumberFormat="1" applyFont="1" applyBorder="1" applyAlignment="1">
      <alignment horizontal="center"/>
    </xf>
    <xf numFmtId="3" fontId="35" fillId="0" borderId="99" xfId="33" applyNumberFormat="1" applyFont="1" applyBorder="1"/>
    <xf numFmtId="3" fontId="35" fillId="0" borderId="16" xfId="0" applyNumberFormat="1" applyFont="1" applyBorder="1"/>
    <xf numFmtId="3" fontId="35" fillId="0" borderId="0" xfId="0" applyNumberFormat="1" applyFont="1" applyAlignment="1">
      <alignment vertical="center"/>
    </xf>
    <xf numFmtId="0" fontId="37" fillId="0" borderId="0" xfId="0" applyFont="1"/>
    <xf numFmtId="3" fontId="21" fillId="0" borderId="99" xfId="33" applyNumberFormat="1" applyFont="1" applyBorder="1" applyAlignment="1">
      <alignment horizontal="left"/>
    </xf>
    <xf numFmtId="3" fontId="20" fillId="0" borderId="0" xfId="0" applyNumberFormat="1" applyFont="1" applyAlignment="1">
      <alignment vertical="top"/>
    </xf>
    <xf numFmtId="3" fontId="35" fillId="0" borderId="0" xfId="0" applyNumberFormat="1" applyFont="1" applyAlignment="1">
      <alignment vertical="top"/>
    </xf>
    <xf numFmtId="3" fontId="21" fillId="0" borderId="0" xfId="0" applyNumberFormat="1" applyFont="1" applyAlignment="1">
      <alignment vertical="top"/>
    </xf>
    <xf numFmtId="3" fontId="18" fillId="0" borderId="15" xfId="0" applyNumberFormat="1" applyFont="1" applyBorder="1" applyAlignment="1">
      <alignment horizontal="center" vertical="center"/>
    </xf>
    <xf numFmtId="3" fontId="18" fillId="0" borderId="99" xfId="33" applyNumberFormat="1" applyFont="1" applyBorder="1"/>
    <xf numFmtId="0" fontId="0" fillId="0" borderId="16" xfId="0" applyBorder="1"/>
    <xf numFmtId="0" fontId="0" fillId="0" borderId="99" xfId="0" applyBorder="1"/>
    <xf numFmtId="3" fontId="21" fillId="0" borderId="99" xfId="33" applyNumberFormat="1" applyFont="1" applyBorder="1"/>
    <xf numFmtId="3" fontId="35" fillId="0" borderId="0" xfId="0" applyNumberFormat="1" applyFont="1"/>
    <xf numFmtId="3" fontId="18" fillId="0" borderId="0" xfId="0" applyNumberFormat="1" applyFont="1" applyAlignment="1">
      <alignment vertical="top"/>
    </xf>
    <xf numFmtId="3" fontId="36" fillId="0" borderId="0" xfId="0" applyNumberFormat="1" applyFont="1" applyAlignment="1">
      <alignment vertical="top"/>
    </xf>
    <xf numFmtId="3" fontId="21" fillId="0" borderId="14" xfId="0" applyNumberFormat="1" applyFont="1" applyBorder="1"/>
    <xf numFmtId="3" fontId="21" fillId="0" borderId="100" xfId="0" applyNumberFormat="1" applyFont="1" applyBorder="1"/>
    <xf numFmtId="3" fontId="35" fillId="0" borderId="15" xfId="0" applyNumberFormat="1" applyFont="1" applyBorder="1" applyAlignment="1">
      <alignment horizontal="center" vertical="top"/>
    </xf>
    <xf numFmtId="3" fontId="35" fillId="0" borderId="95" xfId="0" applyNumberFormat="1" applyFont="1" applyBorder="1" applyAlignment="1">
      <alignment horizontal="center"/>
    </xf>
    <xf numFmtId="3" fontId="35" fillId="0" borderId="130" xfId="0" applyNumberFormat="1" applyFont="1" applyBorder="1" applyAlignment="1">
      <alignment horizontal="center"/>
    </xf>
    <xf numFmtId="3" fontId="35" fillId="0" borderId="116" xfId="33" applyNumberFormat="1" applyFont="1" applyBorder="1" applyAlignment="1">
      <alignment horizontal="left"/>
    </xf>
    <xf numFmtId="3" fontId="35" fillId="0" borderId="95" xfId="0" applyNumberFormat="1" applyFont="1" applyBorder="1"/>
    <xf numFmtId="3" fontId="35" fillId="0" borderId="116" xfId="0" applyNumberFormat="1" applyFont="1" applyBorder="1"/>
    <xf numFmtId="3" fontId="18" fillId="0" borderId="23" xfId="0" applyNumberFormat="1" applyFont="1" applyBorder="1" applyAlignment="1">
      <alignment horizontal="center" vertical="top"/>
    </xf>
    <xf numFmtId="3" fontId="35" fillId="0" borderId="43" xfId="0" applyNumberFormat="1" applyFont="1" applyBorder="1" applyAlignment="1">
      <alignment horizontal="center"/>
    </xf>
    <xf numFmtId="3" fontId="35" fillId="0" borderId="128" xfId="0" applyNumberFormat="1" applyFont="1" applyBorder="1" applyAlignment="1">
      <alignment horizontal="center"/>
    </xf>
    <xf numFmtId="3" fontId="35" fillId="0" borderId="112" xfId="33" applyNumberFormat="1" applyFont="1" applyBorder="1"/>
    <xf numFmtId="3" fontId="35" fillId="0" borderId="43" xfId="0" applyNumberFormat="1" applyFont="1" applyBorder="1"/>
    <xf numFmtId="3" fontId="35" fillId="0" borderId="112" xfId="0" applyNumberFormat="1" applyFont="1" applyBorder="1"/>
    <xf numFmtId="3" fontId="18" fillId="0" borderId="16" xfId="0" applyNumberFormat="1" applyFont="1" applyBorder="1" applyAlignment="1">
      <alignment horizontal="center" vertical="top"/>
    </xf>
    <xf numFmtId="3" fontId="21" fillId="0" borderId="0" xfId="0" applyNumberFormat="1" applyFont="1" applyAlignment="1">
      <alignment vertical="center"/>
    </xf>
    <xf numFmtId="3" fontId="35" fillId="0" borderId="116" xfId="33" applyNumberFormat="1" applyFont="1" applyBorder="1"/>
    <xf numFmtId="3" fontId="21" fillId="0" borderId="66" xfId="33" applyNumberFormat="1" applyFont="1" applyBorder="1" applyAlignment="1">
      <alignment wrapText="1"/>
    </xf>
    <xf numFmtId="3" fontId="21" fillId="0" borderId="99" xfId="33" applyNumberFormat="1" applyFont="1" applyBorder="1" applyAlignment="1">
      <alignment wrapText="1"/>
    </xf>
    <xf numFmtId="3" fontId="18" fillId="0" borderId="15" xfId="0" applyNumberFormat="1" applyFont="1" applyBorder="1" applyAlignment="1">
      <alignment horizontal="center" vertical="top"/>
    </xf>
    <xf numFmtId="0" fontId="27" fillId="0" borderId="0" xfId="0" applyFont="1"/>
    <xf numFmtId="3" fontId="36" fillId="0" borderId="0" xfId="0" applyNumberFormat="1" applyFont="1" applyAlignment="1">
      <alignment vertical="center"/>
    </xf>
    <xf numFmtId="0" fontId="38" fillId="0" borderId="0" xfId="0" applyFont="1"/>
    <xf numFmtId="3" fontId="35" fillId="0" borderId="132" xfId="0" applyNumberFormat="1" applyFont="1" applyBorder="1" applyAlignment="1">
      <alignment horizontal="center" vertical="center"/>
    </xf>
    <xf numFmtId="3" fontId="35" fillId="0" borderId="133" xfId="0" applyNumberFormat="1" applyFont="1" applyBorder="1" applyAlignment="1">
      <alignment horizontal="center"/>
    </xf>
    <xf numFmtId="3" fontId="35" fillId="0" borderId="134" xfId="0" applyNumberFormat="1" applyFont="1" applyBorder="1" applyAlignment="1">
      <alignment horizontal="center"/>
    </xf>
    <xf numFmtId="3" fontId="35" fillId="0" borderId="135" xfId="33" applyNumberFormat="1" applyFont="1" applyBorder="1"/>
    <xf numFmtId="3" fontId="35" fillId="0" borderId="133" xfId="0" applyNumberFormat="1" applyFont="1" applyBorder="1"/>
    <xf numFmtId="3" fontId="35" fillId="0" borderId="135" xfId="0" applyNumberFormat="1" applyFont="1" applyBorder="1"/>
    <xf numFmtId="3" fontId="21" fillId="0" borderId="41" xfId="0" applyNumberFormat="1" applyFont="1" applyBorder="1"/>
    <xf numFmtId="3" fontId="18" fillId="0" borderId="111" xfId="0" applyNumberFormat="1" applyFont="1" applyBorder="1"/>
    <xf numFmtId="3" fontId="18" fillId="0" borderId="41" xfId="0" applyNumberFormat="1" applyFont="1" applyBorder="1"/>
    <xf numFmtId="3" fontId="18" fillId="0" borderId="40" xfId="0" applyNumberFormat="1" applyFont="1" applyBorder="1" applyAlignment="1">
      <alignment horizontal="center" vertical="top"/>
    </xf>
    <xf numFmtId="3" fontId="18" fillId="0" borderId="41" xfId="0" applyNumberFormat="1" applyFont="1" applyBorder="1" applyAlignment="1">
      <alignment horizontal="center"/>
    </xf>
    <xf numFmtId="3" fontId="35" fillId="0" borderId="63" xfId="0" applyNumberFormat="1" applyFont="1" applyBorder="1" applyAlignment="1">
      <alignment horizontal="center" vertical="center"/>
    </xf>
    <xf numFmtId="3" fontId="35" fillId="0" borderId="43" xfId="33" applyNumberFormat="1" applyFont="1" applyBorder="1"/>
    <xf numFmtId="3" fontId="21" fillId="0" borderId="111" xfId="0" applyNumberFormat="1" applyFont="1" applyBorder="1"/>
    <xf numFmtId="3" fontId="35" fillId="0" borderId="133" xfId="33" applyNumberFormat="1" applyFont="1" applyBorder="1" applyAlignment="1">
      <alignment horizontal="left"/>
    </xf>
    <xf numFmtId="3" fontId="0" fillId="0" borderId="0" xfId="0" applyNumberFormat="1"/>
    <xf numFmtId="0" fontId="22" fillId="0" borderId="0" xfId="0" applyFont="1" applyAlignment="1">
      <alignment horizontal="center" vertical="center"/>
    </xf>
    <xf numFmtId="3" fontId="11" fillId="0" borderId="0" xfId="0" applyNumberFormat="1" applyFont="1" applyAlignment="1">
      <alignment horizontal="right" vertical="center"/>
    </xf>
    <xf numFmtId="3" fontId="13" fillId="0" borderId="0" xfId="0" applyNumberFormat="1" applyFont="1" applyAlignment="1">
      <alignment horizontal="right" vertical="center"/>
    </xf>
    <xf numFmtId="3" fontId="18" fillId="0" borderId="0" xfId="0" applyNumberFormat="1" applyFont="1" applyAlignment="1">
      <alignment horizontal="center" vertical="top"/>
    </xf>
    <xf numFmtId="3" fontId="21" fillId="0" borderId="0" xfId="0" applyNumberFormat="1" applyFont="1" applyAlignment="1">
      <alignment horizontal="right"/>
    </xf>
    <xf numFmtId="3" fontId="18" fillId="0" borderId="7" xfId="26" applyNumberFormat="1" applyFont="1" applyBorder="1" applyAlignment="1">
      <alignment horizontal="center" vertical="center" wrapText="1"/>
    </xf>
    <xf numFmtId="3" fontId="18" fillId="0" borderId="66" xfId="0" applyNumberFormat="1" applyFont="1" applyBorder="1" applyAlignment="1">
      <alignment horizontal="center"/>
    </xf>
    <xf numFmtId="3" fontId="21" fillId="0" borderId="21" xfId="33" applyNumberFormat="1" applyFont="1" applyBorder="1"/>
    <xf numFmtId="3" fontId="18" fillId="0" borderId="21" xfId="33" applyNumberFormat="1" applyFont="1" applyBorder="1" applyAlignment="1">
      <alignment horizontal="center"/>
    </xf>
    <xf numFmtId="3" fontId="21" fillId="0" borderId="62" xfId="0" applyNumberFormat="1" applyFont="1" applyBorder="1"/>
    <xf numFmtId="3" fontId="18" fillId="0" borderId="25" xfId="0" applyNumberFormat="1" applyFont="1" applyBorder="1"/>
    <xf numFmtId="3" fontId="18" fillId="0" borderId="99" xfId="0" applyNumberFormat="1" applyFont="1" applyBorder="1" applyAlignment="1">
      <alignment horizontal="center"/>
    </xf>
    <xf numFmtId="3" fontId="18" fillId="0" borderId="16" xfId="33" applyNumberFormat="1" applyFont="1" applyBorder="1"/>
    <xf numFmtId="3" fontId="21" fillId="0" borderId="46" xfId="0" applyNumberFormat="1" applyFont="1" applyBorder="1"/>
    <xf numFmtId="3" fontId="18" fillId="0" borderId="17" xfId="0" applyNumberFormat="1" applyFont="1" applyBorder="1"/>
    <xf numFmtId="3" fontId="35" fillId="0" borderId="99" xfId="0" applyNumberFormat="1" applyFont="1" applyBorder="1" applyAlignment="1">
      <alignment horizontal="center" vertical="center"/>
    </xf>
    <xf numFmtId="3" fontId="35" fillId="0" borderId="16" xfId="33" applyNumberFormat="1" applyFont="1" applyBorder="1"/>
    <xf numFmtId="3" fontId="35" fillId="0" borderId="16" xfId="0" applyNumberFormat="1" applyFont="1" applyBorder="1" applyAlignment="1">
      <alignment vertical="center"/>
    </xf>
    <xf numFmtId="3" fontId="35" fillId="0" borderId="46" xfId="0" applyNumberFormat="1" applyFont="1" applyBorder="1"/>
    <xf numFmtId="3" fontId="35" fillId="0" borderId="16" xfId="0" applyNumberFormat="1" applyFont="1" applyBorder="1" applyAlignment="1">
      <alignment horizontal="right"/>
    </xf>
    <xf numFmtId="3" fontId="35" fillId="0" borderId="17" xfId="0" applyNumberFormat="1" applyFont="1" applyBorder="1" applyAlignment="1">
      <alignment horizontal="right"/>
    </xf>
    <xf numFmtId="3" fontId="35" fillId="0" borderId="0" xfId="0" applyNumberFormat="1" applyFont="1" applyAlignment="1">
      <alignment horizontal="right" vertical="center"/>
    </xf>
    <xf numFmtId="3" fontId="21" fillId="0" borderId="16" xfId="33" applyNumberFormat="1" applyFont="1" applyBorder="1"/>
    <xf numFmtId="3" fontId="18" fillId="0" borderId="16" xfId="33" applyNumberFormat="1" applyFont="1" applyBorder="1" applyAlignment="1">
      <alignment horizontal="center"/>
    </xf>
    <xf numFmtId="3" fontId="21" fillId="0" borderId="0" xfId="0" applyNumberFormat="1" applyFont="1" applyAlignment="1">
      <alignment horizontal="right" vertical="center"/>
    </xf>
    <xf numFmtId="3" fontId="35" fillId="0" borderId="0" xfId="0" applyNumberFormat="1" applyFont="1" applyAlignment="1">
      <alignment horizontal="right"/>
    </xf>
    <xf numFmtId="3" fontId="18" fillId="0" borderId="0" xfId="0" applyNumberFormat="1" applyFont="1" applyAlignment="1">
      <alignment horizontal="right" vertical="center"/>
    </xf>
    <xf numFmtId="3" fontId="18" fillId="0" borderId="16" xfId="0" applyNumberFormat="1" applyFont="1" applyBorder="1" applyAlignment="1">
      <alignment horizontal="right"/>
    </xf>
    <xf numFmtId="3" fontId="18" fillId="0" borderId="17" xfId="0" applyNumberFormat="1" applyFont="1" applyBorder="1" applyAlignment="1">
      <alignment horizontal="right"/>
    </xf>
    <xf numFmtId="3" fontId="24" fillId="0" borderId="15" xfId="0" applyNumberFormat="1" applyFont="1" applyBorder="1" applyAlignment="1">
      <alignment horizontal="center" vertical="center"/>
    </xf>
    <xf numFmtId="3" fontId="24" fillId="0" borderId="14" xfId="0" applyNumberFormat="1" applyFont="1" applyBorder="1" applyAlignment="1">
      <alignment vertical="center"/>
    </xf>
    <xf numFmtId="3" fontId="24" fillId="0" borderId="103" xfId="0" applyNumberFormat="1" applyFont="1" applyBorder="1" applyAlignment="1">
      <alignment vertical="center"/>
    </xf>
    <xf numFmtId="3" fontId="24" fillId="0" borderId="105" xfId="0" applyNumberFormat="1" applyFont="1" applyBorder="1" applyAlignment="1">
      <alignment vertical="center"/>
    </xf>
    <xf numFmtId="3" fontId="24" fillId="0" borderId="0" xfId="0" applyNumberFormat="1" applyFont="1" applyAlignment="1">
      <alignment horizontal="right" vertical="center"/>
    </xf>
    <xf numFmtId="3" fontId="24" fillId="0" borderId="0" xfId="0" applyNumberFormat="1" applyFont="1" applyAlignment="1">
      <alignment vertical="center"/>
    </xf>
    <xf numFmtId="3" fontId="35" fillId="0" borderId="95" xfId="0" applyNumberFormat="1" applyFont="1" applyBorder="1" applyAlignment="1">
      <alignment horizontal="center" vertical="center"/>
    </xf>
    <xf numFmtId="3" fontId="35" fillId="0" borderId="116" xfId="0" applyNumberFormat="1" applyFont="1" applyBorder="1" applyAlignment="1">
      <alignment horizontal="center" vertical="center"/>
    </xf>
    <xf numFmtId="3" fontId="35" fillId="0" borderId="95" xfId="33" applyNumberFormat="1" applyFont="1" applyBorder="1" applyAlignment="1">
      <alignment horizontal="left"/>
    </xf>
    <xf numFmtId="3" fontId="35" fillId="0" borderId="95" xfId="0" applyNumberFormat="1" applyFont="1" applyBorder="1" applyAlignment="1">
      <alignment vertical="center"/>
    </xf>
    <xf numFmtId="3" fontId="35" fillId="0" borderId="115" xfId="0" applyNumberFormat="1" applyFont="1" applyBorder="1"/>
    <xf numFmtId="3" fontId="35" fillId="0" borderId="95" xfId="0" applyNumberFormat="1" applyFont="1" applyBorder="1" applyAlignment="1">
      <alignment horizontal="right"/>
    </xf>
    <xf numFmtId="3" fontId="35" fillId="0" borderId="129" xfId="0" applyNumberFormat="1" applyFont="1" applyBorder="1" applyAlignment="1">
      <alignment horizontal="right"/>
    </xf>
    <xf numFmtId="3" fontId="21" fillId="0" borderId="21" xfId="33" applyNumberFormat="1" applyFont="1" applyBorder="1" applyAlignment="1">
      <alignment wrapText="1"/>
    </xf>
    <xf numFmtId="3" fontId="24" fillId="0" borderId="62" xfId="0" applyNumberFormat="1" applyFont="1" applyBorder="1"/>
    <xf numFmtId="3" fontId="24" fillId="0" borderId="46" xfId="0" applyNumberFormat="1" applyFont="1" applyBorder="1"/>
    <xf numFmtId="3" fontId="21" fillId="0" borderId="15" xfId="0" applyNumberFormat="1" applyFont="1" applyBorder="1" applyAlignment="1">
      <alignment horizontal="center" vertical="center"/>
    </xf>
    <xf numFmtId="3" fontId="21" fillId="0" borderId="99" xfId="0" applyNumberFormat="1" applyFont="1" applyBorder="1" applyAlignment="1">
      <alignment horizontal="center" vertical="center"/>
    </xf>
    <xf numFmtId="3" fontId="21" fillId="0" borderId="16" xfId="0" applyNumberFormat="1" applyFont="1" applyBorder="1" applyAlignment="1">
      <alignment vertical="center"/>
    </xf>
    <xf numFmtId="3" fontId="21" fillId="0" borderId="112" xfId="0" applyNumberFormat="1" applyFont="1" applyBorder="1" applyAlignment="1">
      <alignment horizontal="center" vertical="center"/>
    </xf>
    <xf numFmtId="3" fontId="21" fillId="0" borderId="43" xfId="0" applyNumberFormat="1" applyFont="1" applyBorder="1" applyAlignment="1">
      <alignment vertical="center"/>
    </xf>
    <xf numFmtId="3" fontId="35" fillId="0" borderId="137" xfId="0" applyNumberFormat="1" applyFont="1" applyBorder="1"/>
    <xf numFmtId="3" fontId="35" fillId="0" borderId="43" xfId="0" applyNumberFormat="1" applyFont="1" applyBorder="1" applyAlignment="1">
      <alignment horizontal="right"/>
    </xf>
    <xf numFmtId="3" fontId="35" fillId="0" borderId="44" xfId="0" applyNumberFormat="1" applyFont="1" applyBorder="1" applyAlignment="1">
      <alignment horizontal="right"/>
    </xf>
    <xf numFmtId="3" fontId="18" fillId="0" borderId="16" xfId="33" applyNumberFormat="1" applyFont="1" applyBorder="1" applyAlignment="1">
      <alignment horizontal="left"/>
    </xf>
    <xf numFmtId="3" fontId="18" fillId="0" borderId="16" xfId="33" applyNumberFormat="1" applyFont="1" applyBorder="1" applyAlignment="1">
      <alignment horizontal="center" vertical="top" wrapText="1"/>
    </xf>
    <xf numFmtId="3" fontId="20" fillId="0" borderId="16" xfId="0" applyNumberFormat="1" applyFont="1" applyBorder="1" applyAlignment="1">
      <alignment horizontal="right"/>
    </xf>
    <xf numFmtId="3" fontId="20" fillId="0" borderId="17" xfId="0" applyNumberFormat="1" applyFont="1" applyBorder="1" applyAlignment="1">
      <alignment horizontal="right"/>
    </xf>
    <xf numFmtId="3" fontId="18" fillId="0" borderId="118" xfId="0" applyNumberFormat="1" applyFont="1" applyBorder="1" applyAlignment="1">
      <alignment horizontal="center" vertical="top"/>
    </xf>
    <xf numFmtId="3" fontId="18" fillId="0" borderId="21" xfId="33" applyNumberFormat="1" applyFont="1" applyBorder="1" applyAlignment="1">
      <alignment horizontal="center" vertical="top" wrapText="1"/>
    </xf>
    <xf numFmtId="3" fontId="24" fillId="0" borderId="14" xfId="0" applyNumberFormat="1" applyFont="1" applyBorder="1" applyAlignment="1">
      <alignment horizontal="center" vertical="center"/>
    </xf>
    <xf numFmtId="3" fontId="24" fillId="0" borderId="14" xfId="0" applyNumberFormat="1" applyFont="1" applyBorder="1" applyAlignment="1">
      <alignment horizontal="right" vertical="center"/>
    </xf>
    <xf numFmtId="3" fontId="24" fillId="0" borderId="105" xfId="0" applyNumberFormat="1" applyFont="1" applyBorder="1" applyAlignment="1">
      <alignment horizontal="right" vertical="center"/>
    </xf>
    <xf numFmtId="3" fontId="24" fillId="0" borderId="0" xfId="0" applyNumberFormat="1" applyFont="1" applyAlignment="1">
      <alignment horizontal="right" vertical="top"/>
    </xf>
    <xf numFmtId="3" fontId="24" fillId="0" borderId="0" xfId="0" applyNumberFormat="1" applyFont="1" applyAlignment="1">
      <alignment vertical="top"/>
    </xf>
    <xf numFmtId="3" fontId="21" fillId="0" borderId="95" xfId="0" applyNumberFormat="1" applyFont="1" applyBorder="1" applyAlignment="1">
      <alignment horizontal="center" vertical="center"/>
    </xf>
    <xf numFmtId="3" fontId="21" fillId="0" borderId="116" xfId="0" applyNumberFormat="1" applyFont="1" applyBorder="1" applyAlignment="1">
      <alignment horizontal="center" vertical="center"/>
    </xf>
    <xf numFmtId="3" fontId="35" fillId="0" borderId="95" xfId="33" applyNumberFormat="1" applyFont="1" applyBorder="1"/>
    <xf numFmtId="3" fontId="21" fillId="0" borderId="95" xfId="0" applyNumberFormat="1" applyFont="1" applyBorder="1" applyAlignment="1">
      <alignment vertical="center"/>
    </xf>
    <xf numFmtId="3" fontId="36" fillId="0" borderId="0" xfId="0" applyNumberFormat="1" applyFont="1" applyAlignment="1">
      <alignment horizontal="right" vertical="center"/>
    </xf>
    <xf numFmtId="3" fontId="18" fillId="0" borderId="16" xfId="0" applyNumberFormat="1" applyFont="1" applyBorder="1" applyAlignment="1">
      <alignment vertical="center"/>
    </xf>
    <xf numFmtId="3" fontId="24" fillId="0" borderId="14" xfId="33" applyNumberFormat="1" applyFont="1" applyBorder="1" applyAlignment="1">
      <alignment horizontal="center" vertical="center"/>
    </xf>
    <xf numFmtId="3" fontId="24" fillId="0" borderId="100" xfId="0" applyNumberFormat="1" applyFont="1" applyBorder="1" applyAlignment="1">
      <alignment horizontal="right" vertical="center"/>
    </xf>
    <xf numFmtId="3" fontId="21" fillId="0" borderId="21" xfId="0" applyNumberFormat="1" applyFont="1" applyBorder="1" applyAlignment="1">
      <alignment horizontal="left"/>
    </xf>
    <xf numFmtId="3" fontId="21" fillId="0" borderId="132" xfId="0" applyNumberFormat="1" applyFont="1" applyBorder="1" applyAlignment="1">
      <alignment horizontal="center" vertical="center"/>
    </xf>
    <xf numFmtId="3" fontId="21" fillId="0" borderId="135" xfId="0" applyNumberFormat="1" applyFont="1" applyBorder="1" applyAlignment="1">
      <alignment horizontal="center" vertical="center"/>
    </xf>
    <xf numFmtId="3" fontId="35" fillId="0" borderId="133" xfId="33" applyNumberFormat="1" applyFont="1" applyBorder="1"/>
    <xf numFmtId="3" fontId="21" fillId="0" borderId="133" xfId="0" applyNumberFormat="1" applyFont="1" applyBorder="1" applyAlignment="1">
      <alignment vertical="center"/>
    </xf>
    <xf numFmtId="3" fontId="35" fillId="0" borderId="140" xfId="0" applyNumberFormat="1" applyFont="1" applyBorder="1"/>
    <xf numFmtId="3" fontId="35" fillId="0" borderId="133" xfId="0" applyNumberFormat="1" applyFont="1" applyBorder="1" applyAlignment="1">
      <alignment horizontal="right"/>
    </xf>
    <xf numFmtId="3" fontId="35" fillId="0" borderId="131" xfId="0" applyNumberFormat="1" applyFont="1" applyBorder="1" applyAlignment="1">
      <alignment horizontal="right"/>
    </xf>
    <xf numFmtId="3" fontId="21" fillId="0" borderId="41" xfId="33" applyNumberFormat="1" applyFont="1" applyBorder="1" applyAlignment="1">
      <alignment horizontal="center"/>
    </xf>
    <xf numFmtId="3" fontId="21" fillId="0" borderId="47" xfId="0" applyNumberFormat="1" applyFont="1" applyBorder="1" applyAlignment="1">
      <alignment vertical="center"/>
    </xf>
    <xf numFmtId="3" fontId="21" fillId="0" borderId="41" xfId="0" applyNumberFormat="1" applyFont="1" applyBorder="1" applyAlignment="1">
      <alignment horizontal="right" vertical="center"/>
    </xf>
    <xf numFmtId="3" fontId="21" fillId="0" borderId="42" xfId="0" applyNumberFormat="1" applyFont="1" applyBorder="1" applyAlignment="1">
      <alignment horizontal="right" vertical="center"/>
    </xf>
    <xf numFmtId="3" fontId="21" fillId="0" borderId="0" xfId="0" applyNumberFormat="1" applyFont="1" applyAlignment="1">
      <alignment horizontal="right" vertical="top"/>
    </xf>
    <xf numFmtId="3" fontId="18" fillId="0" borderId="40" xfId="0" applyNumberFormat="1" applyFont="1" applyBorder="1" applyAlignment="1">
      <alignment horizontal="center"/>
    </xf>
    <xf numFmtId="3" fontId="18" fillId="0" borderId="111" xfId="0" applyNumberFormat="1" applyFont="1" applyBorder="1" applyAlignment="1">
      <alignment horizontal="center"/>
    </xf>
    <xf numFmtId="3" fontId="21" fillId="0" borderId="67" xfId="0" applyNumberFormat="1" applyFont="1" applyBorder="1"/>
    <xf numFmtId="3" fontId="21" fillId="0" borderId="119" xfId="0" applyNumberFormat="1" applyFont="1" applyBorder="1"/>
    <xf numFmtId="3" fontId="21" fillId="0" borderId="41" xfId="0" applyNumberFormat="1" applyFont="1" applyBorder="1" applyAlignment="1">
      <alignment horizontal="right"/>
    </xf>
    <xf numFmtId="3" fontId="21" fillId="0" borderId="47" xfId="0" applyNumberFormat="1" applyFont="1" applyBorder="1" applyAlignment="1">
      <alignment horizontal="right"/>
    </xf>
    <xf numFmtId="3" fontId="21" fillId="0" borderId="42" xfId="0" applyNumberFormat="1" applyFont="1" applyBorder="1" applyAlignment="1">
      <alignment horizontal="right"/>
    </xf>
    <xf numFmtId="3" fontId="18" fillId="0" borderId="20" xfId="33" applyNumberFormat="1" applyFont="1" applyBorder="1"/>
    <xf numFmtId="3" fontId="21" fillId="0" borderId="0" xfId="0" applyNumberFormat="1" applyFont="1"/>
    <xf numFmtId="3" fontId="21" fillId="0" borderId="16" xfId="0" applyNumberFormat="1" applyFont="1" applyBorder="1" applyAlignment="1">
      <alignment horizontal="center"/>
    </xf>
    <xf numFmtId="3" fontId="35" fillId="0" borderId="20" xfId="33" applyNumberFormat="1" applyFont="1" applyBorder="1"/>
    <xf numFmtId="3" fontId="21" fillId="0" borderId="16" xfId="0" applyNumberFormat="1" applyFont="1" applyBorder="1"/>
    <xf numFmtId="3" fontId="20" fillId="0" borderId="17" xfId="0" applyNumberFormat="1" applyFont="1" applyBorder="1"/>
    <xf numFmtId="3" fontId="18" fillId="0" borderId="16" xfId="0" applyNumberFormat="1" applyFont="1" applyBorder="1" applyAlignment="1">
      <alignment horizontal="right" vertical="center"/>
    </xf>
    <xf numFmtId="3" fontId="21" fillId="0" borderId="16" xfId="0" applyNumberFormat="1" applyFont="1" applyBorder="1" applyAlignment="1">
      <alignment horizontal="right" vertical="center"/>
    </xf>
    <xf numFmtId="3" fontId="21" fillId="0" borderId="17" xfId="0" applyNumberFormat="1" applyFont="1" applyBorder="1" applyAlignment="1">
      <alignment horizontal="right" vertical="center"/>
    </xf>
    <xf numFmtId="3" fontId="35" fillId="0" borderId="16" xfId="0" applyNumberFormat="1" applyFont="1" applyBorder="1" applyAlignment="1">
      <alignment horizontal="right" vertical="center"/>
    </xf>
    <xf numFmtId="3" fontId="35" fillId="0" borderId="17" xfId="0" applyNumberFormat="1" applyFont="1" applyBorder="1" applyAlignment="1">
      <alignment horizontal="right" vertical="center"/>
    </xf>
    <xf numFmtId="3" fontId="43" fillId="0" borderId="20" xfId="33" applyNumberFormat="1" applyFont="1" applyBorder="1" applyAlignment="1">
      <alignment horizontal="left" wrapText="1"/>
    </xf>
    <xf numFmtId="3" fontId="43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3" fontId="18" fillId="0" borderId="63" xfId="0" applyNumberFormat="1" applyFont="1" applyBorder="1"/>
    <xf numFmtId="3" fontId="21" fillId="0" borderId="14" xfId="33" applyNumberFormat="1" applyFont="1" applyBorder="1" applyAlignment="1">
      <alignment horizontal="center" vertical="center"/>
    </xf>
    <xf numFmtId="3" fontId="35" fillId="0" borderId="135" xfId="0" applyNumberFormat="1" applyFont="1" applyBorder="1" applyAlignment="1">
      <alignment horizontal="center" vertical="center"/>
    </xf>
    <xf numFmtId="3" fontId="35" fillId="0" borderId="139" xfId="33" applyNumberFormat="1" applyFont="1" applyBorder="1"/>
    <xf numFmtId="3" fontId="35" fillId="0" borderId="133" xfId="33" applyNumberFormat="1" applyFont="1" applyBorder="1" applyAlignment="1">
      <alignment horizontal="center"/>
    </xf>
    <xf numFmtId="3" fontId="35" fillId="0" borderId="133" xfId="0" applyNumberFormat="1" applyFont="1" applyBorder="1" applyAlignment="1">
      <alignment horizontal="right" vertical="center"/>
    </xf>
    <xf numFmtId="3" fontId="18" fillId="0" borderId="41" xfId="33" applyNumberFormat="1" applyFont="1" applyBorder="1" applyAlignment="1">
      <alignment horizontal="center" vertical="center"/>
    </xf>
    <xf numFmtId="3" fontId="24" fillId="0" borderId="41" xfId="0" applyNumberFormat="1" applyFont="1" applyBorder="1" applyAlignment="1">
      <alignment vertical="center"/>
    </xf>
    <xf numFmtId="3" fontId="24" fillId="0" borderId="47" xfId="0" applyNumberFormat="1" applyFont="1" applyBorder="1" applyAlignment="1">
      <alignment vertical="center"/>
    </xf>
    <xf numFmtId="3" fontId="24" fillId="0" borderId="42" xfId="0" applyNumberFormat="1" applyFont="1" applyBorder="1" applyAlignment="1">
      <alignment vertical="center"/>
    </xf>
    <xf numFmtId="3" fontId="35" fillId="0" borderId="131" xfId="0" applyNumberFormat="1" applyFont="1" applyBorder="1" applyAlignment="1">
      <alignment horizontal="right" vertical="center"/>
    </xf>
    <xf numFmtId="3" fontId="21" fillId="0" borderId="41" xfId="0" applyNumberFormat="1" applyFont="1" applyBorder="1" applyAlignment="1">
      <alignment horizontal="center" vertical="center"/>
    </xf>
    <xf numFmtId="3" fontId="21" fillId="0" borderId="47" xfId="0" applyNumberFormat="1" applyFont="1" applyBorder="1" applyAlignment="1">
      <alignment horizontal="right" vertical="center"/>
    </xf>
    <xf numFmtId="3" fontId="21" fillId="0" borderId="46" xfId="0" applyNumberFormat="1" applyFont="1" applyBorder="1" applyAlignment="1">
      <alignment horizontal="right" vertical="center"/>
    </xf>
    <xf numFmtId="3" fontId="18" fillId="0" borderId="17" xfId="0" applyNumberFormat="1" applyFont="1" applyBorder="1" applyAlignment="1">
      <alignment vertical="center"/>
    </xf>
    <xf numFmtId="3" fontId="36" fillId="0" borderId="15" xfId="0" applyNumberFormat="1" applyFont="1" applyBorder="1" applyAlignment="1">
      <alignment horizontal="left" vertical="center" wrapText="1"/>
    </xf>
    <xf numFmtId="3" fontId="36" fillId="0" borderId="99" xfId="0" applyNumberFormat="1" applyFont="1" applyBorder="1" applyAlignment="1">
      <alignment horizontal="left" vertical="center" wrapText="1"/>
    </xf>
    <xf numFmtId="3" fontId="36" fillId="0" borderId="16" xfId="0" applyNumberFormat="1" applyFont="1" applyBorder="1" applyAlignment="1">
      <alignment horizontal="left" vertical="center" wrapText="1"/>
    </xf>
    <xf numFmtId="3" fontId="18" fillId="0" borderId="16" xfId="0" applyNumberFormat="1" applyFont="1" applyBorder="1" applyAlignment="1">
      <alignment horizontal="center" vertical="center" wrapText="1"/>
    </xf>
    <xf numFmtId="3" fontId="24" fillId="0" borderId="46" xfId="0" applyNumberFormat="1" applyFont="1" applyBorder="1" applyAlignment="1">
      <alignment horizontal="right" vertical="center"/>
    </xf>
    <xf numFmtId="3" fontId="18" fillId="0" borderId="17" xfId="0" applyNumberFormat="1" applyFont="1" applyBorder="1" applyAlignment="1">
      <alignment horizontal="right" vertical="center"/>
    </xf>
    <xf numFmtId="3" fontId="35" fillId="0" borderId="46" xfId="0" applyNumberFormat="1" applyFont="1" applyBorder="1" applyAlignment="1">
      <alignment horizontal="right" vertical="center"/>
    </xf>
    <xf numFmtId="3" fontId="36" fillId="0" borderId="132" xfId="0" applyNumberFormat="1" applyFont="1" applyBorder="1" applyAlignment="1">
      <alignment horizontal="left" vertical="center" wrapText="1"/>
    </xf>
    <xf numFmtId="3" fontId="36" fillId="0" borderId="135" xfId="0" applyNumberFormat="1" applyFont="1" applyBorder="1" applyAlignment="1">
      <alignment horizontal="left" vertical="center" wrapText="1"/>
    </xf>
    <xf numFmtId="3" fontId="36" fillId="0" borderId="133" xfId="0" applyNumberFormat="1" applyFont="1" applyBorder="1" applyAlignment="1">
      <alignment horizontal="left" vertical="center" wrapText="1"/>
    </xf>
    <xf numFmtId="3" fontId="35" fillId="0" borderId="140" xfId="0" applyNumberFormat="1" applyFont="1" applyBorder="1" applyAlignment="1">
      <alignment horizontal="right" vertical="center"/>
    </xf>
    <xf numFmtId="3" fontId="15" fillId="0" borderId="94" xfId="0" applyNumberFormat="1" applyFont="1" applyBorder="1"/>
    <xf numFmtId="3" fontId="18" fillId="0" borderId="94" xfId="0" applyNumberFormat="1" applyFont="1" applyBorder="1"/>
    <xf numFmtId="3" fontId="18" fillId="0" borderId="94" xfId="0" applyNumberFormat="1" applyFont="1" applyBorder="1" applyAlignment="1">
      <alignment horizontal="center"/>
    </xf>
    <xf numFmtId="3" fontId="18" fillId="0" borderId="94" xfId="0" applyNumberFormat="1" applyFont="1" applyBorder="1" applyAlignment="1">
      <alignment horizontal="right"/>
    </xf>
    <xf numFmtId="3" fontId="21" fillId="0" borderId="94" xfId="0" applyNumberFormat="1" applyFont="1" applyBorder="1" applyAlignment="1">
      <alignment horizontal="right"/>
    </xf>
    <xf numFmtId="3" fontId="20" fillId="0" borderId="0" xfId="0" applyNumberFormat="1" applyFont="1"/>
    <xf numFmtId="0" fontId="11" fillId="0" borderId="0" xfId="32" applyFont="1" applyAlignment="1">
      <alignment horizontal="center" vertical="center"/>
    </xf>
    <xf numFmtId="0" fontId="11" fillId="0" borderId="0" xfId="32" applyFont="1"/>
    <xf numFmtId="0" fontId="11" fillId="0" borderId="0" xfId="32" applyFont="1" applyAlignment="1">
      <alignment vertical="center"/>
    </xf>
    <xf numFmtId="0" fontId="11" fillId="0" borderId="0" xfId="30" applyFont="1" applyAlignment="1">
      <alignment horizontal="center" vertical="center"/>
    </xf>
    <xf numFmtId="0" fontId="11" fillId="0" borderId="0" xfId="30" applyFont="1" applyAlignment="1">
      <alignment horizontal="center"/>
    </xf>
    <xf numFmtId="0" fontId="11" fillId="0" borderId="0" xfId="30" applyFont="1"/>
    <xf numFmtId="3" fontId="11" fillId="0" borderId="212" xfId="29" applyNumberFormat="1" applyFont="1" applyBorder="1" applyAlignment="1">
      <alignment horizontal="center" vertical="center" wrapText="1"/>
    </xf>
    <xf numFmtId="0" fontId="11" fillId="0" borderId="183" xfId="29" applyFont="1" applyBorder="1" applyAlignment="1">
      <alignment horizontal="center" vertical="center" wrapText="1"/>
    </xf>
    <xf numFmtId="3" fontId="11" fillId="0" borderId="113" xfId="29" applyNumberFormat="1" applyFont="1" applyBorder="1" applyAlignment="1">
      <alignment horizontal="center" vertical="center" wrapText="1"/>
    </xf>
    <xf numFmtId="0" fontId="11" fillId="0" borderId="212" xfId="29" applyFont="1" applyBorder="1" applyAlignment="1">
      <alignment horizontal="center" vertical="center" wrapText="1"/>
    </xf>
    <xf numFmtId="3" fontId="11" fillId="0" borderId="126" xfId="29" applyNumberFormat="1" applyFont="1" applyBorder="1" applyAlignment="1">
      <alignment horizontal="center" vertical="center" wrapText="1"/>
    </xf>
    <xf numFmtId="0" fontId="11" fillId="0" borderId="0" xfId="50" applyFont="1" applyAlignment="1" applyProtection="1">
      <alignment horizontal="center" vertical="center"/>
      <protection locked="0"/>
    </xf>
    <xf numFmtId="3" fontId="11" fillId="0" borderId="0" xfId="50" applyNumberFormat="1" applyFont="1" applyAlignment="1" applyProtection="1">
      <alignment horizontal="center" vertical="center"/>
      <protection locked="0"/>
    </xf>
    <xf numFmtId="3" fontId="11" fillId="0" borderId="0" xfId="34" applyNumberFormat="1" applyFont="1" applyAlignment="1" applyProtection="1">
      <alignment horizontal="right"/>
      <protection locked="0"/>
    </xf>
    <xf numFmtId="0" fontId="11" fillId="0" borderId="0" xfId="50" applyFont="1" applyProtection="1">
      <protection locked="0"/>
    </xf>
    <xf numFmtId="0" fontId="11" fillId="0" borderId="0" xfId="34" applyFont="1" applyProtection="1">
      <protection locked="0"/>
    </xf>
    <xf numFmtId="0" fontId="11" fillId="0" borderId="0" xfId="34" applyFont="1" applyAlignment="1" applyProtection="1">
      <alignment horizontal="center" vertical="center"/>
      <protection locked="0"/>
    </xf>
    <xf numFmtId="0" fontId="18" fillId="0" borderId="0" xfId="34" applyFont="1" applyAlignment="1" applyProtection="1">
      <alignment horizontal="center" vertical="top"/>
      <protection locked="0"/>
    </xf>
    <xf numFmtId="0" fontId="18" fillId="0" borderId="0" xfId="34" applyFont="1" applyAlignment="1" applyProtection="1">
      <alignment wrapText="1"/>
      <protection locked="0"/>
    </xf>
    <xf numFmtId="3" fontId="18" fillId="0" borderId="0" xfId="34" applyNumberFormat="1" applyFont="1" applyAlignment="1" applyProtection="1">
      <alignment horizontal="center" vertical="center" wrapText="1"/>
      <protection locked="0"/>
    </xf>
    <xf numFmtId="3" fontId="18" fillId="0" borderId="0" xfId="34" applyNumberFormat="1" applyFont="1" applyAlignment="1" applyProtection="1">
      <alignment horizontal="right"/>
      <protection locked="0"/>
    </xf>
    <xf numFmtId="3" fontId="20" fillId="0" borderId="0" xfId="34" applyNumberFormat="1" applyFont="1" applyAlignment="1" applyProtection="1">
      <alignment horizontal="right"/>
      <protection locked="0"/>
    </xf>
    <xf numFmtId="0" fontId="15" fillId="0" borderId="0" xfId="34" applyFont="1" applyAlignment="1" applyProtection="1">
      <alignment horizontal="center"/>
      <protection locked="0"/>
    </xf>
    <xf numFmtId="0" fontId="15" fillId="0" borderId="0" xfId="35" applyFont="1" applyAlignment="1" applyProtection="1">
      <alignment horizontal="center" wrapText="1"/>
      <protection locked="0"/>
    </xf>
    <xf numFmtId="3" fontId="15" fillId="0" borderId="0" xfId="35" applyNumberFormat="1" applyFont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5" fillId="0" borderId="0" xfId="34" applyFont="1" applyAlignment="1" applyProtection="1">
      <alignment horizontal="center" vertical="center"/>
      <protection locked="0"/>
    </xf>
    <xf numFmtId="0" fontId="21" fillId="0" borderId="120" xfId="35" applyFont="1" applyBorder="1" applyAlignment="1" applyProtection="1">
      <alignment horizontal="center" vertical="center"/>
      <protection locked="0"/>
    </xf>
    <xf numFmtId="0" fontId="21" fillId="0" borderId="0" xfId="34" applyFont="1" applyAlignment="1" applyProtection="1">
      <alignment horizontal="left" vertical="center"/>
      <protection locked="0"/>
    </xf>
    <xf numFmtId="0" fontId="21" fillId="0" borderId="61" xfId="35" applyFont="1" applyBorder="1" applyAlignment="1" applyProtection="1">
      <alignment horizontal="center" vertical="center"/>
      <protection locked="0"/>
    </xf>
    <xf numFmtId="3" fontId="18" fillId="0" borderId="0" xfId="50" applyNumberFormat="1" applyFont="1" applyAlignment="1" applyProtection="1">
      <alignment horizontal="left" vertical="top"/>
      <protection locked="0"/>
    </xf>
    <xf numFmtId="3" fontId="18" fillId="0" borderId="0" xfId="50" applyNumberFormat="1" applyFont="1" applyAlignment="1" applyProtection="1">
      <alignment horizontal="center" vertical="top"/>
      <protection locked="0"/>
    </xf>
    <xf numFmtId="3" fontId="18" fillId="0" borderId="0" xfId="50" applyNumberFormat="1" applyFont="1" applyAlignment="1" applyProtection="1">
      <alignment horizontal="center" vertical="center"/>
      <protection locked="0"/>
    </xf>
    <xf numFmtId="3" fontId="18" fillId="0" borderId="0" xfId="35" applyNumberFormat="1" applyFont="1" applyAlignment="1" applyProtection="1">
      <alignment horizontal="right"/>
      <protection locked="0"/>
    </xf>
    <xf numFmtId="3" fontId="18" fillId="0" borderId="0" xfId="34" applyNumberFormat="1" applyFont="1" applyAlignment="1" applyProtection="1">
      <alignment horizontal="right" vertical="center"/>
      <protection locked="0"/>
    </xf>
    <xf numFmtId="3" fontId="20" fillId="0" borderId="25" xfId="0" applyNumberFormat="1" applyFont="1" applyBorder="1"/>
    <xf numFmtId="3" fontId="36" fillId="0" borderId="17" xfId="0" applyNumberFormat="1" applyFont="1" applyBorder="1"/>
    <xf numFmtId="0" fontId="27" fillId="0" borderId="17" xfId="0" applyFont="1" applyBorder="1"/>
    <xf numFmtId="3" fontId="24" fillId="0" borderId="105" xfId="0" applyNumberFormat="1" applyFont="1" applyBorder="1"/>
    <xf numFmtId="3" fontId="35" fillId="0" borderId="129" xfId="0" applyNumberFormat="1" applyFont="1" applyBorder="1"/>
    <xf numFmtId="3" fontId="36" fillId="0" borderId="44" xfId="0" applyNumberFormat="1" applyFont="1" applyBorder="1"/>
    <xf numFmtId="3" fontId="21" fillId="0" borderId="105" xfId="0" applyNumberFormat="1" applyFont="1" applyBorder="1"/>
    <xf numFmtId="3" fontId="36" fillId="0" borderId="129" xfId="0" applyNumberFormat="1" applyFont="1" applyBorder="1"/>
    <xf numFmtId="3" fontId="36" fillId="0" borderId="131" xfId="0" applyNumberFormat="1" applyFont="1" applyBorder="1"/>
    <xf numFmtId="3" fontId="20" fillId="0" borderId="42" xfId="0" applyNumberFormat="1" applyFont="1" applyBorder="1"/>
    <xf numFmtId="3" fontId="24" fillId="0" borderId="42" xfId="0" applyNumberFormat="1" applyFont="1" applyBorder="1"/>
    <xf numFmtId="3" fontId="18" fillId="0" borderId="7" xfId="0" applyNumberFormat="1" applyFont="1" applyBorder="1" applyAlignment="1">
      <alignment horizontal="center" vertical="center" wrapText="1"/>
    </xf>
    <xf numFmtId="3" fontId="18" fillId="0" borderId="99" xfId="33" applyNumberFormat="1" applyFont="1" applyBorder="1" applyAlignment="1">
      <alignment horizontal="left"/>
    </xf>
    <xf numFmtId="0" fontId="11" fillId="0" borderId="5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52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1" fillId="0" borderId="79" xfId="0" applyFont="1" applyBorder="1" applyAlignment="1">
      <alignment horizontal="center"/>
    </xf>
    <xf numFmtId="0" fontId="11" fillId="0" borderId="171" xfId="0" applyFont="1" applyBorder="1" applyAlignment="1">
      <alignment horizontal="center"/>
    </xf>
    <xf numFmtId="0" fontId="11" fillId="0" borderId="82" xfId="0" applyFont="1" applyBorder="1" applyAlignment="1">
      <alignment horizontal="center"/>
    </xf>
    <xf numFmtId="0" fontId="11" fillId="0" borderId="83" xfId="0" applyFont="1" applyBorder="1" applyAlignment="1">
      <alignment horizontal="center"/>
    </xf>
    <xf numFmtId="0" fontId="11" fillId="0" borderId="85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2" xfId="0" applyFont="1" applyBorder="1" applyAlignment="1">
      <alignment horizontal="center"/>
    </xf>
    <xf numFmtId="3" fontId="11" fillId="0" borderId="74" xfId="0" applyNumberFormat="1" applyFont="1" applyBorder="1" applyAlignment="1">
      <alignment horizontal="center"/>
    </xf>
    <xf numFmtId="3" fontId="11" fillId="0" borderId="8" xfId="0" applyNumberFormat="1" applyFont="1" applyBorder="1" applyAlignment="1">
      <alignment horizontal="center"/>
    </xf>
    <xf numFmtId="1" fontId="11" fillId="0" borderId="72" xfId="0" applyNumberFormat="1" applyFont="1" applyBorder="1" applyAlignment="1">
      <alignment horizontal="center"/>
    </xf>
    <xf numFmtId="3" fontId="11" fillId="0" borderId="77" xfId="0" applyNumberFormat="1" applyFont="1" applyBorder="1" applyAlignment="1">
      <alignment horizontal="center"/>
    </xf>
    <xf numFmtId="3" fontId="11" fillId="0" borderId="29" xfId="0" applyNumberFormat="1" applyFont="1" applyBorder="1" applyAlignment="1">
      <alignment horizontal="center"/>
    </xf>
    <xf numFmtId="0" fontId="11" fillId="0" borderId="81" xfId="0" applyFont="1" applyBorder="1" applyAlignment="1">
      <alignment horizontal="center"/>
    </xf>
    <xf numFmtId="0" fontId="11" fillId="0" borderId="77" xfId="0" applyFont="1" applyBorder="1" applyAlignment="1">
      <alignment horizontal="center"/>
    </xf>
    <xf numFmtId="3" fontId="11" fillId="0" borderId="72" xfId="0" applyNumberFormat="1" applyFont="1" applyBorder="1" applyAlignment="1">
      <alignment horizontal="center"/>
    </xf>
    <xf numFmtId="3" fontId="11" fillId="0" borderId="86" xfId="0" applyNumberFormat="1" applyFont="1" applyBorder="1" applyAlignment="1">
      <alignment horizontal="center"/>
    </xf>
    <xf numFmtId="3" fontId="11" fillId="0" borderId="9" xfId="0" applyNumberFormat="1" applyFont="1" applyBorder="1" applyAlignment="1">
      <alignment horizontal="center"/>
    </xf>
    <xf numFmtId="0" fontId="11" fillId="0" borderId="87" xfId="0" applyFont="1" applyBorder="1" applyAlignment="1">
      <alignment horizontal="center"/>
    </xf>
    <xf numFmtId="0" fontId="11" fillId="0" borderId="68" xfId="0" applyFont="1" applyBorder="1" applyAlignment="1">
      <alignment horizontal="center" vertical="center"/>
    </xf>
    <xf numFmtId="3" fontId="11" fillId="0" borderId="198" xfId="0" applyNumberFormat="1" applyFont="1" applyBorder="1" applyAlignment="1">
      <alignment horizontal="center" vertical="center" wrapText="1"/>
    </xf>
    <xf numFmtId="3" fontId="11" fillId="0" borderId="35" xfId="0" applyNumberFormat="1" applyFont="1" applyBorder="1" applyAlignment="1">
      <alignment horizontal="right" vertical="center"/>
    </xf>
    <xf numFmtId="0" fontId="18" fillId="0" borderId="0" xfId="32" applyFont="1" applyAlignment="1">
      <alignment horizontal="center" vertical="center"/>
    </xf>
    <xf numFmtId="0" fontId="18" fillId="0" borderId="0" xfId="31" applyFont="1" applyAlignment="1">
      <alignment horizontal="center"/>
    </xf>
    <xf numFmtId="0" fontId="15" fillId="0" borderId="0" xfId="32" applyFont="1"/>
    <xf numFmtId="0" fontId="18" fillId="0" borderId="60" xfId="30" applyFont="1" applyBorder="1" applyAlignment="1">
      <alignment horizontal="center" vertical="center" wrapText="1"/>
    </xf>
    <xf numFmtId="0" fontId="15" fillId="0" borderId="0" xfId="32" applyFont="1" applyAlignment="1">
      <alignment horizontal="center" vertical="center"/>
    </xf>
    <xf numFmtId="3" fontId="15" fillId="0" borderId="0" xfId="32" applyNumberFormat="1" applyFont="1"/>
    <xf numFmtId="0" fontId="21" fillId="0" borderId="209" xfId="30" applyFont="1" applyBorder="1" applyAlignment="1">
      <alignment horizontal="center" vertical="center"/>
    </xf>
    <xf numFmtId="3" fontId="21" fillId="0" borderId="148" xfId="32" applyNumberFormat="1" applyFont="1" applyBorder="1" applyAlignment="1">
      <alignment vertical="center"/>
    </xf>
    <xf numFmtId="0" fontId="15" fillId="0" borderId="0" xfId="32" applyFont="1" applyAlignment="1">
      <alignment vertical="center"/>
    </xf>
    <xf numFmtId="0" fontId="18" fillId="0" borderId="83" xfId="30" applyFont="1" applyBorder="1"/>
    <xf numFmtId="0" fontId="18" fillId="0" borderId="83" xfId="30" applyFont="1" applyBorder="1" applyAlignment="1">
      <alignment horizontal="center"/>
    </xf>
    <xf numFmtId="3" fontId="18" fillId="0" borderId="14" xfId="30" applyNumberFormat="1" applyFont="1" applyBorder="1" applyAlignment="1">
      <alignment horizontal="center"/>
    </xf>
    <xf numFmtId="0" fontId="18" fillId="0" borderId="5" xfId="30" applyFont="1" applyBorder="1" applyAlignment="1">
      <alignment horizontal="center"/>
    </xf>
    <xf numFmtId="0" fontId="18" fillId="0" borderId="6" xfId="30" applyFont="1" applyBorder="1"/>
    <xf numFmtId="0" fontId="18" fillId="0" borderId="6" xfId="30" applyFont="1" applyBorder="1" applyAlignment="1">
      <alignment horizontal="center"/>
    </xf>
    <xf numFmtId="3" fontId="18" fillId="0" borderId="133" xfId="30" applyNumberFormat="1" applyFont="1" applyBorder="1" applyAlignment="1">
      <alignment horizontal="center"/>
    </xf>
    <xf numFmtId="3" fontId="11" fillId="0" borderId="0" xfId="30" applyNumberFormat="1" applyFont="1" applyAlignment="1">
      <alignment horizontal="center"/>
    </xf>
    <xf numFmtId="3" fontId="21" fillId="0" borderId="148" xfId="32" applyNumberFormat="1" applyFont="1" applyBorder="1" applyAlignment="1">
      <alignment horizontal="center" vertical="center"/>
    </xf>
    <xf numFmtId="3" fontId="11" fillId="0" borderId="35" xfId="34" applyNumberFormat="1" applyFont="1" applyBorder="1" applyAlignment="1">
      <alignment horizontal="right"/>
    </xf>
    <xf numFmtId="3" fontId="11" fillId="0" borderId="16" xfId="34" applyNumberFormat="1" applyFont="1" applyBorder="1" applyAlignment="1">
      <alignment horizontal="right" vertical="top"/>
    </xf>
    <xf numFmtId="3" fontId="11" fillId="0" borderId="20" xfId="34" applyNumberFormat="1" applyFont="1" applyBorder="1" applyAlignment="1">
      <alignment horizontal="right" vertical="top"/>
    </xf>
    <xf numFmtId="3" fontId="43" fillId="0" borderId="22" xfId="0" applyNumberFormat="1" applyFont="1" applyBorder="1" applyAlignment="1">
      <alignment horizontal="center"/>
    </xf>
    <xf numFmtId="3" fontId="43" fillId="0" borderId="21" xfId="33" applyNumberFormat="1" applyFont="1" applyBorder="1" applyAlignment="1">
      <alignment horizontal="center"/>
    </xf>
    <xf numFmtId="3" fontId="35" fillId="0" borderId="62" xfId="0" applyNumberFormat="1" applyFont="1" applyBorder="1"/>
    <xf numFmtId="3" fontId="35" fillId="0" borderId="21" xfId="0" applyNumberFormat="1" applyFont="1" applyBorder="1" applyAlignment="1">
      <alignment horizontal="right" vertical="center"/>
    </xf>
    <xf numFmtId="3" fontId="35" fillId="0" borderId="25" xfId="0" applyNumberFormat="1" applyFont="1" applyBorder="1" applyAlignment="1">
      <alignment horizontal="right" vertical="center"/>
    </xf>
    <xf numFmtId="3" fontId="27" fillId="0" borderId="0" xfId="0" applyNumberFormat="1" applyFont="1"/>
    <xf numFmtId="3" fontId="18" fillId="0" borderId="43" xfId="33" applyNumberFormat="1" applyFont="1" applyBorder="1" applyAlignment="1">
      <alignment horizontal="left"/>
    </xf>
    <xf numFmtId="14" fontId="11" fillId="0" borderId="126" xfId="29" applyNumberFormat="1" applyFont="1" applyBorder="1" applyAlignment="1">
      <alignment horizontal="center" vertical="center" wrapText="1"/>
    </xf>
    <xf numFmtId="0" fontId="11" fillId="0" borderId="156" xfId="34" applyFont="1" applyBorder="1" applyAlignment="1">
      <alignment horizontal="center" wrapText="1"/>
    </xf>
    <xf numFmtId="3" fontId="11" fillId="0" borderId="140" xfId="28" applyNumberFormat="1" applyFont="1" applyBorder="1" applyAlignment="1">
      <alignment horizontal="right" vertical="center" wrapText="1"/>
    </xf>
    <xf numFmtId="3" fontId="46" fillId="0" borderId="135" xfId="28" applyNumberFormat="1" applyFont="1" applyBorder="1" applyAlignment="1">
      <alignment horizontal="right" vertical="center" wrapText="1"/>
    </xf>
    <xf numFmtId="3" fontId="39" fillId="0" borderId="155" xfId="28" applyNumberFormat="1" applyFont="1" applyBorder="1" applyAlignment="1">
      <alignment horizontal="right" wrapText="1"/>
    </xf>
    <xf numFmtId="3" fontId="46" fillId="0" borderId="134" xfId="28" applyNumberFormat="1" applyFont="1" applyBorder="1" applyAlignment="1">
      <alignment vertical="center" wrapText="1"/>
    </xf>
    <xf numFmtId="3" fontId="46" fillId="0" borderId="182" xfId="28" applyNumberFormat="1" applyFont="1" applyBorder="1" applyAlignment="1">
      <alignment vertical="center" wrapText="1"/>
    </xf>
    <xf numFmtId="3" fontId="46" fillId="0" borderId="132" xfId="28" applyNumberFormat="1" applyFont="1" applyBorder="1" applyAlignment="1">
      <alignment vertical="center" wrapText="1"/>
    </xf>
    <xf numFmtId="3" fontId="46" fillId="0" borderId="133" xfId="28" applyNumberFormat="1" applyFont="1" applyBorder="1" applyAlignment="1">
      <alignment vertical="center" wrapText="1"/>
    </xf>
    <xf numFmtId="0" fontId="39" fillId="0" borderId="134" xfId="28" applyFont="1" applyBorder="1"/>
    <xf numFmtId="3" fontId="39" fillId="0" borderId="65" xfId="34" applyNumberFormat="1" applyFont="1" applyBorder="1" applyAlignment="1">
      <alignment horizontal="right"/>
    </xf>
    <xf numFmtId="3" fontId="40" fillId="0" borderId="65" xfId="34" applyNumberFormat="1" applyFont="1" applyBorder="1" applyAlignment="1">
      <alignment horizontal="right"/>
    </xf>
    <xf numFmtId="3" fontId="46" fillId="0" borderId="157" xfId="28" applyNumberFormat="1" applyFont="1" applyBorder="1" applyAlignment="1">
      <alignment horizontal="right" vertical="center" wrapText="1"/>
    </xf>
    <xf numFmtId="3" fontId="46" fillId="0" borderId="215" xfId="28" applyNumberFormat="1" applyFont="1" applyBorder="1" applyAlignment="1">
      <alignment horizontal="right" vertical="center" wrapText="1"/>
    </xf>
    <xf numFmtId="0" fontId="45" fillId="0" borderId="0" xfId="30" applyFont="1" applyAlignment="1">
      <alignment horizontal="center"/>
    </xf>
    <xf numFmtId="0" fontId="11" fillId="0" borderId="0" xfId="0" applyFont="1" applyAlignment="1">
      <alignment horizontal="left"/>
    </xf>
    <xf numFmtId="3" fontId="11" fillId="0" borderId="7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1" fontId="11" fillId="0" borderId="0" xfId="0" applyNumberFormat="1" applyFont="1" applyAlignment="1">
      <alignment horizontal="center"/>
    </xf>
    <xf numFmtId="3" fontId="11" fillId="0" borderId="0" xfId="0" applyNumberFormat="1" applyFont="1" applyAlignment="1">
      <alignment horizont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left" indent="2"/>
    </xf>
    <xf numFmtId="0" fontId="13" fillId="0" borderId="0" xfId="0" applyFont="1" applyAlignment="1">
      <alignment horizontal="left" vertical="center" wrapText="1"/>
    </xf>
    <xf numFmtId="0" fontId="18" fillId="0" borderId="82" xfId="30" applyFont="1" applyBorder="1" applyAlignment="1">
      <alignment horizontal="center"/>
    </xf>
    <xf numFmtId="0" fontId="25" fillId="0" borderId="0" xfId="0" applyFont="1" applyAlignment="1">
      <alignment horizontal="left" wrapText="1"/>
    </xf>
    <xf numFmtId="3" fontId="25" fillId="0" borderId="35" xfId="0" applyNumberFormat="1" applyFont="1" applyBorder="1" applyAlignment="1">
      <alignment horizontal="right"/>
    </xf>
    <xf numFmtId="0" fontId="11" fillId="0" borderId="137" xfId="34" applyFont="1" applyBorder="1" applyAlignment="1">
      <alignment horizontal="center" vertical="top" wrapText="1"/>
    </xf>
    <xf numFmtId="3" fontId="35" fillId="0" borderId="16" xfId="27" applyNumberFormat="1" applyFont="1" applyBorder="1" applyAlignment="1">
      <alignment wrapText="1"/>
    </xf>
    <xf numFmtId="4" fontId="15" fillId="0" borderId="18" xfId="0" applyNumberFormat="1" applyFont="1" applyBorder="1" applyAlignment="1">
      <alignment horizontal="center" wrapText="1"/>
    </xf>
    <xf numFmtId="0" fontId="20" fillId="0" borderId="0" xfId="32" applyFont="1" applyAlignment="1">
      <alignment horizontal="right"/>
    </xf>
    <xf numFmtId="0" fontId="18" fillId="0" borderId="21" xfId="34" applyFont="1" applyBorder="1" applyAlignment="1" applyProtection="1">
      <alignment horizontal="left" wrapText="1"/>
      <protection locked="0"/>
    </xf>
    <xf numFmtId="3" fontId="21" fillId="0" borderId="0" xfId="34" applyNumberFormat="1" applyFont="1" applyAlignment="1" applyProtection="1">
      <alignment horizontal="left" vertical="center"/>
      <protection locked="0"/>
    </xf>
    <xf numFmtId="3" fontId="13" fillId="0" borderId="144" xfId="0" applyNumberFormat="1" applyFont="1" applyBorder="1" applyAlignment="1">
      <alignment horizontal="right" vertical="center"/>
    </xf>
    <xf numFmtId="0" fontId="18" fillId="0" borderId="16" xfId="34" applyFont="1" applyBorder="1" applyAlignment="1">
      <alignment horizontal="center" vertical="top"/>
    </xf>
    <xf numFmtId="0" fontId="15" fillId="0" borderId="0" xfId="15" applyFont="1" applyAlignment="1">
      <alignment horizontal="center" vertical="center"/>
    </xf>
    <xf numFmtId="3" fontId="11" fillId="0" borderId="0" xfId="15" applyNumberFormat="1" applyFont="1" applyAlignment="1">
      <alignment horizontal="center" vertical="center"/>
    </xf>
    <xf numFmtId="0" fontId="15" fillId="0" borderId="0" xfId="34" applyFont="1" applyAlignment="1">
      <alignment horizontal="center" vertical="center"/>
    </xf>
    <xf numFmtId="0" fontId="18" fillId="0" borderId="0" xfId="34" applyFont="1" applyAlignment="1">
      <alignment horizontal="center" vertical="center"/>
    </xf>
    <xf numFmtId="0" fontId="18" fillId="0" borderId="0" xfId="34" applyFont="1" applyAlignment="1">
      <alignment horizontal="center" vertical="top"/>
    </xf>
    <xf numFmtId="0" fontId="18" fillId="0" borderId="0" xfId="34" applyFont="1" applyAlignment="1">
      <alignment wrapText="1"/>
    </xf>
    <xf numFmtId="3" fontId="18" fillId="0" borderId="0" xfId="34" applyNumberFormat="1" applyFont="1" applyAlignment="1">
      <alignment horizontal="center" vertical="center" wrapText="1"/>
    </xf>
    <xf numFmtId="0" fontId="15" fillId="0" borderId="0" xfId="35" applyFont="1" applyAlignment="1">
      <alignment horizontal="center" vertical="center" wrapText="1"/>
    </xf>
    <xf numFmtId="3" fontId="15" fillId="0" borderId="0" xfId="35" applyNumberFormat="1" applyFont="1" applyAlignment="1">
      <alignment horizontal="center" vertical="center"/>
    </xf>
    <xf numFmtId="3" fontId="18" fillId="0" borderId="6" xfId="34" applyNumberFormat="1" applyFont="1" applyBorder="1" applyAlignment="1">
      <alignment horizontal="center" vertical="center" wrapText="1"/>
    </xf>
    <xf numFmtId="3" fontId="18" fillId="0" borderId="7" xfId="34" applyNumberFormat="1" applyFont="1" applyBorder="1" applyAlignment="1">
      <alignment horizontal="center" vertical="center" wrapText="1"/>
    </xf>
    <xf numFmtId="3" fontId="15" fillId="0" borderId="0" xfId="34" applyNumberFormat="1" applyFont="1" applyAlignment="1">
      <alignment horizontal="center" vertical="center"/>
    </xf>
    <xf numFmtId="0" fontId="18" fillId="0" borderId="23" xfId="34" applyFont="1" applyBorder="1" applyAlignment="1">
      <alignment horizontal="center"/>
    </xf>
    <xf numFmtId="3" fontId="18" fillId="0" borderId="118" xfId="29" applyNumberFormat="1" applyFont="1" applyBorder="1" applyAlignment="1">
      <alignment horizontal="left" vertical="center" wrapText="1"/>
    </xf>
    <xf numFmtId="3" fontId="18" fillId="0" borderId="21" xfId="34" applyNumberFormat="1" applyFont="1" applyBorder="1" applyAlignment="1">
      <alignment horizontal="right" vertical="center"/>
    </xf>
    <xf numFmtId="3" fontId="18" fillId="0" borderId="21" xfId="28" applyNumberFormat="1" applyFont="1" applyBorder="1" applyAlignment="1">
      <alignment horizontal="right" vertical="center"/>
    </xf>
    <xf numFmtId="0" fontId="18" fillId="0" borderId="62" xfId="34" applyFont="1" applyBorder="1" applyAlignment="1">
      <alignment horizontal="center" vertical="center" wrapText="1"/>
    </xf>
    <xf numFmtId="3" fontId="18" fillId="0" borderId="111" xfId="28" applyNumberFormat="1" applyFont="1" applyBorder="1" applyAlignment="1">
      <alignment horizontal="right" vertical="center" wrapText="1"/>
    </xf>
    <xf numFmtId="3" fontId="18" fillId="0" borderId="41" xfId="28" applyNumberFormat="1" applyFont="1" applyBorder="1" applyAlignment="1">
      <alignment horizontal="right" vertical="center" wrapText="1"/>
    </xf>
    <xf numFmtId="3" fontId="18" fillId="0" borderId="124" xfId="28" applyNumberFormat="1" applyFont="1" applyBorder="1" applyAlignment="1">
      <alignment horizontal="right" vertical="center" wrapText="1"/>
    </xf>
    <xf numFmtId="3" fontId="18" fillId="0" borderId="122" xfId="34" applyNumberFormat="1" applyFont="1" applyBorder="1" applyAlignment="1">
      <alignment horizontal="right" vertical="center"/>
    </xf>
    <xf numFmtId="0" fontId="18" fillId="0" borderId="15" xfId="34" applyFont="1" applyBorder="1" applyAlignment="1">
      <alignment horizontal="center" vertical="center"/>
    </xf>
    <xf numFmtId="3" fontId="18" fillId="0" borderId="16" xfId="34" applyNumberFormat="1" applyFont="1" applyBorder="1" applyAlignment="1">
      <alignment horizontal="right" vertical="center"/>
    </xf>
    <xf numFmtId="3" fontId="18" fillId="0" borderId="16" xfId="28" applyNumberFormat="1" applyFont="1" applyBorder="1" applyAlignment="1">
      <alignment horizontal="right" vertical="center"/>
    </xf>
    <xf numFmtId="0" fontId="18" fillId="0" borderId="46" xfId="34" applyFont="1" applyBorder="1" applyAlignment="1">
      <alignment horizontal="center" vertical="center" wrapText="1"/>
    </xf>
    <xf numFmtId="3" fontId="18" fillId="0" borderId="99" xfId="28" applyNumberFormat="1" applyFont="1" applyBorder="1" applyAlignment="1">
      <alignment horizontal="right" vertical="center" wrapText="1"/>
    </xf>
    <xf numFmtId="3" fontId="18" fillId="0" borderId="16" xfId="28" applyNumberFormat="1" applyFont="1" applyBorder="1" applyAlignment="1">
      <alignment horizontal="right" vertical="center" wrapText="1"/>
    </xf>
    <xf numFmtId="3" fontId="18" fillId="0" borderId="125" xfId="28" applyNumberFormat="1" applyFont="1" applyBorder="1" applyAlignment="1">
      <alignment horizontal="right" vertical="center" wrapText="1"/>
    </xf>
    <xf numFmtId="3" fontId="18" fillId="0" borderId="123" xfId="34" applyNumberFormat="1" applyFont="1" applyBorder="1" applyAlignment="1">
      <alignment horizontal="right" vertical="center"/>
    </xf>
    <xf numFmtId="0" fontId="18" fillId="0" borderId="16" xfId="34" applyFont="1" applyBorder="1" applyAlignment="1">
      <alignment horizontal="center"/>
    </xf>
    <xf numFmtId="0" fontId="11" fillId="0" borderId="16" xfId="34" applyFont="1" applyBorder="1" applyAlignment="1">
      <alignment wrapText="1"/>
    </xf>
    <xf numFmtId="3" fontId="18" fillId="0" borderId="99" xfId="34" applyNumberFormat="1" applyFont="1" applyBorder="1" applyAlignment="1">
      <alignment horizontal="right" vertical="center"/>
    </xf>
    <xf numFmtId="0" fontId="18" fillId="0" borderId="0" xfId="34" applyFont="1" applyAlignment="1">
      <alignment vertical="center"/>
    </xf>
    <xf numFmtId="3" fontId="18" fillId="0" borderId="208" xfId="34" applyNumberFormat="1" applyFont="1" applyBorder="1" applyAlignment="1">
      <alignment horizontal="right" vertical="center"/>
    </xf>
    <xf numFmtId="0" fontId="31" fillId="0" borderId="16" xfId="28" applyFont="1" applyBorder="1" applyAlignment="1">
      <alignment wrapText="1"/>
    </xf>
    <xf numFmtId="0" fontId="18" fillId="0" borderId="99" xfId="34" applyFont="1" applyBorder="1" applyAlignment="1">
      <alignment horizontal="center" vertical="center" wrapText="1"/>
    </xf>
    <xf numFmtId="3" fontId="18" fillId="0" borderId="147" xfId="28" applyNumberFormat="1" applyFont="1" applyBorder="1" applyAlignment="1">
      <alignment horizontal="right" vertical="center" wrapText="1"/>
    </xf>
    <xf numFmtId="3" fontId="35" fillId="0" borderId="64" xfId="27" applyNumberFormat="1" applyFont="1" applyBorder="1" applyAlignment="1">
      <alignment wrapText="1"/>
    </xf>
    <xf numFmtId="3" fontId="21" fillId="0" borderId="16" xfId="34" applyNumberFormat="1" applyFont="1" applyBorder="1" applyAlignment="1">
      <alignment horizontal="right" vertical="center"/>
    </xf>
    <xf numFmtId="3" fontId="21" fillId="0" borderId="147" xfId="28" applyNumberFormat="1" applyFont="1" applyBorder="1" applyAlignment="1">
      <alignment horizontal="right" vertical="center" wrapText="1"/>
    </xf>
    <xf numFmtId="3" fontId="20" fillId="0" borderId="16" xfId="34" applyNumberFormat="1" applyFont="1" applyBorder="1" applyAlignment="1">
      <alignment horizontal="right" vertical="center"/>
    </xf>
    <xf numFmtId="3" fontId="48" fillId="0" borderId="16" xfId="34" applyNumberFormat="1" applyFont="1" applyBorder="1" applyAlignment="1">
      <alignment horizontal="right" vertical="center"/>
    </xf>
    <xf numFmtId="3" fontId="48" fillId="0" borderId="147" xfId="28" applyNumberFormat="1" applyFont="1" applyBorder="1" applyAlignment="1">
      <alignment horizontal="right" vertical="center" wrapText="1"/>
    </xf>
    <xf numFmtId="3" fontId="20" fillId="0" borderId="147" xfId="28" applyNumberFormat="1" applyFont="1" applyBorder="1" applyAlignment="1">
      <alignment horizontal="right" vertical="center" wrapText="1"/>
    </xf>
    <xf numFmtId="3" fontId="47" fillId="0" borderId="64" xfId="27" applyNumberFormat="1" applyFont="1" applyBorder="1" applyAlignment="1">
      <alignment wrapText="1"/>
    </xf>
    <xf numFmtId="3" fontId="18" fillId="0" borderId="0" xfId="34" applyNumberFormat="1" applyFont="1" applyAlignment="1">
      <alignment horizontal="right" vertical="center"/>
    </xf>
    <xf numFmtId="0" fontId="18" fillId="0" borderId="106" xfId="34" applyFont="1" applyBorder="1" applyAlignment="1">
      <alignment horizontal="center" vertical="center"/>
    </xf>
    <xf numFmtId="3" fontId="47" fillId="0" borderId="16" xfId="27" applyNumberFormat="1" applyFont="1" applyBorder="1" applyAlignment="1">
      <alignment wrapText="1"/>
    </xf>
    <xf numFmtId="0" fontId="11" fillId="0" borderId="16" xfId="28" applyFont="1" applyBorder="1" applyAlignment="1">
      <alignment wrapText="1" shrinkToFit="1"/>
    </xf>
    <xf numFmtId="0" fontId="11" fillId="0" borderId="16" xfId="0" applyFont="1" applyBorder="1" applyAlignment="1">
      <alignment wrapText="1" shrinkToFit="1"/>
    </xf>
    <xf numFmtId="3" fontId="18" fillId="0" borderId="0" xfId="15" applyNumberFormat="1" applyFont="1" applyAlignment="1">
      <alignment horizontal="left" vertical="top"/>
    </xf>
    <xf numFmtId="3" fontId="18" fillId="0" borderId="0" xfId="35" applyNumberFormat="1" applyFont="1" applyAlignment="1">
      <alignment horizontal="right"/>
    </xf>
    <xf numFmtId="3" fontId="18" fillId="0" borderId="0" xfId="15" applyNumberFormat="1" applyFont="1" applyAlignment="1">
      <alignment horizontal="center" vertical="center"/>
    </xf>
    <xf numFmtId="3" fontId="21" fillId="0" borderId="132" xfId="28" applyNumberFormat="1" applyFont="1" applyBorder="1" applyAlignment="1">
      <alignment vertical="center" wrapText="1"/>
    </xf>
    <xf numFmtId="3" fontId="21" fillId="0" borderId="133" xfId="28" applyNumberFormat="1" applyFont="1" applyBorder="1" applyAlignment="1">
      <alignment vertical="center" wrapText="1"/>
    </xf>
    <xf numFmtId="0" fontId="18" fillId="0" borderId="222" xfId="34" applyFont="1" applyBorder="1" applyAlignment="1">
      <alignment horizontal="center" vertical="center"/>
    </xf>
    <xf numFmtId="3" fontId="18" fillId="0" borderId="145" xfId="28" applyNumberFormat="1" applyFont="1" applyBorder="1" applyAlignment="1">
      <alignment horizontal="right" vertical="center" wrapText="1"/>
    </xf>
    <xf numFmtId="3" fontId="18" fillId="0" borderId="151" xfId="34" applyNumberFormat="1" applyFont="1" applyBorder="1" applyAlignment="1">
      <alignment horizontal="right" vertical="center"/>
    </xf>
    <xf numFmtId="3" fontId="11" fillId="0" borderId="69" xfId="0" applyNumberFormat="1" applyFont="1" applyBorder="1" applyAlignment="1">
      <alignment horizontal="center" vertical="center" wrapText="1"/>
    </xf>
    <xf numFmtId="3" fontId="11" fillId="0" borderId="184" xfId="0" applyNumberFormat="1" applyFont="1" applyBorder="1" applyAlignment="1">
      <alignment horizontal="center" vertical="center" wrapText="1"/>
    </xf>
    <xf numFmtId="3" fontId="11" fillId="0" borderId="71" xfId="0" applyNumberFormat="1" applyFont="1" applyBorder="1" applyAlignment="1">
      <alignment horizontal="right" vertical="center" textRotation="180"/>
    </xf>
    <xf numFmtId="3" fontId="11" fillId="0" borderId="200" xfId="0" applyNumberFormat="1" applyFont="1" applyBorder="1" applyAlignment="1">
      <alignment horizontal="right" vertical="center" textRotation="180"/>
    </xf>
    <xf numFmtId="3" fontId="11" fillId="0" borderId="192" xfId="0" applyNumberFormat="1" applyFont="1" applyBorder="1" applyAlignment="1">
      <alignment horizontal="right"/>
    </xf>
    <xf numFmtId="3" fontId="13" fillId="0" borderId="73" xfId="0" applyNumberFormat="1" applyFont="1" applyBorder="1" applyAlignment="1">
      <alignment horizontal="right" vertical="center"/>
    </xf>
    <xf numFmtId="3" fontId="13" fillId="0" borderId="185" xfId="0" applyNumberFormat="1" applyFont="1" applyBorder="1" applyAlignment="1">
      <alignment horizontal="right" vertical="center"/>
    </xf>
    <xf numFmtId="3" fontId="11" fillId="0" borderId="192" xfId="0" applyNumberFormat="1" applyFont="1" applyBorder="1" applyAlignment="1">
      <alignment horizontal="right" vertical="center" textRotation="180"/>
    </xf>
    <xf numFmtId="3" fontId="13" fillId="0" borderId="228" xfId="0" applyNumberFormat="1" applyFont="1" applyBorder="1" applyAlignment="1">
      <alignment horizontal="right" vertical="center"/>
    </xf>
    <xf numFmtId="3" fontId="13" fillId="0" borderId="229" xfId="0" applyNumberFormat="1" applyFont="1" applyBorder="1" applyAlignment="1">
      <alignment horizontal="right" vertical="center"/>
    </xf>
    <xf numFmtId="3" fontId="13" fillId="0" borderId="230" xfId="0" applyNumberFormat="1" applyFont="1" applyBorder="1" applyAlignment="1">
      <alignment horizontal="right" vertical="center"/>
    </xf>
    <xf numFmtId="3" fontId="11" fillId="0" borderId="192" xfId="0" applyNumberFormat="1" applyFont="1" applyBorder="1" applyAlignment="1">
      <alignment horizontal="right" vertical="center"/>
    </xf>
    <xf numFmtId="3" fontId="11" fillId="0" borderId="228" xfId="0" applyNumberFormat="1" applyFont="1" applyBorder="1" applyAlignment="1">
      <alignment horizontal="right" vertical="center"/>
    </xf>
    <xf numFmtId="3" fontId="11" fillId="0" borderId="90" xfId="0" applyNumberFormat="1" applyFont="1" applyBorder="1" applyAlignment="1">
      <alignment horizontal="right" vertical="center"/>
    </xf>
    <xf numFmtId="3" fontId="11" fillId="0" borderId="231" xfId="0" applyNumberFormat="1" applyFont="1" applyBorder="1" applyAlignment="1">
      <alignment horizontal="right" vertical="center"/>
    </xf>
    <xf numFmtId="165" fontId="11" fillId="0" borderId="192" xfId="36" applyNumberFormat="1" applyFont="1" applyFill="1" applyBorder="1" applyAlignment="1">
      <alignment horizontal="right"/>
    </xf>
    <xf numFmtId="165" fontId="11" fillId="0" borderId="150" xfId="36" applyNumberFormat="1" applyFont="1" applyFill="1" applyBorder="1" applyAlignment="1">
      <alignment horizontal="right"/>
    </xf>
    <xf numFmtId="3" fontId="18" fillId="0" borderId="141" xfId="34" applyNumberFormat="1" applyFont="1" applyBorder="1" applyAlignment="1">
      <alignment horizontal="center" vertical="center" wrapText="1"/>
    </xf>
    <xf numFmtId="3" fontId="21" fillId="0" borderId="232" xfId="28" applyNumberFormat="1" applyFont="1" applyBorder="1" applyAlignment="1">
      <alignment vertical="center" wrapText="1"/>
    </xf>
    <xf numFmtId="3" fontId="21" fillId="0" borderId="14" xfId="28" applyNumberFormat="1" applyFont="1" applyBorder="1" applyAlignment="1">
      <alignment vertical="center" wrapText="1"/>
    </xf>
    <xf numFmtId="0" fontId="18" fillId="0" borderId="103" xfId="34" applyFont="1" applyBorder="1" applyAlignment="1">
      <alignment horizontal="center" vertical="center" wrapText="1"/>
    </xf>
    <xf numFmtId="3" fontId="18" fillId="0" borderId="14" xfId="34" applyNumberFormat="1" applyFont="1" applyBorder="1" applyAlignment="1">
      <alignment horizontal="right" vertical="center"/>
    </xf>
    <xf numFmtId="3" fontId="18" fillId="0" borderId="138" xfId="28" applyNumberFormat="1" applyFont="1" applyBorder="1" applyAlignment="1">
      <alignment horizontal="right" vertical="center" wrapText="1"/>
    </xf>
    <xf numFmtId="3" fontId="18" fillId="0" borderId="213" xfId="34" applyNumberFormat="1" applyFont="1" applyBorder="1" applyAlignment="1">
      <alignment horizontal="right" vertical="center"/>
    </xf>
    <xf numFmtId="3" fontId="21" fillId="0" borderId="98" xfId="28" applyNumberFormat="1" applyFont="1" applyBorder="1" applyAlignment="1">
      <alignment vertical="center" wrapText="1"/>
    </xf>
    <xf numFmtId="3" fontId="21" fillId="0" borderId="221" xfId="28" applyNumberFormat="1" applyFont="1" applyBorder="1" applyAlignment="1">
      <alignment vertical="center" wrapText="1"/>
    </xf>
    <xf numFmtId="3" fontId="21" fillId="0" borderId="223" xfId="28" applyNumberFormat="1" applyFont="1" applyBorder="1" applyAlignment="1">
      <alignment horizontal="right" vertical="center" wrapText="1"/>
    </xf>
    <xf numFmtId="3" fontId="21" fillId="0" borderId="221" xfId="28" applyNumberFormat="1" applyFont="1" applyBorder="1" applyAlignment="1">
      <alignment horizontal="right" vertical="center" wrapText="1"/>
    </xf>
    <xf numFmtId="3" fontId="21" fillId="0" borderId="224" xfId="28" applyNumberFormat="1" applyFont="1" applyBorder="1" applyAlignment="1">
      <alignment horizontal="right" vertical="center" wrapText="1"/>
    </xf>
    <xf numFmtId="3" fontId="21" fillId="0" borderId="13" xfId="28" applyNumberFormat="1" applyFont="1" applyBorder="1" applyAlignment="1">
      <alignment vertical="center" wrapText="1"/>
    </xf>
    <xf numFmtId="3" fontId="21" fillId="0" borderId="15" xfId="28" applyNumberFormat="1" applyFont="1" applyBorder="1" applyAlignment="1">
      <alignment vertical="center" wrapText="1"/>
    </xf>
    <xf numFmtId="3" fontId="21" fillId="0" borderId="16" xfId="28" applyNumberFormat="1" applyFont="1" applyBorder="1" applyAlignment="1">
      <alignment vertical="center" wrapText="1"/>
    </xf>
    <xf numFmtId="3" fontId="21" fillId="0" borderId="103" xfId="28" applyNumberFormat="1" applyFont="1" applyBorder="1" applyAlignment="1">
      <alignment horizontal="right" vertical="center" wrapText="1"/>
    </xf>
    <xf numFmtId="3" fontId="21" fillId="0" borderId="14" xfId="28" applyNumberFormat="1" applyFont="1" applyBorder="1" applyAlignment="1">
      <alignment horizontal="right" vertical="center" wrapText="1"/>
    </xf>
    <xf numFmtId="3" fontId="21" fillId="0" borderId="46" xfId="28" applyNumberFormat="1" applyFont="1" applyBorder="1" applyAlignment="1">
      <alignment horizontal="right" vertical="center" wrapText="1"/>
    </xf>
    <xf numFmtId="3" fontId="21" fillId="0" borderId="16" xfId="28" applyNumberFormat="1" applyFont="1" applyBorder="1" applyAlignment="1">
      <alignment horizontal="right" vertical="center" wrapText="1"/>
    </xf>
    <xf numFmtId="3" fontId="21" fillId="0" borderId="140" xfId="28" applyNumberFormat="1" applyFont="1" applyBorder="1" applyAlignment="1">
      <alignment horizontal="right" vertical="center" wrapText="1"/>
    </xf>
    <xf numFmtId="3" fontId="21" fillId="0" borderId="213" xfId="28" applyNumberFormat="1" applyFont="1" applyBorder="1" applyAlignment="1">
      <alignment horizontal="right" vertical="center" wrapText="1"/>
    </xf>
    <xf numFmtId="3" fontId="21" fillId="0" borderId="208" xfId="28" applyNumberFormat="1" applyFont="1" applyBorder="1" applyAlignment="1">
      <alignment horizontal="right" vertical="center" wrapText="1"/>
    </xf>
    <xf numFmtId="3" fontId="21" fillId="0" borderId="233" xfId="28" applyNumberFormat="1" applyFont="1" applyBorder="1" applyAlignment="1">
      <alignment horizontal="right" vertical="center" wrapText="1"/>
    </xf>
    <xf numFmtId="3" fontId="21" fillId="0" borderId="138" xfId="28" applyNumberFormat="1" applyFont="1" applyBorder="1" applyAlignment="1">
      <alignment horizontal="right" vertical="center" wrapText="1"/>
    </xf>
    <xf numFmtId="3" fontId="21" fillId="0" borderId="125" xfId="28" applyNumberFormat="1" applyFont="1" applyBorder="1" applyAlignment="1">
      <alignment horizontal="right" vertical="center" wrapText="1"/>
    </xf>
    <xf numFmtId="3" fontId="21" fillId="0" borderId="157" xfId="28" applyNumberFormat="1" applyFont="1" applyBorder="1" applyAlignment="1">
      <alignment horizontal="right" vertical="center" wrapText="1"/>
    </xf>
    <xf numFmtId="3" fontId="21" fillId="0" borderId="145" xfId="28" applyNumberFormat="1" applyFont="1" applyBorder="1" applyAlignment="1">
      <alignment horizontal="right" vertical="center" wrapText="1"/>
    </xf>
    <xf numFmtId="3" fontId="18" fillId="0" borderId="133" xfId="28" applyNumberFormat="1" applyFont="1" applyBorder="1" applyAlignment="1">
      <alignment horizontal="right" vertical="center" wrapText="1"/>
    </xf>
    <xf numFmtId="3" fontId="21" fillId="0" borderId="23" xfId="28" applyNumberFormat="1" applyFont="1" applyBorder="1" applyAlignment="1">
      <alignment vertical="center" wrapText="1"/>
    </xf>
    <xf numFmtId="3" fontId="21" fillId="0" borderId="21" xfId="28" applyNumberFormat="1" applyFont="1" applyBorder="1" applyAlignment="1">
      <alignment vertical="center" wrapText="1"/>
    </xf>
    <xf numFmtId="3" fontId="18" fillId="0" borderId="100" xfId="28" applyNumberFormat="1" applyFont="1" applyBorder="1" applyAlignment="1">
      <alignment horizontal="right" vertical="center" wrapText="1"/>
    </xf>
    <xf numFmtId="3" fontId="18" fillId="0" borderId="14" xfId="28" applyNumberFormat="1" applyFont="1" applyBorder="1" applyAlignment="1">
      <alignment horizontal="right" vertical="center" wrapText="1"/>
    </xf>
    <xf numFmtId="3" fontId="18" fillId="0" borderId="234" xfId="34" applyNumberFormat="1" applyFont="1" applyBorder="1" applyAlignment="1">
      <alignment horizontal="right" vertical="center"/>
    </xf>
    <xf numFmtId="3" fontId="21" fillId="0" borderId="235" xfId="28" applyNumberFormat="1" applyFont="1" applyBorder="1" applyAlignment="1">
      <alignment vertical="center" wrapText="1"/>
    </xf>
    <xf numFmtId="3" fontId="21" fillId="0" borderId="95" xfId="28" applyNumberFormat="1" applyFont="1" applyBorder="1" applyAlignment="1">
      <alignment vertical="center" wrapText="1"/>
    </xf>
    <xf numFmtId="3" fontId="35" fillId="0" borderId="117" xfId="27" applyNumberFormat="1" applyFont="1" applyBorder="1" applyAlignment="1">
      <alignment wrapText="1"/>
    </xf>
    <xf numFmtId="3" fontId="21" fillId="0" borderId="214" xfId="28" applyNumberFormat="1" applyFont="1" applyBorder="1" applyAlignment="1">
      <alignment horizontal="right" vertical="center" wrapText="1"/>
    </xf>
    <xf numFmtId="3" fontId="47" fillId="0" borderId="130" xfId="27" applyNumberFormat="1" applyFont="1" applyBorder="1" applyAlignment="1">
      <alignment wrapText="1"/>
    </xf>
    <xf numFmtId="3" fontId="39" fillId="0" borderId="66" xfId="34" applyNumberFormat="1" applyFont="1" applyBorder="1" applyAlignment="1">
      <alignment horizontal="right"/>
    </xf>
    <xf numFmtId="3" fontId="40" fillId="0" borderId="99" xfId="34" applyNumberFormat="1" applyFont="1" applyBorder="1" applyAlignment="1">
      <alignment horizontal="right"/>
    </xf>
    <xf numFmtId="0" fontId="11" fillId="0" borderId="99" xfId="28" applyFont="1" applyBorder="1" applyAlignment="1">
      <alignment wrapText="1"/>
    </xf>
    <xf numFmtId="0" fontId="50" fillId="0" borderId="16" xfId="28" applyFont="1" applyBorder="1" applyAlignment="1">
      <alignment horizontal="left" wrapText="1"/>
    </xf>
    <xf numFmtId="0" fontId="11" fillId="0" borderId="21" xfId="28" applyFont="1" applyBorder="1" applyAlignment="1">
      <alignment horizontal="left" wrapText="1"/>
    </xf>
    <xf numFmtId="0" fontId="11" fillId="0" borderId="236" xfId="29" applyFont="1" applyBorder="1" applyAlignment="1">
      <alignment horizontal="center" vertical="center" wrapText="1"/>
    </xf>
    <xf numFmtId="3" fontId="11" fillId="0" borderId="91" xfId="29" applyNumberFormat="1" applyFont="1" applyBorder="1" applyAlignment="1">
      <alignment horizontal="center" vertical="center" wrapText="1"/>
    </xf>
    <xf numFmtId="3" fontId="11" fillId="0" borderId="150" xfId="29" applyNumberFormat="1" applyFont="1" applyBorder="1" applyAlignment="1">
      <alignment horizontal="center" vertical="center" wrapText="1"/>
    </xf>
    <xf numFmtId="3" fontId="13" fillId="0" borderId="114" xfId="29" applyNumberFormat="1" applyFont="1" applyBorder="1" applyAlignment="1">
      <alignment horizontal="right" vertical="center"/>
    </xf>
    <xf numFmtId="3" fontId="13" fillId="0" borderId="238" xfId="29" applyNumberFormat="1" applyFont="1" applyBorder="1" applyAlignment="1">
      <alignment horizontal="right" vertical="center"/>
    </xf>
    <xf numFmtId="3" fontId="21" fillId="0" borderId="47" xfId="33" applyNumberFormat="1" applyFont="1" applyBorder="1" applyAlignment="1">
      <alignment wrapText="1"/>
    </xf>
    <xf numFmtId="3" fontId="21" fillId="0" borderId="41" xfId="33" applyNumberFormat="1" applyFont="1" applyBorder="1" applyAlignment="1">
      <alignment wrapText="1"/>
    </xf>
    <xf numFmtId="3" fontId="11" fillId="0" borderId="108" xfId="34" applyNumberFormat="1" applyFont="1" applyBorder="1" applyAlignment="1">
      <alignment horizontal="right"/>
    </xf>
    <xf numFmtId="3" fontId="39" fillId="0" borderId="208" xfId="34" applyNumberFormat="1" applyFont="1" applyBorder="1" applyAlignment="1">
      <alignment horizontal="right"/>
    </xf>
    <xf numFmtId="3" fontId="11" fillId="0" borderId="16" xfId="28" applyNumberFormat="1" applyFont="1" applyBorder="1" applyAlignment="1">
      <alignment horizontal="right" vertical="top"/>
    </xf>
    <xf numFmtId="3" fontId="11" fillId="0" borderId="108" xfId="34" applyNumberFormat="1" applyFont="1" applyBorder="1" applyAlignment="1">
      <alignment horizontal="right" vertical="top"/>
    </xf>
    <xf numFmtId="3" fontId="18" fillId="0" borderId="150" xfId="0" applyNumberFormat="1" applyFont="1" applyBorder="1" applyAlignment="1">
      <alignment horizontal="center" vertical="center" wrapText="1"/>
    </xf>
    <xf numFmtId="1" fontId="11" fillId="0" borderId="0" xfId="27" applyNumberFormat="1" applyFont="1" applyAlignment="1">
      <alignment horizontal="center" vertical="center"/>
    </xf>
    <xf numFmtId="3" fontId="11" fillId="0" borderId="0" xfId="27" applyNumberFormat="1" applyFont="1"/>
    <xf numFmtId="3" fontId="11" fillId="0" borderId="0" xfId="27" applyNumberFormat="1" applyFont="1" applyAlignment="1">
      <alignment horizontal="right"/>
    </xf>
    <xf numFmtId="3" fontId="13" fillId="0" borderId="0" xfId="27" applyNumberFormat="1" applyFont="1" applyAlignment="1">
      <alignment horizontal="center"/>
    </xf>
    <xf numFmtId="3" fontId="13" fillId="0" borderId="0" xfId="27" applyNumberFormat="1" applyFont="1" applyAlignment="1">
      <alignment horizontal="center" vertical="center"/>
    </xf>
    <xf numFmtId="3" fontId="11" fillId="0" borderId="0" xfId="27" applyNumberFormat="1" applyFont="1" applyAlignment="1">
      <alignment vertical="center"/>
    </xf>
    <xf numFmtId="1" fontId="18" fillId="0" borderId="0" xfId="27" applyNumberFormat="1" applyFont="1" applyAlignment="1">
      <alignment horizontal="center" vertical="center"/>
    </xf>
    <xf numFmtId="3" fontId="18" fillId="0" borderId="0" xfId="27" applyNumberFormat="1" applyFont="1" applyAlignment="1">
      <alignment horizontal="center"/>
    </xf>
    <xf numFmtId="3" fontId="18" fillId="0" borderId="0" xfId="27" applyNumberFormat="1" applyFont="1" applyAlignment="1">
      <alignment horizontal="center" vertical="top"/>
    </xf>
    <xf numFmtId="0" fontId="21" fillId="0" borderId="0" xfId="27" applyFont="1" applyAlignment="1">
      <alignment vertical="top" wrapText="1"/>
    </xf>
    <xf numFmtId="3" fontId="18" fillId="0" borderId="0" xfId="27" applyNumberFormat="1" applyFont="1"/>
    <xf numFmtId="0" fontId="18" fillId="0" borderId="0" xfId="27" applyFont="1" applyAlignment="1">
      <alignment horizontal="center"/>
    </xf>
    <xf numFmtId="3" fontId="21" fillId="0" borderId="0" xfId="27" applyNumberFormat="1" applyFont="1"/>
    <xf numFmtId="3" fontId="18" fillId="0" borderId="0" xfId="27" applyNumberFormat="1" applyFont="1" applyAlignment="1">
      <alignment horizontal="right"/>
    </xf>
    <xf numFmtId="1" fontId="15" fillId="0" borderId="0" xfId="27" applyNumberFormat="1" applyFont="1" applyAlignment="1">
      <alignment horizontal="center" vertical="center"/>
    </xf>
    <xf numFmtId="3" fontId="15" fillId="0" borderId="0" xfId="27" applyNumberFormat="1" applyFont="1" applyAlignment="1">
      <alignment horizontal="center" vertical="center"/>
    </xf>
    <xf numFmtId="3" fontId="15" fillId="0" borderId="0" xfId="27" applyNumberFormat="1" applyFont="1" applyAlignment="1">
      <alignment horizontal="center" vertical="center" wrapText="1"/>
    </xf>
    <xf numFmtId="3" fontId="15" fillId="0" borderId="0" xfId="27" applyNumberFormat="1" applyFont="1" applyAlignment="1">
      <alignment horizontal="center"/>
    </xf>
    <xf numFmtId="1" fontId="26" fillId="0" borderId="0" xfId="27" applyNumberFormat="1" applyFont="1" applyAlignment="1">
      <alignment horizontal="center" vertical="center"/>
    </xf>
    <xf numFmtId="3" fontId="18" fillId="0" borderId="27" xfId="0" applyNumberFormat="1" applyFont="1" applyBorder="1" applyAlignment="1">
      <alignment horizontal="center" vertical="center" wrapText="1"/>
    </xf>
    <xf numFmtId="3" fontId="18" fillId="0" borderId="162" xfId="27" applyNumberFormat="1" applyFont="1" applyBorder="1" applyAlignment="1">
      <alignment horizontal="center"/>
    </xf>
    <xf numFmtId="0" fontId="21" fillId="0" borderId="41" xfId="27" applyFont="1" applyBorder="1" applyAlignment="1">
      <alignment horizontal="center" vertical="center" wrapText="1"/>
    </xf>
    <xf numFmtId="0" fontId="18" fillId="0" borderId="111" xfId="0" applyFont="1" applyBorder="1" applyAlignment="1">
      <alignment horizontal="center" vertical="center" textRotation="90" wrapText="1"/>
    </xf>
    <xf numFmtId="3" fontId="21" fillId="0" borderId="41" xfId="27" applyNumberFormat="1" applyFont="1" applyBorder="1" applyAlignment="1">
      <alignment horizontal="center" vertical="center" wrapText="1"/>
    </xf>
    <xf numFmtId="3" fontId="18" fillId="0" borderId="41" xfId="0" applyNumberFormat="1" applyFont="1" applyBorder="1" applyAlignment="1">
      <alignment horizontal="center" vertical="center" wrapText="1"/>
    </xf>
    <xf numFmtId="3" fontId="18" fillId="0" borderId="42" xfId="0" applyNumberFormat="1" applyFont="1" applyBorder="1" applyAlignment="1">
      <alignment horizontal="center" vertical="center" wrapText="1"/>
    </xf>
    <xf numFmtId="3" fontId="18" fillId="0" borderId="222" xfId="27" applyNumberFormat="1" applyFont="1" applyBorder="1" applyAlignment="1">
      <alignment horizontal="center"/>
    </xf>
    <xf numFmtId="3" fontId="18" fillId="0" borderId="21" xfId="27" applyNumberFormat="1" applyFont="1" applyBorder="1" applyAlignment="1">
      <alignment horizontal="center"/>
    </xf>
    <xf numFmtId="3" fontId="21" fillId="0" borderId="21" xfId="27" applyNumberFormat="1" applyFont="1" applyBorder="1" applyAlignment="1">
      <alignment wrapText="1"/>
    </xf>
    <xf numFmtId="3" fontId="18" fillId="0" borderId="62" xfId="27" applyNumberFormat="1" applyFont="1" applyBorder="1" applyAlignment="1">
      <alignment horizontal="center"/>
    </xf>
    <xf numFmtId="3" fontId="21" fillId="0" borderId="66" xfId="27" applyNumberFormat="1" applyFont="1" applyBorder="1" applyAlignment="1">
      <alignment horizontal="right"/>
    </xf>
    <xf numFmtId="3" fontId="18" fillId="0" borderId="21" xfId="0" applyNumberFormat="1" applyFont="1" applyBorder="1" applyAlignment="1">
      <alignment horizontal="right" wrapText="1"/>
    </xf>
    <xf numFmtId="3" fontId="18" fillId="0" borderId="25" xfId="0" applyNumberFormat="1" applyFont="1" applyBorder="1" applyAlignment="1">
      <alignment horizontal="right" wrapText="1"/>
    </xf>
    <xf numFmtId="3" fontId="11" fillId="0" borderId="0" xfId="27" applyNumberFormat="1" applyFont="1" applyAlignment="1">
      <alignment horizontal="center"/>
    </xf>
    <xf numFmtId="3" fontId="18" fillId="0" borderId="106" xfId="27" applyNumberFormat="1" applyFont="1" applyBorder="1" applyAlignment="1">
      <alignment horizontal="center" vertical="center"/>
    </xf>
    <xf numFmtId="3" fontId="18" fillId="0" borderId="16" xfId="27" applyNumberFormat="1" applyFont="1" applyBorder="1" applyAlignment="1">
      <alignment horizontal="center" vertical="center"/>
    </xf>
    <xf numFmtId="3" fontId="18" fillId="0" borderId="46" xfId="27" applyNumberFormat="1" applyFont="1" applyBorder="1" applyAlignment="1">
      <alignment horizontal="center"/>
    </xf>
    <xf numFmtId="3" fontId="35" fillId="0" borderId="99" xfId="27" applyNumberFormat="1" applyFont="1" applyBorder="1" applyAlignment="1">
      <alignment horizontal="right"/>
    </xf>
    <xf numFmtId="3" fontId="43" fillId="0" borderId="16" xfId="0" applyNumberFormat="1" applyFont="1" applyBorder="1" applyAlignment="1">
      <alignment horizontal="right" wrapText="1"/>
    </xf>
    <xf numFmtId="3" fontId="35" fillId="0" borderId="16" xfId="0" applyNumberFormat="1" applyFont="1" applyBorder="1" applyAlignment="1">
      <alignment horizontal="right" wrapText="1"/>
    </xf>
    <xf numFmtId="3" fontId="43" fillId="0" borderId="17" xfId="0" applyNumberFormat="1" applyFont="1" applyBorder="1" applyAlignment="1">
      <alignment horizontal="right" wrapText="1"/>
    </xf>
    <xf numFmtId="3" fontId="11" fillId="0" borderId="0" xfId="27" applyNumberFormat="1" applyFont="1" applyAlignment="1">
      <alignment horizontal="center" vertical="center"/>
    </xf>
    <xf numFmtId="3" fontId="18" fillId="0" borderId="106" xfId="27" applyNumberFormat="1" applyFont="1" applyBorder="1" applyAlignment="1">
      <alignment horizontal="center"/>
    </xf>
    <xf numFmtId="3" fontId="18" fillId="0" borderId="16" xfId="27" applyNumberFormat="1" applyFont="1" applyBorder="1" applyAlignment="1">
      <alignment horizontal="center"/>
    </xf>
    <xf numFmtId="3" fontId="21" fillId="0" borderId="16" xfId="27" applyNumberFormat="1" applyFont="1" applyBorder="1" applyAlignment="1">
      <alignment wrapText="1"/>
    </xf>
    <xf numFmtId="3" fontId="35" fillId="0" borderId="66" xfId="27" applyNumberFormat="1" applyFont="1" applyBorder="1" applyAlignment="1">
      <alignment horizontal="right"/>
    </xf>
    <xf numFmtId="3" fontId="43" fillId="0" borderId="21" xfId="0" applyNumberFormat="1" applyFont="1" applyBorder="1" applyAlignment="1">
      <alignment horizontal="right" wrapText="1"/>
    </xf>
    <xf numFmtId="3" fontId="43" fillId="0" borderId="25" xfId="0" applyNumberFormat="1" applyFont="1" applyBorder="1" applyAlignment="1">
      <alignment horizontal="right" wrapText="1"/>
    </xf>
    <xf numFmtId="3" fontId="35" fillId="0" borderId="17" xfId="0" applyNumberFormat="1" applyFont="1" applyBorder="1" applyAlignment="1">
      <alignment horizontal="right" wrapText="1"/>
    </xf>
    <xf numFmtId="3" fontId="35" fillId="0" borderId="99" xfId="27" applyNumberFormat="1" applyFont="1" applyBorder="1" applyAlignment="1">
      <alignment horizontal="right" vertical="center"/>
    </xf>
    <xf numFmtId="3" fontId="43" fillId="0" borderId="16" xfId="0" applyNumberFormat="1" applyFont="1" applyBorder="1" applyAlignment="1">
      <alignment horizontal="right" vertical="center" wrapText="1"/>
    </xf>
    <xf numFmtId="3" fontId="43" fillId="0" borderId="17" xfId="0" applyNumberFormat="1" applyFont="1" applyBorder="1" applyAlignment="1">
      <alignment horizontal="right" vertical="center" wrapText="1"/>
    </xf>
    <xf numFmtId="3" fontId="35" fillId="0" borderId="16" xfId="0" applyNumberFormat="1" applyFont="1" applyBorder="1" applyAlignment="1">
      <alignment horizontal="right" vertical="center" wrapText="1"/>
    </xf>
    <xf numFmtId="3" fontId="35" fillId="0" borderId="17" xfId="0" applyNumberFormat="1" applyFont="1" applyBorder="1" applyAlignment="1">
      <alignment horizontal="right" vertical="center" wrapText="1"/>
    </xf>
    <xf numFmtId="3" fontId="35" fillId="0" borderId="106" xfId="27" applyNumberFormat="1" applyFont="1" applyBorder="1" applyAlignment="1">
      <alignment horizontal="center" vertical="center"/>
    </xf>
    <xf numFmtId="3" fontId="35" fillId="0" borderId="16" xfId="27" applyNumberFormat="1" applyFont="1" applyBorder="1" applyAlignment="1">
      <alignment horizontal="center" vertical="center"/>
    </xf>
    <xf numFmtId="3" fontId="35" fillId="0" borderId="46" xfId="27" applyNumberFormat="1" applyFont="1" applyBorder="1" applyAlignment="1">
      <alignment horizontal="center"/>
    </xf>
    <xf numFmtId="3" fontId="39" fillId="0" borderId="0" xfId="27" applyNumberFormat="1" applyFont="1" applyAlignment="1">
      <alignment horizontal="center" vertical="center"/>
    </xf>
    <xf numFmtId="3" fontId="20" fillId="0" borderId="106" xfId="27" applyNumberFormat="1" applyFont="1" applyBorder="1" applyAlignment="1">
      <alignment horizontal="center" vertical="center"/>
    </xf>
    <xf numFmtId="3" fontId="18" fillId="0" borderId="16" xfId="27" applyNumberFormat="1" applyFont="1" applyBorder="1" applyAlignment="1">
      <alignment horizontal="center" vertical="top"/>
    </xf>
    <xf numFmtId="3" fontId="20" fillId="0" borderId="46" xfId="27" applyNumberFormat="1" applyFont="1" applyBorder="1" applyAlignment="1">
      <alignment horizontal="center"/>
    </xf>
    <xf numFmtId="3" fontId="36" fillId="0" borderId="99" xfId="27" applyNumberFormat="1" applyFont="1" applyBorder="1" applyAlignment="1">
      <alignment horizontal="right"/>
    </xf>
    <xf numFmtId="3" fontId="44" fillId="0" borderId="16" xfId="0" applyNumberFormat="1" applyFont="1" applyBorder="1" applyAlignment="1">
      <alignment horizontal="right" wrapText="1"/>
    </xf>
    <xf numFmtId="3" fontId="44" fillId="0" borderId="17" xfId="0" applyNumberFormat="1" applyFont="1" applyBorder="1" applyAlignment="1">
      <alignment horizontal="right" wrapText="1"/>
    </xf>
    <xf numFmtId="3" fontId="14" fillId="0" borderId="0" xfId="27" applyNumberFormat="1" applyFont="1" applyAlignment="1">
      <alignment horizontal="center" vertical="center"/>
    </xf>
    <xf numFmtId="3" fontId="44" fillId="0" borderId="99" xfId="27" applyNumberFormat="1" applyFont="1" applyBorder="1" applyAlignment="1">
      <alignment horizontal="right"/>
    </xf>
    <xf numFmtId="3" fontId="36" fillId="0" borderId="99" xfId="27" applyNumberFormat="1" applyFont="1" applyBorder="1" applyAlignment="1">
      <alignment horizontal="right" vertical="center"/>
    </xf>
    <xf numFmtId="3" fontId="44" fillId="0" borderId="16" xfId="0" applyNumberFormat="1" applyFont="1" applyBorder="1" applyAlignment="1">
      <alignment horizontal="right" vertical="center" wrapText="1"/>
    </xf>
    <xf numFmtId="3" fontId="44" fillId="0" borderId="17" xfId="0" applyNumberFormat="1" applyFont="1" applyBorder="1" applyAlignment="1">
      <alignment horizontal="right" vertical="center" wrapText="1"/>
    </xf>
    <xf numFmtId="3" fontId="20" fillId="0" borderId="16" xfId="27" applyNumberFormat="1" applyFont="1" applyBorder="1" applyAlignment="1">
      <alignment vertical="center" wrapText="1"/>
    </xf>
    <xf numFmtId="3" fontId="36" fillId="0" borderId="21" xfId="27" applyNumberFormat="1" applyFont="1" applyBorder="1" applyAlignment="1">
      <alignment horizontal="left" vertical="top" wrapText="1" indent="4"/>
    </xf>
    <xf numFmtId="3" fontId="36" fillId="0" borderId="106" xfId="27" applyNumberFormat="1" applyFont="1" applyBorder="1" applyAlignment="1">
      <alignment horizontal="center" vertical="center"/>
    </xf>
    <xf numFmtId="3" fontId="36" fillId="0" borderId="16" xfId="0" applyNumberFormat="1" applyFont="1" applyBorder="1" applyAlignment="1">
      <alignment horizontal="right" wrapText="1"/>
    </xf>
    <xf numFmtId="3" fontId="42" fillId="0" borderId="0" xfId="27" applyNumberFormat="1" applyFont="1" applyAlignment="1">
      <alignment horizontal="center" vertical="center"/>
    </xf>
    <xf numFmtId="3" fontId="36" fillId="0" borderId="46" xfId="27" applyNumberFormat="1" applyFont="1" applyBorder="1" applyAlignment="1">
      <alignment horizontal="center"/>
    </xf>
    <xf numFmtId="3" fontId="20" fillId="0" borderId="16" xfId="27" applyNumberFormat="1" applyFont="1" applyBorder="1" applyAlignment="1">
      <alignment horizontal="left" wrapText="1"/>
    </xf>
    <xf numFmtId="3" fontId="20" fillId="0" borderId="16" xfId="27" applyNumberFormat="1" applyFont="1" applyBorder="1" applyAlignment="1">
      <alignment horizontal="left" wrapText="1" indent="3"/>
    </xf>
    <xf numFmtId="3" fontId="18" fillId="0" borderId="222" xfId="27" applyNumberFormat="1" applyFont="1" applyBorder="1" applyAlignment="1">
      <alignment horizontal="center" vertical="center"/>
    </xf>
    <xf numFmtId="3" fontId="35" fillId="0" borderId="25" xfId="0" applyNumberFormat="1" applyFont="1" applyBorder="1" applyAlignment="1">
      <alignment horizontal="right" wrapText="1"/>
    </xf>
    <xf numFmtId="3" fontId="24" fillId="0" borderId="222" xfId="27" applyNumberFormat="1" applyFont="1" applyBorder="1" applyAlignment="1">
      <alignment horizontal="center"/>
    </xf>
    <xf numFmtId="3" fontId="25" fillId="0" borderId="0" xfId="27" applyNumberFormat="1" applyFont="1" applyAlignment="1">
      <alignment horizontal="center" vertical="center"/>
    </xf>
    <xf numFmtId="3" fontId="25" fillId="0" borderId="0" xfId="27" applyNumberFormat="1" applyFont="1" applyAlignment="1">
      <alignment horizontal="center"/>
    </xf>
    <xf numFmtId="3" fontId="21" fillId="0" borderId="106" xfId="27" applyNumberFormat="1" applyFont="1" applyBorder="1" applyAlignment="1">
      <alignment horizontal="center"/>
    </xf>
    <xf numFmtId="3" fontId="20" fillId="0" borderId="0" xfId="27" applyNumberFormat="1" applyFont="1" applyAlignment="1">
      <alignment horizontal="center" vertical="center"/>
    </xf>
    <xf numFmtId="3" fontId="18" fillId="0" borderId="0" xfId="27" applyNumberFormat="1" applyFont="1" applyAlignment="1">
      <alignment horizontal="center" vertical="center"/>
    </xf>
    <xf numFmtId="3" fontId="36" fillId="0" borderId="0" xfId="27" applyNumberFormat="1" applyFont="1" applyAlignment="1">
      <alignment horizontal="center" vertical="center"/>
    </xf>
    <xf numFmtId="3" fontId="35" fillId="0" borderId="0" xfId="27" applyNumberFormat="1" applyFont="1" applyAlignment="1">
      <alignment horizontal="center" vertical="center"/>
    </xf>
    <xf numFmtId="3" fontId="44" fillId="0" borderId="99" xfId="27" applyNumberFormat="1" applyFont="1" applyBorder="1" applyAlignment="1">
      <alignment horizontal="right" vertical="center"/>
    </xf>
    <xf numFmtId="3" fontId="20" fillId="0" borderId="21" xfId="27" applyNumberFormat="1" applyFont="1" applyBorder="1" applyAlignment="1">
      <alignment horizontal="left" vertical="top" wrapText="1" indent="4"/>
    </xf>
    <xf numFmtId="3" fontId="24" fillId="0" borderId="106" xfId="27" applyNumberFormat="1" applyFont="1" applyBorder="1" applyAlignment="1">
      <alignment horizontal="center" vertical="center"/>
    </xf>
    <xf numFmtId="3" fontId="21" fillId="0" borderId="106" xfId="27" applyNumberFormat="1" applyFont="1" applyBorder="1" applyAlignment="1">
      <alignment horizontal="center" vertical="center"/>
    </xf>
    <xf numFmtId="3" fontId="35" fillId="0" borderId="62" xfId="27" applyNumberFormat="1" applyFont="1" applyBorder="1" applyAlignment="1">
      <alignment horizontal="center"/>
    </xf>
    <xf numFmtId="3" fontId="36" fillId="0" borderId="17" xfId="0" applyNumberFormat="1" applyFont="1" applyBorder="1" applyAlignment="1">
      <alignment horizontal="right" wrapText="1"/>
    </xf>
    <xf numFmtId="3" fontId="35" fillId="0" borderId="222" xfId="27" applyNumberFormat="1" applyFont="1" applyBorder="1" applyAlignment="1">
      <alignment horizontal="center" vertical="center"/>
    </xf>
    <xf numFmtId="3" fontId="35" fillId="0" borderId="21" xfId="0" applyNumberFormat="1" applyFont="1" applyBorder="1" applyAlignment="1">
      <alignment horizontal="right" wrapText="1"/>
    </xf>
    <xf numFmtId="3" fontId="20" fillId="0" borderId="16" xfId="27" applyNumberFormat="1" applyFont="1" applyBorder="1" applyAlignment="1">
      <alignment horizontal="left" wrapText="1" indent="2"/>
    </xf>
    <xf numFmtId="3" fontId="35" fillId="0" borderId="21" xfId="27" applyNumberFormat="1" applyFont="1" applyBorder="1" applyAlignment="1">
      <alignment horizontal="left" wrapText="1" indent="2"/>
    </xf>
    <xf numFmtId="3" fontId="30" fillId="0" borderId="16" xfId="27" applyNumberFormat="1" applyFont="1" applyBorder="1" applyAlignment="1">
      <alignment wrapText="1"/>
    </xf>
    <xf numFmtId="3" fontId="21" fillId="0" borderId="16" xfId="27" applyNumberFormat="1" applyFont="1" applyBorder="1" applyAlignment="1">
      <alignment horizontal="left" wrapText="1"/>
    </xf>
    <xf numFmtId="3" fontId="18" fillId="0" borderId="106" xfId="27" applyNumberFormat="1" applyFont="1" applyBorder="1" applyAlignment="1">
      <alignment horizontal="center" vertical="top"/>
    </xf>
    <xf numFmtId="3" fontId="36" fillId="0" borderId="21" xfId="27" applyNumberFormat="1" applyFont="1" applyBorder="1" applyAlignment="1">
      <alignment horizontal="left" wrapText="1" indent="4"/>
    </xf>
    <xf numFmtId="49" fontId="20" fillId="0" borderId="16" xfId="27" applyNumberFormat="1" applyFont="1" applyBorder="1" applyAlignment="1">
      <alignment horizontal="left" vertical="center" wrapText="1" indent="4"/>
    </xf>
    <xf numFmtId="3" fontId="35" fillId="0" borderId="108" xfId="27" applyNumberFormat="1" applyFont="1" applyBorder="1" applyAlignment="1">
      <alignment horizontal="right"/>
    </xf>
    <xf numFmtId="3" fontId="36" fillId="0" borderId="208" xfId="0" applyNumberFormat="1" applyFont="1" applyBorder="1" applyAlignment="1">
      <alignment horizontal="right" wrapText="1"/>
    </xf>
    <xf numFmtId="3" fontId="18" fillId="0" borderId="108" xfId="27" applyNumberFormat="1" applyFont="1" applyBorder="1" applyAlignment="1">
      <alignment horizontal="center"/>
    </xf>
    <xf numFmtId="3" fontId="35" fillId="0" borderId="16" xfId="27" applyNumberFormat="1" applyFont="1" applyBorder="1" applyAlignment="1">
      <alignment horizontal="center"/>
    </xf>
    <xf numFmtId="3" fontId="39" fillId="0" borderId="0" xfId="27" applyNumberFormat="1" applyFont="1" applyAlignment="1">
      <alignment horizontal="center"/>
    </xf>
    <xf numFmtId="3" fontId="11" fillId="0" borderId="106" xfId="27" applyNumberFormat="1" applyFont="1" applyBorder="1" applyAlignment="1">
      <alignment horizontal="center"/>
    </xf>
    <xf numFmtId="3" fontId="11" fillId="0" borderId="46" xfId="27" applyNumberFormat="1" applyFont="1" applyBorder="1" applyAlignment="1">
      <alignment horizontal="center"/>
    </xf>
    <xf numFmtId="3" fontId="39" fillId="0" borderId="99" xfId="27" applyNumberFormat="1" applyFont="1" applyBorder="1"/>
    <xf numFmtId="3" fontId="40" fillId="0" borderId="16" xfId="27" applyNumberFormat="1" applyFont="1" applyBorder="1"/>
    <xf numFmtId="3" fontId="40" fillId="0" borderId="17" xfId="27" applyNumberFormat="1" applyFont="1" applyBorder="1"/>
    <xf numFmtId="3" fontId="35" fillId="0" borderId="16" xfId="27" applyNumberFormat="1" applyFont="1" applyBorder="1"/>
    <xf numFmtId="3" fontId="39" fillId="0" borderId="16" xfId="27" applyNumberFormat="1" applyFont="1" applyBorder="1"/>
    <xf numFmtId="3" fontId="39" fillId="0" borderId="17" xfId="27" applyNumberFormat="1" applyFont="1" applyBorder="1"/>
    <xf numFmtId="0" fontId="21" fillId="0" borderId="20" xfId="28" applyFont="1" applyBorder="1" applyAlignment="1">
      <alignment horizontal="left"/>
    </xf>
    <xf numFmtId="3" fontId="35" fillId="0" borderId="16" xfId="27" applyNumberFormat="1" applyFont="1" applyBorder="1" applyAlignment="1">
      <alignment horizontal="right"/>
    </xf>
    <xf numFmtId="3" fontId="44" fillId="0" borderId="99" xfId="0" applyNumberFormat="1" applyFont="1" applyBorder="1" applyAlignment="1">
      <alignment horizontal="right" wrapText="1"/>
    </xf>
    <xf numFmtId="3" fontId="35" fillId="0" borderId="99" xfId="0" applyNumberFormat="1" applyFont="1" applyBorder="1" applyAlignment="1">
      <alignment horizontal="right" wrapText="1"/>
    </xf>
    <xf numFmtId="3" fontId="35" fillId="0" borderId="208" xfId="0" applyNumberFormat="1" applyFont="1" applyBorder="1" applyAlignment="1">
      <alignment horizontal="right" wrapText="1"/>
    </xf>
    <xf numFmtId="3" fontId="35" fillId="0" borderId="20" xfId="27" applyNumberFormat="1" applyFont="1" applyBorder="1" applyAlignment="1">
      <alignment wrapText="1"/>
    </xf>
    <xf numFmtId="3" fontId="13" fillId="0" borderId="16" xfId="27" applyNumberFormat="1" applyFont="1" applyBorder="1" applyAlignment="1">
      <alignment shrinkToFit="1"/>
    </xf>
    <xf numFmtId="3" fontId="18" fillId="0" borderId="21" xfId="27" applyNumberFormat="1" applyFont="1" applyBorder="1" applyAlignment="1">
      <alignment wrapText="1"/>
    </xf>
    <xf numFmtId="3" fontId="20" fillId="0" borderId="222" xfId="27" applyNumberFormat="1" applyFont="1" applyBorder="1" applyAlignment="1">
      <alignment horizontal="center" vertical="center"/>
    </xf>
    <xf numFmtId="3" fontId="44" fillId="0" borderId="21" xfId="0" applyNumberFormat="1" applyFont="1" applyBorder="1" applyAlignment="1">
      <alignment horizontal="right" wrapText="1"/>
    </xf>
    <xf numFmtId="3" fontId="44" fillId="0" borderId="25" xfId="0" applyNumberFormat="1" applyFont="1" applyBorder="1" applyAlignment="1">
      <alignment horizontal="right" wrapText="1"/>
    </xf>
    <xf numFmtId="3" fontId="18" fillId="0" borderId="16" xfId="27" applyNumberFormat="1" applyFont="1" applyBorder="1" applyAlignment="1">
      <alignment wrapText="1"/>
    </xf>
    <xf numFmtId="3" fontId="18" fillId="0" borderId="220" xfId="27" applyNumberFormat="1" applyFont="1" applyBorder="1" applyAlignment="1">
      <alignment horizontal="center"/>
    </xf>
    <xf numFmtId="3" fontId="21" fillId="0" borderId="43" xfId="27" applyNumberFormat="1" applyFont="1" applyBorder="1" applyAlignment="1">
      <alignment wrapText="1"/>
    </xf>
    <xf numFmtId="3" fontId="18" fillId="0" borderId="108" xfId="27" applyNumberFormat="1" applyFont="1" applyBorder="1" applyAlignment="1">
      <alignment horizontal="center" vertical="top"/>
    </xf>
    <xf numFmtId="3" fontId="21" fillId="0" borderId="20" xfId="27" applyNumberFormat="1" applyFont="1" applyBorder="1" applyAlignment="1">
      <alignment wrapText="1"/>
    </xf>
    <xf numFmtId="3" fontId="43" fillId="0" borderId="99" xfId="0" applyNumberFormat="1" applyFont="1" applyBorder="1" applyAlignment="1">
      <alignment horizontal="right" wrapText="1"/>
    </xf>
    <xf numFmtId="3" fontId="18" fillId="0" borderId="99" xfId="27" applyNumberFormat="1" applyFont="1" applyBorder="1" applyAlignment="1">
      <alignment horizontal="center"/>
    </xf>
    <xf numFmtId="3" fontId="20" fillId="0" borderId="15" xfId="27" applyNumberFormat="1" applyFont="1" applyBorder="1" applyAlignment="1">
      <alignment horizontal="center" vertical="center"/>
    </xf>
    <xf numFmtId="3" fontId="20" fillId="0" borderId="4" xfId="27" applyNumberFormat="1" applyFont="1" applyBorder="1" applyAlignment="1">
      <alignment horizontal="center" vertical="center"/>
    </xf>
    <xf numFmtId="3" fontId="18" fillId="0" borderId="64" xfId="27" applyNumberFormat="1" applyFont="1" applyBorder="1" applyAlignment="1">
      <alignment horizontal="center" vertical="top"/>
    </xf>
    <xf numFmtId="3" fontId="44" fillId="0" borderId="65" xfId="0" applyNumberFormat="1" applyFont="1" applyBorder="1" applyAlignment="1">
      <alignment horizontal="right" wrapText="1"/>
    </xf>
    <xf numFmtId="3" fontId="35" fillId="0" borderId="65" xfId="0" applyNumberFormat="1" applyFont="1" applyBorder="1" applyAlignment="1">
      <alignment horizontal="right" wrapText="1"/>
    </xf>
    <xf numFmtId="3" fontId="35" fillId="0" borderId="18" xfId="0" applyNumberFormat="1" applyFont="1" applyBorder="1" applyAlignment="1">
      <alignment horizontal="right" wrapText="1"/>
    </xf>
    <xf numFmtId="3" fontId="21" fillId="0" borderId="226" xfId="27" applyNumberFormat="1" applyFont="1" applyBorder="1" applyAlignment="1">
      <alignment horizontal="center" vertical="center"/>
    </xf>
    <xf numFmtId="3" fontId="18" fillId="0" borderId="95" xfId="27" applyNumberFormat="1" applyFont="1" applyBorder="1" applyAlignment="1">
      <alignment horizontal="center" vertical="center" wrapText="1"/>
    </xf>
    <xf numFmtId="3" fontId="35" fillId="0" borderId="116" xfId="0" applyNumberFormat="1" applyFont="1" applyBorder="1" applyAlignment="1">
      <alignment vertical="center"/>
    </xf>
    <xf numFmtId="3" fontId="21" fillId="0" borderId="232" xfId="27" applyNumberFormat="1" applyFont="1" applyBorder="1" applyAlignment="1">
      <alignment horizontal="center" vertical="center"/>
    </xf>
    <xf numFmtId="3" fontId="18" fillId="0" borderId="14" xfId="27" applyNumberFormat="1" applyFont="1" applyBorder="1" applyAlignment="1">
      <alignment horizontal="center" vertical="center" wrapText="1"/>
    </xf>
    <xf numFmtId="3" fontId="18" fillId="0" borderId="103" xfId="27" applyNumberFormat="1" applyFont="1" applyBorder="1" applyAlignment="1">
      <alignment horizontal="center"/>
    </xf>
    <xf numFmtId="3" fontId="35" fillId="0" borderId="100" xfId="0" applyNumberFormat="1" applyFont="1" applyBorder="1" applyAlignment="1">
      <alignment vertical="center"/>
    </xf>
    <xf numFmtId="3" fontId="35" fillId="0" borderId="213" xfId="0" applyNumberFormat="1" applyFont="1" applyBorder="1" applyAlignment="1">
      <alignment vertical="center"/>
    </xf>
    <xf numFmtId="3" fontId="18" fillId="0" borderId="222" xfId="0" applyNumberFormat="1" applyFont="1" applyBorder="1" applyAlignment="1">
      <alignment horizontal="center" wrapText="1"/>
    </xf>
    <xf numFmtId="3" fontId="18" fillId="0" borderId="21" xfId="0" applyNumberFormat="1" applyFont="1" applyBorder="1" applyAlignment="1">
      <alignment horizontal="center" wrapText="1"/>
    </xf>
    <xf numFmtId="3" fontId="18" fillId="0" borderId="62" xfId="0" applyNumberFormat="1" applyFont="1" applyBorder="1" applyAlignment="1">
      <alignment horizontal="center" wrapText="1"/>
    </xf>
    <xf numFmtId="3" fontId="35" fillId="0" borderId="66" xfId="0" applyNumberFormat="1" applyFont="1" applyBorder="1" applyAlignment="1">
      <alignment horizontal="right"/>
    </xf>
    <xf numFmtId="3" fontId="43" fillId="0" borderId="0" xfId="0" applyNumberFormat="1" applyFont="1" applyAlignment="1">
      <alignment horizontal="right" wrapText="1"/>
    </xf>
    <xf numFmtId="1" fontId="26" fillId="0" borderId="0" xfId="27" applyNumberFormat="1" applyFont="1" applyAlignment="1">
      <alignment horizontal="left" vertical="center"/>
    </xf>
    <xf numFmtId="3" fontId="19" fillId="0" borderId="0" xfId="0" applyNumberFormat="1" applyFont="1"/>
    <xf numFmtId="3" fontId="15" fillId="0" borderId="0" xfId="0" applyNumberFormat="1" applyFont="1" applyAlignment="1">
      <alignment vertical="top"/>
    </xf>
    <xf numFmtId="3" fontId="11" fillId="0" borderId="0" xfId="27" applyNumberFormat="1" applyFont="1" applyAlignment="1">
      <alignment horizontal="center" vertical="top"/>
    </xf>
    <xf numFmtId="3" fontId="11" fillId="0" borderId="0" xfId="27" applyNumberFormat="1" applyFont="1" applyAlignment="1">
      <alignment vertical="top" wrapText="1"/>
    </xf>
    <xf numFmtId="3" fontId="13" fillId="0" borderId="0" xfId="27" applyNumberFormat="1" applyFont="1"/>
    <xf numFmtId="3" fontId="13" fillId="0" borderId="0" xfId="27" applyNumberFormat="1" applyFont="1" applyAlignment="1">
      <alignment vertical="top" wrapText="1"/>
    </xf>
    <xf numFmtId="3" fontId="11" fillId="0" borderId="0" xfId="27" applyNumberFormat="1" applyFont="1" applyAlignment="1">
      <alignment horizontal="center" vertical="top" wrapText="1"/>
    </xf>
    <xf numFmtId="3" fontId="11" fillId="0" borderId="0" xfId="0" applyNumberFormat="1" applyFont="1" applyAlignment="1">
      <alignment horizontal="left" vertical="center"/>
    </xf>
    <xf numFmtId="0" fontId="11" fillId="0" borderId="0" xfId="35" applyFont="1" applyAlignment="1" applyProtection="1">
      <alignment horizontal="left" vertical="center"/>
      <protection locked="0"/>
    </xf>
    <xf numFmtId="49" fontId="11" fillId="0" borderId="85" xfId="0" applyNumberFormat="1" applyFont="1" applyBorder="1" applyAlignment="1">
      <alignment horizontal="center" vertical="top"/>
    </xf>
    <xf numFmtId="3" fontId="13" fillId="0" borderId="240" xfId="0" applyNumberFormat="1" applyFont="1" applyBorder="1" applyAlignment="1">
      <alignment horizontal="right" vertical="center"/>
    </xf>
    <xf numFmtId="3" fontId="13" fillId="0" borderId="241" xfId="0" applyNumberFormat="1" applyFont="1" applyBorder="1" applyAlignment="1">
      <alignment horizontal="right" vertical="center"/>
    </xf>
    <xf numFmtId="3" fontId="13" fillId="0" borderId="239" xfId="0" applyNumberFormat="1" applyFont="1" applyBorder="1" applyAlignment="1">
      <alignment horizontal="right" vertical="center"/>
    </xf>
    <xf numFmtId="3" fontId="11" fillId="0" borderId="0" xfId="15" applyNumberFormat="1" applyFont="1" applyAlignment="1">
      <alignment horizontal="right" vertical="center"/>
    </xf>
    <xf numFmtId="3" fontId="47" fillId="0" borderId="95" xfId="27" applyNumberFormat="1" applyFont="1" applyBorder="1" applyAlignment="1">
      <alignment vertical="center" wrapText="1"/>
    </xf>
    <xf numFmtId="3" fontId="18" fillId="0" borderId="0" xfId="35" applyNumberFormat="1" applyFont="1" applyAlignment="1">
      <alignment horizontal="right" vertical="center"/>
    </xf>
    <xf numFmtId="3" fontId="18" fillId="0" borderId="0" xfId="15" applyNumberFormat="1" applyFont="1" applyAlignment="1">
      <alignment horizontal="right" vertical="center"/>
    </xf>
    <xf numFmtId="3" fontId="18" fillId="0" borderId="0" xfId="35" applyNumberFormat="1" applyFont="1" applyAlignment="1">
      <alignment horizontal="right" vertical="center" wrapText="1"/>
    </xf>
    <xf numFmtId="3" fontId="20" fillId="0" borderId="0" xfId="34" applyNumberFormat="1" applyFont="1" applyAlignment="1">
      <alignment horizontal="right" vertical="center"/>
    </xf>
    <xf numFmtId="49" fontId="15" fillId="0" borderId="0" xfId="26" applyNumberFormat="1" applyFont="1" applyAlignment="1">
      <alignment horizontal="center"/>
    </xf>
    <xf numFmtId="3" fontId="15" fillId="0" borderId="6" xfId="26" applyNumberFormat="1" applyFont="1" applyBorder="1" applyAlignment="1">
      <alignment horizontal="center"/>
    </xf>
    <xf numFmtId="3" fontId="20" fillId="0" borderId="0" xfId="26" applyNumberFormat="1" applyFont="1" applyAlignment="1">
      <alignment horizontal="right"/>
    </xf>
    <xf numFmtId="3" fontId="21" fillId="0" borderId="20" xfId="33" applyNumberFormat="1" applyFont="1" applyBorder="1" applyAlignment="1">
      <alignment horizontal="left" wrapText="1"/>
    </xf>
    <xf numFmtId="3" fontId="21" fillId="0" borderId="20" xfId="33" applyNumberFormat="1" applyFont="1" applyBorder="1"/>
    <xf numFmtId="3" fontId="18" fillId="0" borderId="43" xfId="27" applyNumberFormat="1" applyFont="1" applyBorder="1" applyAlignment="1">
      <alignment horizontal="center"/>
    </xf>
    <xf numFmtId="3" fontId="35" fillId="0" borderId="43" xfId="27" applyNumberFormat="1" applyFont="1" applyBorder="1" applyAlignment="1">
      <alignment wrapText="1"/>
    </xf>
    <xf numFmtId="3" fontId="18" fillId="0" borderId="128" xfId="27" applyNumberFormat="1" applyFont="1" applyBorder="1" applyAlignment="1">
      <alignment horizontal="center"/>
    </xf>
    <xf numFmtId="3" fontId="35" fillId="0" borderId="43" xfId="27" applyNumberFormat="1" applyFont="1" applyBorder="1" applyAlignment="1">
      <alignment horizontal="right"/>
    </xf>
    <xf numFmtId="3" fontId="44" fillId="0" borderId="112" xfId="0" applyNumberFormat="1" applyFont="1" applyBorder="1" applyAlignment="1">
      <alignment horizontal="right" wrapText="1"/>
    </xf>
    <xf numFmtId="3" fontId="35" fillId="0" borderId="112" xfId="0" applyNumberFormat="1" applyFont="1" applyBorder="1" applyAlignment="1">
      <alignment horizontal="right" wrapText="1"/>
    </xf>
    <xf numFmtId="3" fontId="35" fillId="0" borderId="243" xfId="0" applyNumberFormat="1" applyFont="1" applyBorder="1" applyAlignment="1">
      <alignment horizontal="right" wrapText="1"/>
    </xf>
    <xf numFmtId="3" fontId="20" fillId="0" borderId="207" xfId="27" applyNumberFormat="1" applyFont="1" applyBorder="1" applyAlignment="1">
      <alignment horizontal="center" vertical="center"/>
    </xf>
    <xf numFmtId="3" fontId="18" fillId="0" borderId="20" xfId="27" applyNumberFormat="1" applyFont="1" applyBorder="1" applyAlignment="1">
      <alignment horizontal="right"/>
    </xf>
    <xf numFmtId="3" fontId="18" fillId="0" borderId="16" xfId="27" applyNumberFormat="1" applyFont="1" applyBorder="1" applyAlignment="1">
      <alignment horizontal="right"/>
    </xf>
    <xf numFmtId="3" fontId="11" fillId="0" borderId="244" xfId="29" applyNumberFormat="1" applyFont="1" applyBorder="1" applyAlignment="1">
      <alignment horizontal="right" vertical="center" wrapText="1"/>
    </xf>
    <xf numFmtId="3" fontId="11" fillId="0" borderId="156" xfId="29" applyNumberFormat="1" applyFont="1" applyBorder="1" applyAlignment="1">
      <alignment horizontal="right" vertical="center" wrapText="1"/>
    </xf>
    <xf numFmtId="3" fontId="11" fillId="0" borderId="65" xfId="29" applyNumberFormat="1" applyFont="1" applyBorder="1" applyAlignment="1">
      <alignment horizontal="right" vertical="center" wrapText="1"/>
    </xf>
    <xf numFmtId="3" fontId="11" fillId="0" borderId="147" xfId="29" applyNumberFormat="1" applyFont="1" applyBorder="1" applyAlignment="1">
      <alignment horizontal="right" vertical="center" wrapText="1"/>
    </xf>
    <xf numFmtId="3" fontId="11" fillId="0" borderId="44" xfId="29" applyNumberFormat="1" applyFont="1" applyBorder="1" applyAlignment="1">
      <alignment horizontal="right" vertical="center" wrapText="1"/>
    </xf>
    <xf numFmtId="3" fontId="11" fillId="0" borderId="63" xfId="29" applyNumberFormat="1" applyFont="1" applyBorder="1" applyAlignment="1">
      <alignment horizontal="center" vertical="center" wrapText="1"/>
    </xf>
    <xf numFmtId="3" fontId="11" fillId="0" borderId="43" xfId="29" applyNumberFormat="1" applyFont="1" applyBorder="1" applyAlignment="1">
      <alignment horizontal="center" vertical="top" wrapText="1"/>
    </xf>
    <xf numFmtId="14" fontId="11" fillId="0" borderId="136" xfId="29" applyNumberFormat="1" applyFont="1" applyBorder="1" applyAlignment="1">
      <alignment horizontal="center" vertical="center" wrapText="1"/>
    </xf>
    <xf numFmtId="3" fontId="11" fillId="0" borderId="43" xfId="29" applyNumberFormat="1" applyFont="1" applyBorder="1" applyAlignment="1">
      <alignment horizontal="right" vertical="center" wrapText="1"/>
    </xf>
    <xf numFmtId="0" fontId="11" fillId="0" borderId="99" xfId="28" applyFont="1" applyBorder="1" applyAlignment="1">
      <alignment wrapText="1" shrinkToFit="1"/>
    </xf>
    <xf numFmtId="3" fontId="11" fillId="0" borderId="15" xfId="29" applyNumberFormat="1" applyFont="1" applyBorder="1" applyAlignment="1">
      <alignment horizontal="center" vertical="center" wrapText="1"/>
    </xf>
    <xf numFmtId="14" fontId="11" fillId="0" borderId="20" xfId="29" applyNumberFormat="1" applyFont="1" applyBorder="1" applyAlignment="1">
      <alignment horizontal="center" vertical="center" wrapText="1"/>
    </xf>
    <xf numFmtId="3" fontId="11" fillId="0" borderId="99" xfId="29" applyNumberFormat="1" applyFont="1" applyBorder="1" applyAlignment="1">
      <alignment horizontal="right" vertical="center" wrapText="1"/>
    </xf>
    <xf numFmtId="14" fontId="11" fillId="0" borderId="108" xfId="29" applyNumberFormat="1" applyFont="1" applyBorder="1" applyAlignment="1">
      <alignment horizontal="center" vertical="center" wrapText="1"/>
    </xf>
    <xf numFmtId="3" fontId="11" fillId="0" borderId="4" xfId="29" applyNumberFormat="1" applyFont="1" applyBorder="1" applyAlignment="1">
      <alignment horizontal="center" vertical="center" wrapText="1"/>
    </xf>
    <xf numFmtId="14" fontId="11" fillId="0" borderId="0" xfId="29" applyNumberFormat="1" applyFont="1" applyAlignment="1">
      <alignment horizontal="center" vertical="center" wrapText="1"/>
    </xf>
    <xf numFmtId="3" fontId="11" fillId="0" borderId="64" xfId="29" applyNumberFormat="1" applyFont="1" applyBorder="1" applyAlignment="1">
      <alignment horizontal="right" vertical="center" wrapText="1"/>
    </xf>
    <xf numFmtId="3" fontId="13" fillId="0" borderId="245" xfId="29" applyNumberFormat="1" applyFont="1" applyBorder="1" applyAlignment="1">
      <alignment horizontal="right" vertical="center"/>
    </xf>
    <xf numFmtId="3" fontId="11" fillId="0" borderId="106" xfId="29" applyNumberFormat="1" applyFont="1" applyBorder="1" applyAlignment="1">
      <alignment horizontal="center" wrapText="1"/>
    </xf>
    <xf numFmtId="0" fontId="11" fillId="0" borderId="108" xfId="28" applyFont="1" applyBorder="1" applyAlignment="1">
      <alignment vertical="top" wrapText="1"/>
    </xf>
    <xf numFmtId="14" fontId="11" fillId="0" borderId="125" xfId="29" applyNumberFormat="1" applyFont="1" applyBorder="1" applyAlignment="1">
      <alignment horizontal="center" vertical="center" wrapText="1"/>
    </xf>
    <xf numFmtId="3" fontId="11" fillId="0" borderId="108" xfId="29" applyNumberFormat="1" applyFont="1" applyBorder="1" applyAlignment="1">
      <alignment horizontal="center" vertical="center" wrapText="1"/>
    </xf>
    <xf numFmtId="3" fontId="11" fillId="0" borderId="99" xfId="29" applyNumberFormat="1" applyFont="1" applyBorder="1" applyAlignment="1">
      <alignment horizontal="center" vertical="center" wrapText="1"/>
    </xf>
    <xf numFmtId="3" fontId="11" fillId="0" borderId="20" xfId="29" applyNumberFormat="1" applyFont="1" applyBorder="1" applyAlignment="1">
      <alignment horizontal="right" vertical="center" wrapText="1"/>
    </xf>
    <xf numFmtId="14" fontId="11" fillId="0" borderId="147" xfId="29" applyNumberFormat="1" applyFont="1" applyBorder="1" applyAlignment="1">
      <alignment horizontal="center" vertical="center" wrapText="1"/>
    </xf>
    <xf numFmtId="3" fontId="11" fillId="0" borderId="0" xfId="29" applyNumberFormat="1" applyFont="1" applyAlignment="1">
      <alignment horizontal="right" vertical="center" wrapText="1"/>
    </xf>
    <xf numFmtId="3" fontId="11" fillId="0" borderId="62" xfId="29" applyNumberFormat="1" applyFont="1" applyBorder="1" applyAlignment="1">
      <alignment horizontal="right" vertical="center" wrapText="1"/>
    </xf>
    <xf numFmtId="3" fontId="11" fillId="0" borderId="136" xfId="29" applyNumberFormat="1" applyFont="1" applyBorder="1" applyAlignment="1">
      <alignment horizontal="right" vertical="center" wrapText="1"/>
    </xf>
    <xf numFmtId="3" fontId="11" fillId="0" borderId="16" xfId="29" applyNumberFormat="1" applyFont="1" applyBorder="1" applyAlignment="1">
      <alignment horizontal="center" wrapText="1"/>
    </xf>
    <xf numFmtId="3" fontId="11" fillId="0" borderId="207" xfId="29" applyNumberFormat="1" applyFont="1" applyBorder="1" applyAlignment="1">
      <alignment horizontal="center" vertical="center" wrapText="1"/>
    </xf>
    <xf numFmtId="3" fontId="11" fillId="0" borderId="43" xfId="29" applyNumberFormat="1" applyFont="1" applyBorder="1" applyAlignment="1">
      <alignment horizontal="center" wrapText="1"/>
    </xf>
    <xf numFmtId="0" fontId="11" fillId="0" borderId="43" xfId="28" applyFont="1" applyBorder="1" applyAlignment="1">
      <alignment wrapText="1"/>
    </xf>
    <xf numFmtId="3" fontId="11" fillId="0" borderId="210" xfId="29" applyNumberFormat="1" applyFont="1" applyBorder="1" applyAlignment="1">
      <alignment horizontal="right" vertical="center" wrapText="1"/>
    </xf>
    <xf numFmtId="0" fontId="11" fillId="0" borderId="21" xfId="34" applyFont="1" applyBorder="1" applyAlignment="1">
      <alignment horizontal="center"/>
    </xf>
    <xf numFmtId="3" fontId="11" fillId="0" borderId="21" xfId="34" applyNumberFormat="1" applyFont="1" applyBorder="1" applyAlignment="1">
      <alignment horizontal="right" vertical="top"/>
    </xf>
    <xf numFmtId="3" fontId="11" fillId="0" borderId="21" xfId="28" applyNumberFormat="1" applyFont="1" applyBorder="1" applyAlignment="1">
      <alignment horizontal="right" vertical="top"/>
    </xf>
    <xf numFmtId="3" fontId="11" fillId="0" borderId="22" xfId="34" applyNumberFormat="1" applyFont="1" applyBorder="1" applyAlignment="1">
      <alignment horizontal="right" vertical="top"/>
    </xf>
    <xf numFmtId="0" fontId="11" fillId="0" borderId="156" xfId="34" applyFont="1" applyBorder="1" applyAlignment="1">
      <alignment horizontal="center" vertical="top" wrapText="1"/>
    </xf>
    <xf numFmtId="3" fontId="39" fillId="0" borderId="21" xfId="28" applyNumberFormat="1" applyFont="1" applyBorder="1" applyAlignment="1">
      <alignment horizontal="right" wrapText="1"/>
    </xf>
    <xf numFmtId="3" fontId="40" fillId="0" borderId="66" xfId="34" applyNumberFormat="1" applyFont="1" applyBorder="1" applyAlignment="1">
      <alignment horizontal="right"/>
    </xf>
    <xf numFmtId="3" fontId="39" fillId="0" borderId="145" xfId="28" applyNumberFormat="1" applyFont="1" applyBorder="1" applyAlignment="1">
      <alignment horizontal="right" wrapText="1"/>
    </xf>
    <xf numFmtId="3" fontId="39" fillId="0" borderId="151" xfId="34" applyNumberFormat="1" applyFont="1" applyBorder="1" applyAlignment="1">
      <alignment horizontal="right"/>
    </xf>
    <xf numFmtId="3" fontId="40" fillId="0" borderId="0" xfId="34" applyNumberFormat="1" applyFont="1" applyAlignment="1">
      <alignment horizontal="right"/>
    </xf>
    <xf numFmtId="3" fontId="40" fillId="0" borderId="212" xfId="28" applyNumberFormat="1" applyFont="1" applyBorder="1" applyAlignment="1">
      <alignment horizontal="right" wrapText="1"/>
    </xf>
    <xf numFmtId="3" fontId="40" fillId="0" borderId="108" xfId="34" applyNumberFormat="1" applyFont="1" applyBorder="1" applyAlignment="1">
      <alignment horizontal="right"/>
    </xf>
    <xf numFmtId="3" fontId="40" fillId="0" borderId="118" xfId="34" applyNumberFormat="1" applyFont="1" applyBorder="1" applyAlignment="1">
      <alignment horizontal="right"/>
    </xf>
    <xf numFmtId="3" fontId="39" fillId="0" borderId="108" xfId="34" applyNumberFormat="1" applyFont="1" applyBorder="1" applyAlignment="1">
      <alignment horizontal="right"/>
    </xf>
    <xf numFmtId="0" fontId="11" fillId="0" borderId="46" xfId="34" applyFont="1" applyBorder="1" applyAlignment="1">
      <alignment horizontal="center" vertical="top" wrapText="1"/>
    </xf>
    <xf numFmtId="3" fontId="39" fillId="0" borderId="16" xfId="34" applyNumberFormat="1" applyFont="1" applyBorder="1" applyAlignment="1">
      <alignment horizontal="right"/>
    </xf>
    <xf numFmtId="3" fontId="40" fillId="0" borderId="16" xfId="34" applyNumberFormat="1" applyFont="1" applyBorder="1" applyAlignment="1">
      <alignment horizontal="right"/>
    </xf>
    <xf numFmtId="3" fontId="40" fillId="0" borderId="20" xfId="34" applyNumberFormat="1" applyFont="1" applyBorder="1" applyAlignment="1">
      <alignment horizontal="right"/>
    </xf>
    <xf numFmtId="3" fontId="39" fillId="0" borderId="125" xfId="34" applyNumberFormat="1" applyFont="1" applyBorder="1" applyAlignment="1">
      <alignment horizontal="right"/>
    </xf>
    <xf numFmtId="0" fontId="11" fillId="0" borderId="15" xfId="34" applyFont="1" applyBorder="1" applyAlignment="1">
      <alignment horizontal="center"/>
    </xf>
    <xf numFmtId="3" fontId="11" fillId="0" borderId="20" xfId="34" applyNumberFormat="1" applyFont="1" applyBorder="1" applyAlignment="1">
      <alignment horizontal="right"/>
    </xf>
    <xf numFmtId="0" fontId="13" fillId="0" borderId="207" xfId="34" applyFont="1" applyBorder="1" applyAlignment="1">
      <alignment horizontal="center"/>
    </xf>
    <xf numFmtId="0" fontId="11" fillId="0" borderId="43" xfId="34" applyFont="1" applyBorder="1" applyAlignment="1">
      <alignment horizontal="center" vertical="top"/>
    </xf>
    <xf numFmtId="3" fontId="11" fillId="0" borderId="43" xfId="34" applyNumberFormat="1" applyFont="1" applyBorder="1" applyAlignment="1">
      <alignment horizontal="right" vertical="top"/>
    </xf>
    <xf numFmtId="3" fontId="11" fillId="0" borderId="128" xfId="34" applyNumberFormat="1" applyFont="1" applyBorder="1" applyAlignment="1">
      <alignment horizontal="right" vertical="top"/>
    </xf>
    <xf numFmtId="3" fontId="39" fillId="0" borderId="112" xfId="34" applyNumberFormat="1" applyFont="1" applyBorder="1" applyAlignment="1">
      <alignment horizontal="right"/>
    </xf>
    <xf numFmtId="3" fontId="40" fillId="0" borderId="112" xfId="34" applyNumberFormat="1" applyFont="1" applyBorder="1" applyAlignment="1">
      <alignment horizontal="right"/>
    </xf>
    <xf numFmtId="3" fontId="40" fillId="0" borderId="128" xfId="34" applyNumberFormat="1" applyFont="1" applyBorder="1" applyAlignment="1">
      <alignment horizontal="right"/>
    </xf>
    <xf numFmtId="3" fontId="39" fillId="0" borderId="147" xfId="28" applyNumberFormat="1" applyFont="1" applyBorder="1" applyAlignment="1">
      <alignment horizontal="right" wrapText="1"/>
    </xf>
    <xf numFmtId="3" fontId="11" fillId="0" borderId="146" xfId="34" applyNumberFormat="1" applyFont="1" applyBorder="1" applyAlignment="1">
      <alignment horizontal="right"/>
    </xf>
    <xf numFmtId="0" fontId="39" fillId="0" borderId="128" xfId="28" applyFont="1" applyBorder="1"/>
    <xf numFmtId="3" fontId="11" fillId="0" borderId="43" xfId="34" applyNumberFormat="1" applyFont="1" applyBorder="1" applyAlignment="1">
      <alignment horizontal="right"/>
    </xf>
    <xf numFmtId="3" fontId="11" fillId="0" borderId="128" xfId="34" applyNumberFormat="1" applyFont="1" applyBorder="1" applyAlignment="1">
      <alignment horizontal="right"/>
    </xf>
    <xf numFmtId="3" fontId="39" fillId="0" borderId="17" xfId="34" applyNumberFormat="1" applyFont="1" applyBorder="1" applyAlignment="1">
      <alignment horizontal="right"/>
    </xf>
    <xf numFmtId="0" fontId="11" fillId="0" borderId="43" xfId="34" applyFont="1" applyBorder="1" applyAlignment="1">
      <alignment horizontal="center"/>
    </xf>
    <xf numFmtId="3" fontId="39" fillId="0" borderId="123" xfId="34" applyNumberFormat="1" applyFont="1" applyBorder="1" applyAlignment="1">
      <alignment horizontal="right"/>
    </xf>
    <xf numFmtId="0" fontId="11" fillId="0" borderId="16" xfId="28" applyFont="1" applyBorder="1"/>
    <xf numFmtId="3" fontId="39" fillId="0" borderId="21" xfId="34" applyNumberFormat="1" applyFont="1" applyBorder="1" applyAlignment="1">
      <alignment horizontal="right"/>
    </xf>
    <xf numFmtId="3" fontId="40" fillId="0" borderId="21" xfId="34" applyNumberFormat="1" applyFont="1" applyBorder="1" applyAlignment="1">
      <alignment horizontal="right"/>
    </xf>
    <xf numFmtId="3" fontId="40" fillId="0" borderId="22" xfId="34" applyNumberFormat="1" applyFont="1" applyBorder="1" applyAlignment="1">
      <alignment horizontal="right"/>
    </xf>
    <xf numFmtId="3" fontId="39" fillId="0" borderId="145" xfId="34" applyNumberFormat="1" applyFont="1" applyBorder="1" applyAlignment="1">
      <alignment horizontal="right"/>
    </xf>
    <xf numFmtId="3" fontId="13" fillId="0" borderId="99" xfId="34" applyNumberFormat="1" applyFont="1" applyBorder="1" applyAlignment="1">
      <alignment horizontal="right"/>
    </xf>
    <xf numFmtId="3" fontId="13" fillId="0" borderId="16" xfId="34" applyNumberFormat="1" applyFont="1" applyBorder="1" applyAlignment="1">
      <alignment horizontal="right"/>
    </xf>
    <xf numFmtId="3" fontId="39" fillId="0" borderId="20" xfId="34" applyNumberFormat="1" applyFont="1" applyBorder="1" applyAlignment="1">
      <alignment horizontal="right"/>
    </xf>
    <xf numFmtId="0" fontId="49" fillId="0" borderId="16" xfId="28" applyFont="1" applyBorder="1"/>
    <xf numFmtId="0" fontId="13" fillId="0" borderId="106" xfId="34" applyFont="1" applyBorder="1" applyAlignment="1">
      <alignment horizontal="center"/>
    </xf>
    <xf numFmtId="0" fontId="11" fillId="0" borderId="16" xfId="28" applyFont="1" applyBorder="1" applyAlignment="1">
      <alignment horizontal="left"/>
    </xf>
    <xf numFmtId="0" fontId="39" fillId="0" borderId="16" xfId="28" applyFont="1" applyBorder="1" applyAlignment="1">
      <alignment horizontal="left"/>
    </xf>
    <xf numFmtId="3" fontId="39" fillId="0" borderId="18" xfId="34" applyNumberFormat="1" applyFont="1" applyBorder="1" applyAlignment="1">
      <alignment horizontal="right"/>
    </xf>
    <xf numFmtId="0" fontId="18" fillId="0" borderId="0" xfId="0" applyFont="1" applyAlignment="1">
      <alignment horizontal="left" vertical="center"/>
    </xf>
    <xf numFmtId="4" fontId="14" fillId="0" borderId="2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164" fontId="14" fillId="0" borderId="0" xfId="0" applyNumberFormat="1" applyFont="1" applyAlignment="1">
      <alignment horizontal="left" vertical="top" wrapText="1"/>
    </xf>
    <xf numFmtId="4" fontId="14" fillId="0" borderId="0" xfId="0" applyNumberFormat="1" applyFont="1"/>
    <xf numFmtId="4" fontId="13" fillId="0" borderId="0" xfId="0" applyNumberFormat="1" applyFont="1" applyAlignment="1">
      <alignment vertical="top"/>
    </xf>
    <xf numFmtId="4" fontId="14" fillId="0" borderId="0" xfId="0" applyNumberFormat="1" applyFont="1" applyAlignment="1">
      <alignment vertical="top"/>
    </xf>
    <xf numFmtId="164" fontId="13" fillId="0" borderId="0" xfId="33" applyNumberFormat="1" applyFont="1" applyAlignment="1">
      <alignment vertical="top" wrapText="1"/>
    </xf>
    <xf numFmtId="164" fontId="13" fillId="0" borderId="0" xfId="33" applyNumberFormat="1" applyFont="1" applyAlignment="1">
      <alignment wrapText="1"/>
    </xf>
    <xf numFmtId="4" fontId="15" fillId="0" borderId="18" xfId="0" applyNumberFormat="1" applyFont="1" applyBorder="1" applyAlignment="1">
      <alignment horizontal="center" shrinkToFit="1"/>
    </xf>
    <xf numFmtId="4" fontId="14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left" wrapText="1"/>
    </xf>
    <xf numFmtId="164" fontId="14" fillId="0" borderId="109" xfId="0" applyNumberFormat="1" applyFont="1" applyBorder="1" applyAlignment="1">
      <alignment horizontal="left" vertical="top" wrapText="1"/>
    </xf>
    <xf numFmtId="4" fontId="14" fillId="0" borderId="109" xfId="0" applyNumberFormat="1" applyFont="1" applyBorder="1"/>
    <xf numFmtId="164" fontId="25" fillId="0" borderId="0" xfId="0" applyNumberFormat="1" applyFont="1" applyAlignment="1">
      <alignment vertical="center" wrapText="1"/>
    </xf>
    <xf numFmtId="164" fontId="14" fillId="0" borderId="0" xfId="0" applyNumberFormat="1" applyFont="1" applyAlignment="1">
      <alignment vertical="center" wrapText="1"/>
    </xf>
    <xf numFmtId="164" fontId="25" fillId="0" borderId="0" xfId="0" applyNumberFormat="1" applyFont="1" applyAlignment="1">
      <alignment vertical="top" wrapText="1"/>
    </xf>
    <xf numFmtId="4" fontId="14" fillId="0" borderId="0" xfId="0" applyNumberFormat="1" applyFont="1" applyAlignment="1">
      <alignment horizontal="right" vertical="center"/>
    </xf>
    <xf numFmtId="4" fontId="14" fillId="0" borderId="6" xfId="0" applyNumberFormat="1" applyFont="1" applyBorder="1" applyAlignment="1">
      <alignment vertical="center"/>
    </xf>
    <xf numFmtId="4" fontId="14" fillId="0" borderId="6" xfId="0" applyNumberFormat="1" applyFont="1" applyBorder="1"/>
    <xf numFmtId="0" fontId="18" fillId="3" borderId="0" xfId="34" applyFont="1" applyFill="1"/>
    <xf numFmtId="0" fontId="18" fillId="0" borderId="21" xfId="34" applyFont="1" applyBorder="1" applyAlignment="1">
      <alignment horizontal="center" vertical="top"/>
    </xf>
    <xf numFmtId="0" fontId="11" fillId="0" borderId="20" xfId="28" applyFont="1" applyBorder="1" applyAlignment="1">
      <alignment vertical="center" wrapText="1"/>
    </xf>
    <xf numFmtId="0" fontId="11" fillId="0" borderId="20" xfId="0" applyFont="1" applyBorder="1" applyAlignment="1">
      <alignment wrapText="1" shrinkToFit="1"/>
    </xf>
    <xf numFmtId="0" fontId="13" fillId="0" borderId="0" xfId="0" applyFont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0" fontId="18" fillId="0" borderId="66" xfId="34" applyFont="1" applyBorder="1" applyAlignment="1">
      <alignment horizontal="center" vertical="center" wrapText="1"/>
    </xf>
    <xf numFmtId="0" fontId="41" fillId="0" borderId="16" xfId="34" applyFont="1" applyBorder="1" applyAlignment="1">
      <alignment wrapText="1"/>
    </xf>
    <xf numFmtId="3" fontId="20" fillId="0" borderId="226" xfId="27" applyNumberFormat="1" applyFont="1" applyBorder="1" applyAlignment="1">
      <alignment horizontal="center" vertical="center"/>
    </xf>
    <xf numFmtId="3" fontId="18" fillId="0" borderId="95" xfId="27" applyNumberFormat="1" applyFont="1" applyBorder="1" applyAlignment="1">
      <alignment horizontal="center"/>
    </xf>
    <xf numFmtId="3" fontId="35" fillId="0" borderId="95" xfId="27" applyNumberFormat="1" applyFont="1" applyBorder="1" applyAlignment="1">
      <alignment wrapText="1"/>
    </xf>
    <xf numFmtId="3" fontId="18" fillId="0" borderId="130" xfId="27" applyNumberFormat="1" applyFont="1" applyBorder="1" applyAlignment="1">
      <alignment horizontal="center"/>
    </xf>
    <xf numFmtId="3" fontId="35" fillId="0" borderId="95" xfId="27" applyNumberFormat="1" applyFont="1" applyBorder="1" applyAlignment="1">
      <alignment horizontal="right"/>
    </xf>
    <xf numFmtId="3" fontId="35" fillId="0" borderId="116" xfId="0" applyNumberFormat="1" applyFont="1" applyBorder="1" applyAlignment="1">
      <alignment horizontal="right" wrapText="1"/>
    </xf>
    <xf numFmtId="3" fontId="44" fillId="0" borderId="116" xfId="0" applyNumberFormat="1" applyFont="1" applyBorder="1" applyAlignment="1">
      <alignment horizontal="right" wrapText="1"/>
    </xf>
    <xf numFmtId="3" fontId="35" fillId="0" borderId="248" xfId="0" applyNumberFormat="1" applyFont="1" applyBorder="1" applyAlignment="1">
      <alignment horizontal="right" wrapText="1"/>
    </xf>
    <xf numFmtId="3" fontId="18" fillId="0" borderId="125" xfId="34" applyNumberFormat="1" applyFont="1" applyBorder="1" applyAlignment="1">
      <alignment horizontal="right" vertical="center"/>
    </xf>
    <xf numFmtId="3" fontId="20" fillId="0" borderId="125" xfId="34" applyNumberFormat="1" applyFont="1" applyBorder="1" applyAlignment="1">
      <alignment horizontal="right" vertical="center"/>
    </xf>
    <xf numFmtId="0" fontId="18" fillId="0" borderId="99" xfId="34" applyFont="1" applyBorder="1" applyAlignment="1">
      <alignment horizontal="center" wrapText="1"/>
    </xf>
    <xf numFmtId="0" fontId="18" fillId="0" borderId="158" xfId="0" applyFont="1" applyBorder="1" applyAlignment="1">
      <alignment horizontal="center" vertical="center" textRotation="90"/>
    </xf>
    <xf numFmtId="0" fontId="18" fillId="0" borderId="165" xfId="0" applyFont="1" applyBorder="1" applyAlignment="1">
      <alignment horizontal="center" vertical="center" textRotation="90"/>
    </xf>
    <xf numFmtId="3" fontId="18" fillId="0" borderId="160" xfId="26" applyNumberFormat="1" applyFont="1" applyBorder="1" applyAlignment="1">
      <alignment horizontal="center" vertical="center" wrapText="1"/>
    </xf>
    <xf numFmtId="0" fontId="11" fillId="0" borderId="160" xfId="0" applyFont="1" applyBorder="1" applyAlignment="1">
      <alignment horizontal="center" vertical="center" wrapText="1"/>
    </xf>
    <xf numFmtId="3" fontId="13" fillId="0" borderId="160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top"/>
    </xf>
    <xf numFmtId="0" fontId="11" fillId="0" borderId="16" xfId="0" applyFont="1" applyBorder="1" applyAlignment="1">
      <alignment horizontal="center" vertical="top"/>
    </xf>
    <xf numFmtId="0" fontId="11" fillId="0" borderId="16" xfId="0" applyFont="1" applyBorder="1" applyAlignment="1">
      <alignment horizontal="center"/>
    </xf>
    <xf numFmtId="3" fontId="13" fillId="0" borderId="16" xfId="26" applyNumberFormat="1" applyFont="1" applyBorder="1"/>
    <xf numFmtId="164" fontId="11" fillId="0" borderId="16" xfId="0" applyNumberFormat="1" applyFont="1" applyBorder="1" applyAlignment="1">
      <alignment horizontal="left" vertical="top" wrapText="1" indent="2"/>
    </xf>
    <xf numFmtId="0" fontId="11" fillId="0" borderId="63" xfId="0" applyFont="1" applyBorder="1" applyAlignment="1">
      <alignment horizontal="center" vertical="top"/>
    </xf>
    <xf numFmtId="0" fontId="11" fillId="0" borderId="43" xfId="0" applyFont="1" applyBorder="1" applyAlignment="1">
      <alignment horizontal="center" vertical="top"/>
    </xf>
    <xf numFmtId="0" fontId="11" fillId="0" borderId="43" xfId="0" applyFont="1" applyBorder="1" applyAlignment="1">
      <alignment horizontal="center"/>
    </xf>
    <xf numFmtId="164" fontId="13" fillId="0" borderId="43" xfId="0" applyNumberFormat="1" applyFont="1" applyBorder="1" applyAlignment="1">
      <alignment horizontal="left" wrapText="1"/>
    </xf>
    <xf numFmtId="3" fontId="11" fillId="0" borderId="43" xfId="0" applyNumberFormat="1" applyFont="1" applyBorder="1"/>
    <xf numFmtId="164" fontId="11" fillId="0" borderId="43" xfId="0" applyNumberFormat="1" applyFont="1" applyBorder="1" applyAlignment="1">
      <alignment horizontal="left" vertical="top" wrapText="1" indent="2"/>
    </xf>
    <xf numFmtId="0" fontId="13" fillId="0" borderId="249" xfId="0" applyFont="1" applyBorder="1" applyAlignment="1">
      <alignment horizontal="center" vertical="center"/>
    </xf>
    <xf numFmtId="0" fontId="13" fillId="0" borderId="120" xfId="0" applyFont="1" applyBorder="1" applyAlignment="1">
      <alignment horizontal="center" vertical="center"/>
    </xf>
    <xf numFmtId="164" fontId="13" fillId="0" borderId="120" xfId="0" applyNumberFormat="1" applyFont="1" applyBorder="1" applyAlignment="1">
      <alignment horizontal="left" vertical="center" wrapText="1"/>
    </xf>
    <xf numFmtId="164" fontId="11" fillId="0" borderId="43" xfId="0" applyNumberFormat="1" applyFont="1" applyBorder="1" applyAlignment="1">
      <alignment horizontal="left" vertical="top" wrapText="1"/>
    </xf>
    <xf numFmtId="3" fontId="11" fillId="0" borderId="16" xfId="26" applyNumberFormat="1" applyFont="1" applyBorder="1" applyAlignment="1">
      <alignment horizontal="left" indent="2"/>
    </xf>
    <xf numFmtId="3" fontId="13" fillId="0" borderId="0" xfId="0" applyNumberFormat="1" applyFont="1" applyAlignment="1">
      <alignment vertical="center"/>
    </xf>
    <xf numFmtId="3" fontId="15" fillId="0" borderId="0" xfId="0" applyNumberFormat="1" applyFont="1" applyAlignment="1">
      <alignment horizontal="center" vertical="center" wrapText="1"/>
    </xf>
    <xf numFmtId="3" fontId="11" fillId="0" borderId="16" xfId="0" applyNumberFormat="1" applyFont="1" applyBorder="1" applyAlignment="1">
      <alignment horizontal="left" vertical="top" wrapText="1" indent="2"/>
    </xf>
    <xf numFmtId="3" fontId="11" fillId="0" borderId="43" xfId="0" applyNumberFormat="1" applyFont="1" applyBorder="1" applyAlignment="1">
      <alignment horizontal="left" vertical="top" wrapText="1"/>
    </xf>
    <xf numFmtId="3" fontId="11" fillId="0" borderId="0" xfId="0" applyNumberFormat="1" applyFont="1" applyAlignment="1">
      <alignment vertical="center" wrapText="1"/>
    </xf>
    <xf numFmtId="3" fontId="13" fillId="0" borderId="0" xfId="0" applyNumberFormat="1" applyFont="1" applyAlignment="1">
      <alignment vertical="center" wrapText="1"/>
    </xf>
    <xf numFmtId="3" fontId="13" fillId="0" borderId="120" xfId="0" applyNumberFormat="1" applyFont="1" applyBorder="1" applyAlignment="1">
      <alignment horizontal="right" vertical="center" wrapText="1"/>
    </xf>
    <xf numFmtId="3" fontId="43" fillId="0" borderId="16" xfId="27" applyNumberFormat="1" applyFont="1" applyBorder="1" applyAlignment="1">
      <alignment horizontal="right"/>
    </xf>
    <xf numFmtId="3" fontId="11" fillId="0" borderId="56" xfId="26" applyNumberFormat="1" applyFont="1" applyBorder="1" applyAlignment="1">
      <alignment horizontal="center" vertical="center" wrapText="1"/>
    </xf>
    <xf numFmtId="3" fontId="11" fillId="0" borderId="38" xfId="26" applyNumberFormat="1" applyFont="1" applyBorder="1" applyAlignment="1">
      <alignment horizontal="center" vertical="center" wrapText="1"/>
    </xf>
    <xf numFmtId="3" fontId="13" fillId="0" borderId="10" xfId="26" applyNumberFormat="1" applyFont="1" applyBorder="1" applyAlignment="1">
      <alignment horizontal="right" wrapText="1"/>
    </xf>
    <xf numFmtId="3" fontId="13" fillId="0" borderId="0" xfId="26" applyNumberFormat="1" applyFont="1" applyAlignment="1">
      <alignment horizontal="right" wrapText="1"/>
    </xf>
    <xf numFmtId="3" fontId="13" fillId="0" borderId="0" xfId="0" applyNumberFormat="1" applyFont="1"/>
    <xf numFmtId="3" fontId="25" fillId="0" borderId="0" xfId="0" applyNumberFormat="1" applyFont="1"/>
    <xf numFmtId="3" fontId="13" fillId="0" borderId="9" xfId="0" applyNumberFormat="1" applyFont="1" applyBorder="1"/>
    <xf numFmtId="3" fontId="13" fillId="0" borderId="9" xfId="26" applyNumberFormat="1" applyFont="1" applyBorder="1" applyAlignment="1">
      <alignment horizontal="right" wrapText="1"/>
    </xf>
    <xf numFmtId="3" fontId="13" fillId="0" borderId="8" xfId="0" applyNumberFormat="1" applyFont="1" applyBorder="1" applyAlignment="1">
      <alignment vertical="center"/>
    </xf>
    <xf numFmtId="3" fontId="11" fillId="0" borderId="9" xfId="0" applyNumberFormat="1" applyFont="1" applyBorder="1"/>
    <xf numFmtId="3" fontId="13" fillId="0" borderId="29" xfId="0" applyNumberFormat="1" applyFont="1" applyBorder="1" applyAlignment="1">
      <alignment vertical="center"/>
    </xf>
    <xf numFmtId="3" fontId="13" fillId="0" borderId="30" xfId="0" applyNumberFormat="1" applyFont="1" applyBorder="1" applyAlignment="1">
      <alignment vertical="center"/>
    </xf>
    <xf numFmtId="3" fontId="13" fillId="0" borderId="31" xfId="0" applyNumberFormat="1" applyFont="1" applyBorder="1" applyAlignment="1">
      <alignment vertical="center"/>
    </xf>
    <xf numFmtId="3" fontId="11" fillId="0" borderId="12" xfId="26" applyNumberFormat="1" applyFont="1" applyBorder="1" applyAlignment="1">
      <alignment horizontal="center" vertical="center" wrapText="1"/>
    </xf>
    <xf numFmtId="3" fontId="13" fillId="0" borderId="101" xfId="26" applyNumberFormat="1" applyFont="1" applyBorder="1" applyAlignment="1">
      <alignment horizontal="right" wrapText="1"/>
    </xf>
    <xf numFmtId="3" fontId="13" fillId="0" borderId="10" xfId="26" applyNumberFormat="1" applyFont="1" applyBorder="1"/>
    <xf numFmtId="3" fontId="11" fillId="0" borderId="0" xfId="26" applyNumberFormat="1" applyFont="1" applyAlignment="1">
      <alignment horizontal="right"/>
    </xf>
    <xf numFmtId="3" fontId="11" fillId="0" borderId="59" xfId="26" applyNumberFormat="1" applyFont="1" applyBorder="1" applyAlignment="1">
      <alignment horizontal="center" vertical="center" wrapText="1"/>
    </xf>
    <xf numFmtId="0" fontId="18" fillId="0" borderId="250" xfId="30" applyFont="1" applyBorder="1" applyAlignment="1">
      <alignment horizontal="center" vertical="center" wrapText="1"/>
    </xf>
    <xf numFmtId="3" fontId="18" fillId="0" borderId="16" xfId="57" applyNumberFormat="1" applyFont="1" applyFill="1" applyBorder="1" applyAlignment="1">
      <alignment horizontal="center" vertical="center"/>
    </xf>
    <xf numFmtId="3" fontId="18" fillId="0" borderId="21" xfId="57" applyNumberFormat="1" applyFont="1" applyFill="1" applyBorder="1" applyAlignment="1">
      <alignment horizontal="center" vertical="center"/>
    </xf>
    <xf numFmtId="3" fontId="18" fillId="0" borderId="151" xfId="57" applyNumberFormat="1" applyFont="1" applyFill="1" applyBorder="1" applyAlignment="1">
      <alignment horizontal="center" vertical="center"/>
    </xf>
    <xf numFmtId="3" fontId="18" fillId="0" borderId="208" xfId="57" applyNumberFormat="1" applyFont="1" applyFill="1" applyBorder="1" applyAlignment="1">
      <alignment horizontal="center" vertical="center"/>
    </xf>
    <xf numFmtId="3" fontId="21" fillId="0" borderId="251" xfId="32" applyNumberFormat="1" applyFont="1" applyBorder="1" applyAlignment="1">
      <alignment horizontal="center" vertical="center"/>
    </xf>
    <xf numFmtId="3" fontId="18" fillId="0" borderId="213" xfId="30" applyNumberFormat="1" applyFont="1" applyBorder="1" applyAlignment="1">
      <alignment horizontal="center"/>
    </xf>
    <xf numFmtId="3" fontId="18" fillId="0" borderId="233" xfId="30" applyNumberFormat="1" applyFont="1" applyBorder="1" applyAlignment="1">
      <alignment horizontal="center"/>
    </xf>
    <xf numFmtId="3" fontId="18" fillId="0" borderId="41" xfId="27" applyNumberFormat="1" applyFont="1" applyBorder="1" applyAlignment="1">
      <alignment horizontal="center" vertical="center" wrapText="1"/>
    </xf>
    <xf numFmtId="3" fontId="18" fillId="0" borderId="21" xfId="27" applyNumberFormat="1" applyFont="1" applyBorder="1" applyAlignment="1">
      <alignment horizontal="right"/>
    </xf>
    <xf numFmtId="3" fontId="43" fillId="0" borderId="21" xfId="27" applyNumberFormat="1" applyFont="1" applyBorder="1" applyAlignment="1">
      <alignment horizontal="right"/>
    </xf>
    <xf numFmtId="3" fontId="18" fillId="0" borderId="16" xfId="27" applyNumberFormat="1" applyFont="1" applyBorder="1"/>
    <xf numFmtId="3" fontId="18" fillId="0" borderId="108" xfId="27" applyNumberFormat="1" applyFont="1" applyBorder="1" applyAlignment="1">
      <alignment horizontal="right"/>
    </xf>
    <xf numFmtId="3" fontId="18" fillId="0" borderId="128" xfId="27" applyNumberFormat="1" applyFont="1" applyBorder="1" applyAlignment="1">
      <alignment horizontal="right"/>
    </xf>
    <xf numFmtId="3" fontId="18" fillId="0" borderId="95" xfId="27" applyNumberFormat="1" applyFont="1" applyBorder="1" applyAlignment="1">
      <alignment horizontal="right"/>
    </xf>
    <xf numFmtId="3" fontId="51" fillId="0" borderId="95" xfId="27" applyNumberFormat="1" applyFont="1" applyBorder="1" applyAlignment="1">
      <alignment wrapText="1"/>
    </xf>
    <xf numFmtId="3" fontId="20" fillId="0" borderId="99" xfId="27" applyNumberFormat="1" applyFont="1" applyBorder="1" applyAlignment="1">
      <alignment vertical="center" wrapText="1"/>
    </xf>
    <xf numFmtId="3" fontId="18" fillId="0" borderId="145" xfId="0" applyNumberFormat="1" applyFont="1" applyBorder="1"/>
    <xf numFmtId="3" fontId="18" fillId="0" borderId="125" xfId="0" applyNumberFormat="1" applyFont="1" applyBorder="1"/>
    <xf numFmtId="3" fontId="35" fillId="0" borderId="125" xfId="0" applyNumberFormat="1" applyFont="1" applyBorder="1"/>
    <xf numFmtId="0" fontId="0" fillId="0" borderId="125" xfId="0" applyBorder="1"/>
    <xf numFmtId="3" fontId="21" fillId="0" borderId="138" xfId="0" applyNumberFormat="1" applyFont="1" applyBorder="1"/>
    <xf numFmtId="3" fontId="35" fillId="0" borderId="211" xfId="0" applyNumberFormat="1" applyFont="1" applyBorder="1"/>
    <xf numFmtId="3" fontId="35" fillId="0" borderId="157" xfId="0" applyNumberFormat="1" applyFont="1" applyBorder="1"/>
    <xf numFmtId="3" fontId="21" fillId="0" borderId="124" xfId="0" applyNumberFormat="1" applyFont="1" applyBorder="1"/>
    <xf numFmtId="3" fontId="35" fillId="0" borderId="147" xfId="0" applyNumberFormat="1" applyFont="1" applyBorder="1"/>
    <xf numFmtId="3" fontId="18" fillId="0" borderId="41" xfId="33" applyNumberFormat="1" applyFont="1" applyBorder="1" applyAlignment="1">
      <alignment wrapText="1"/>
    </xf>
    <xf numFmtId="3" fontId="18" fillId="0" borderId="124" xfId="33" applyNumberFormat="1" applyFont="1" applyBorder="1" applyAlignment="1">
      <alignment wrapText="1"/>
    </xf>
    <xf numFmtId="3" fontId="24" fillId="0" borderId="121" xfId="0" applyNumberFormat="1" applyFont="1" applyBorder="1" applyAlignment="1">
      <alignment vertical="center"/>
    </xf>
    <xf numFmtId="3" fontId="35" fillId="0" borderId="117" xfId="0" applyNumberFormat="1" applyFont="1" applyBorder="1" applyAlignment="1">
      <alignment vertical="center"/>
    </xf>
    <xf numFmtId="3" fontId="24" fillId="0" borderId="138" xfId="0" applyNumberFormat="1" applyFont="1" applyBorder="1" applyAlignment="1">
      <alignment vertical="center"/>
    </xf>
    <xf numFmtId="3" fontId="35" fillId="0" borderId="139" xfId="0" applyNumberFormat="1" applyFont="1" applyBorder="1" applyAlignment="1">
      <alignment vertical="center"/>
    </xf>
    <xf numFmtId="3" fontId="21" fillId="0" borderId="41" xfId="0" applyNumberFormat="1" applyFont="1" applyBorder="1" applyAlignment="1">
      <alignment vertical="center"/>
    </xf>
    <xf numFmtId="3" fontId="21" fillId="0" borderId="67" xfId="0" applyNumberFormat="1" applyFont="1" applyBorder="1" applyAlignment="1">
      <alignment vertical="center"/>
    </xf>
    <xf numFmtId="3" fontId="35" fillId="0" borderId="133" xfId="0" applyNumberFormat="1" applyFont="1" applyBorder="1" applyAlignment="1">
      <alignment vertical="center"/>
    </xf>
    <xf numFmtId="3" fontId="21" fillId="0" borderId="67" xfId="0" applyNumberFormat="1" applyFont="1" applyBorder="1" applyAlignment="1">
      <alignment horizontal="right" vertical="center"/>
    </xf>
    <xf numFmtId="3" fontId="18" fillId="0" borderId="20" xfId="0" applyNumberFormat="1" applyFont="1" applyBorder="1" applyAlignment="1">
      <alignment horizontal="right" vertical="center"/>
    </xf>
    <xf numFmtId="3" fontId="36" fillId="0" borderId="16" xfId="0" applyNumberFormat="1" applyFont="1" applyBorder="1" applyAlignment="1">
      <alignment horizontal="right" vertical="center"/>
    </xf>
    <xf numFmtId="3" fontId="36" fillId="0" borderId="125" xfId="0" applyNumberFormat="1" applyFont="1" applyBorder="1" applyAlignment="1">
      <alignment horizontal="right" vertical="center"/>
    </xf>
    <xf numFmtId="3" fontId="36" fillId="0" borderId="20" xfId="0" applyNumberFormat="1" applyFont="1" applyBorder="1" applyAlignment="1">
      <alignment horizontal="right" vertical="center"/>
    </xf>
    <xf numFmtId="3" fontId="18" fillId="0" borderId="16" xfId="0" applyNumberFormat="1" applyFont="1" applyBorder="1" applyAlignment="1">
      <alignment horizontal="right" vertical="top"/>
    </xf>
    <xf numFmtId="3" fontId="18" fillId="0" borderId="20" xfId="0" applyNumberFormat="1" applyFont="1" applyBorder="1" applyAlignment="1">
      <alignment horizontal="right" vertical="top"/>
    </xf>
    <xf numFmtId="3" fontId="36" fillId="0" borderId="133" xfId="0" applyNumberFormat="1" applyFont="1" applyBorder="1" applyAlignment="1">
      <alignment horizontal="right" vertical="center"/>
    </xf>
    <xf numFmtId="3" fontId="36" fillId="0" borderId="139" xfId="0" applyNumberFormat="1" applyFont="1" applyBorder="1" applyAlignment="1">
      <alignment horizontal="right" vertical="center"/>
    </xf>
    <xf numFmtId="3" fontId="18" fillId="0" borderId="22" xfId="0" applyNumberFormat="1" applyFont="1" applyBorder="1"/>
    <xf numFmtId="3" fontId="18" fillId="0" borderId="20" xfId="0" applyNumberFormat="1" applyFont="1" applyBorder="1"/>
    <xf numFmtId="3" fontId="35" fillId="0" borderId="20" xfId="0" applyNumberFormat="1" applyFont="1" applyBorder="1" applyAlignment="1">
      <alignment vertical="center"/>
    </xf>
    <xf numFmtId="3" fontId="35" fillId="0" borderId="136" xfId="0" applyNumberFormat="1" applyFont="1" applyBorder="1" applyAlignment="1">
      <alignment vertical="center"/>
    </xf>
    <xf numFmtId="3" fontId="21" fillId="0" borderId="67" xfId="0" applyNumberFormat="1" applyFont="1" applyBorder="1" applyAlignment="1">
      <alignment horizontal="right"/>
    </xf>
    <xf numFmtId="3" fontId="21" fillId="0" borderId="20" xfId="0" applyNumberFormat="1" applyFont="1" applyBorder="1"/>
    <xf numFmtId="3" fontId="18" fillId="0" borderId="22" xfId="0" applyNumberFormat="1" applyFont="1" applyBorder="1" applyAlignment="1">
      <alignment horizontal="center"/>
    </xf>
    <xf numFmtId="3" fontId="11" fillId="0" borderId="16" xfId="27" applyNumberFormat="1" applyFont="1" applyBorder="1" applyAlignment="1">
      <alignment horizontal="center" vertical="center"/>
    </xf>
    <xf numFmtId="3" fontId="35" fillId="0" borderId="20" xfId="27" applyNumberFormat="1" applyFont="1" applyBorder="1" applyAlignment="1">
      <alignment horizontal="right"/>
    </xf>
    <xf numFmtId="3" fontId="18" fillId="0" borderId="22" xfId="27" applyNumberFormat="1" applyFont="1" applyBorder="1" applyAlignment="1">
      <alignment horizontal="right"/>
    </xf>
    <xf numFmtId="3" fontId="35" fillId="0" borderId="22" xfId="27" applyNumberFormat="1" applyFont="1" applyBorder="1" applyAlignment="1">
      <alignment horizontal="right"/>
    </xf>
    <xf numFmtId="3" fontId="18" fillId="0" borderId="20" xfId="27" applyNumberFormat="1" applyFont="1" applyBorder="1"/>
    <xf numFmtId="3" fontId="18" fillId="0" borderId="181" xfId="27" applyNumberFormat="1" applyFont="1" applyBorder="1" applyAlignment="1">
      <alignment horizontal="right"/>
    </xf>
    <xf numFmtId="3" fontId="18" fillId="0" borderId="124" xfId="27" applyNumberFormat="1" applyFont="1" applyBorder="1" applyAlignment="1">
      <alignment horizontal="center" vertical="center" wrapText="1"/>
    </xf>
    <xf numFmtId="3" fontId="18" fillId="0" borderId="125" xfId="27" applyNumberFormat="1" applyFont="1" applyBorder="1" applyAlignment="1">
      <alignment horizontal="right"/>
    </xf>
    <xf numFmtId="3" fontId="18" fillId="0" borderId="43" xfId="27" applyNumberFormat="1" applyFont="1" applyBorder="1" applyAlignment="1">
      <alignment horizontal="right"/>
    </xf>
    <xf numFmtId="3" fontId="18" fillId="0" borderId="242" xfId="27" applyNumberFormat="1" applyFont="1" applyBorder="1" applyAlignment="1">
      <alignment horizontal="right"/>
    </xf>
    <xf numFmtId="3" fontId="18" fillId="0" borderId="227" xfId="27" applyNumberFormat="1" applyFont="1" applyBorder="1" applyAlignment="1">
      <alignment horizontal="right"/>
    </xf>
    <xf numFmtId="3" fontId="43" fillId="0" borderId="116" xfId="0" applyNumberFormat="1" applyFont="1" applyBorder="1" applyAlignment="1">
      <alignment vertical="center"/>
    </xf>
    <xf numFmtId="3" fontId="35" fillId="0" borderId="211" xfId="0" applyNumberFormat="1" applyFont="1" applyBorder="1" applyAlignment="1">
      <alignment vertical="center"/>
    </xf>
    <xf numFmtId="3" fontId="20" fillId="0" borderId="161" xfId="0" applyNumberFormat="1" applyFont="1" applyBorder="1" applyAlignment="1">
      <alignment horizontal="left" wrapText="1"/>
    </xf>
    <xf numFmtId="0" fontId="0" fillId="0" borderId="118" xfId="0" applyBorder="1" applyAlignment="1">
      <alignment horizontal="left" wrapText="1"/>
    </xf>
    <xf numFmtId="0" fontId="0" fillId="0" borderId="108" xfId="0" applyBorder="1" applyAlignment="1">
      <alignment horizontal="left" wrapText="1"/>
    </xf>
    <xf numFmtId="0" fontId="0" fillId="0" borderId="134" xfId="0" applyBorder="1" applyAlignment="1">
      <alignment horizontal="left" wrapText="1"/>
    </xf>
    <xf numFmtId="3" fontId="21" fillId="0" borderId="161" xfId="28" applyNumberFormat="1" applyFont="1" applyBorder="1" applyAlignment="1">
      <alignment horizontal="center" vertical="center" wrapText="1"/>
    </xf>
    <xf numFmtId="3" fontId="18" fillId="0" borderId="0" xfId="34" applyNumberFormat="1" applyFont="1" applyProtection="1">
      <protection locked="0"/>
    </xf>
    <xf numFmtId="3" fontId="11" fillId="0" borderId="0" xfId="50" applyNumberFormat="1" applyFont="1" applyProtection="1">
      <protection locked="0"/>
    </xf>
    <xf numFmtId="3" fontId="11" fillId="0" borderId="0" xfId="50" applyNumberFormat="1" applyFont="1" applyAlignment="1" applyProtection="1">
      <alignment horizontal="right"/>
      <protection locked="0"/>
    </xf>
    <xf numFmtId="3" fontId="18" fillId="0" borderId="21" xfId="35" applyNumberFormat="1" applyFont="1" applyBorder="1" applyProtection="1">
      <protection locked="0"/>
    </xf>
    <xf numFmtId="3" fontId="18" fillId="0" borderId="21" xfId="34" applyNumberFormat="1" applyFont="1" applyBorder="1" applyProtection="1">
      <protection locked="0"/>
    </xf>
    <xf numFmtId="3" fontId="18" fillId="0" borderId="22" xfId="34" applyNumberFormat="1" applyFont="1" applyBorder="1" applyAlignment="1" applyProtection="1">
      <alignment horizontal="right"/>
      <protection locked="0"/>
    </xf>
    <xf numFmtId="3" fontId="18" fillId="0" borderId="21" xfId="35" applyNumberFormat="1" applyFont="1" applyBorder="1" applyAlignment="1" applyProtection="1">
      <alignment vertical="center"/>
      <protection locked="0"/>
    </xf>
    <xf numFmtId="3" fontId="18" fillId="0" borderId="21" xfId="34" applyNumberFormat="1" applyFont="1" applyBorder="1" applyAlignment="1" applyProtection="1">
      <alignment vertical="center"/>
      <protection locked="0"/>
    </xf>
    <xf numFmtId="3" fontId="18" fillId="0" borderId="22" xfId="34" applyNumberFormat="1" applyFont="1" applyBorder="1" applyAlignment="1" applyProtection="1">
      <alignment horizontal="right" vertical="center"/>
      <protection locked="0"/>
    </xf>
    <xf numFmtId="3" fontId="21" fillId="0" borderId="21" xfId="35" applyNumberFormat="1" applyFont="1" applyBorder="1" applyProtection="1">
      <protection locked="0"/>
    </xf>
    <xf numFmtId="3" fontId="18" fillId="0" borderId="22" xfId="34" applyNumberFormat="1" applyFont="1" applyBorder="1" applyAlignment="1" applyProtection="1">
      <alignment horizontal="left"/>
      <protection locked="0"/>
    </xf>
    <xf numFmtId="3" fontId="18" fillId="0" borderId="21" xfId="34" applyNumberFormat="1" applyFont="1" applyBorder="1" applyAlignment="1" applyProtection="1">
      <alignment horizontal="right"/>
      <protection locked="0"/>
    </xf>
    <xf numFmtId="3" fontId="21" fillId="0" borderId="120" xfId="35" applyNumberFormat="1" applyFont="1" applyBorder="1" applyAlignment="1" applyProtection="1">
      <alignment vertical="center"/>
      <protection locked="0"/>
    </xf>
    <xf numFmtId="3" fontId="21" fillId="0" borderId="120" xfId="34" applyNumberFormat="1" applyFont="1" applyBorder="1" applyAlignment="1" applyProtection="1">
      <alignment vertical="center"/>
      <protection locked="0"/>
    </xf>
    <xf numFmtId="3" fontId="21" fillId="0" borderId="142" xfId="34" applyNumberFormat="1" applyFont="1" applyBorder="1" applyAlignment="1" applyProtection="1">
      <alignment horizontal="right" vertical="center"/>
      <protection locked="0"/>
    </xf>
    <xf numFmtId="3" fontId="21" fillId="0" borderId="61" xfId="35" applyNumberFormat="1" applyFont="1" applyBorder="1" applyAlignment="1" applyProtection="1">
      <alignment vertical="center"/>
      <protection locked="0"/>
    </xf>
    <xf numFmtId="3" fontId="21" fillId="0" borderId="61" xfId="34" applyNumberFormat="1" applyFont="1" applyBorder="1" applyAlignment="1" applyProtection="1">
      <alignment vertical="center"/>
      <protection locked="0"/>
    </xf>
    <xf numFmtId="3" fontId="21" fillId="0" borderId="143" xfId="34" applyNumberFormat="1" applyFont="1" applyBorder="1" applyAlignment="1" applyProtection="1">
      <alignment horizontal="right" vertical="center"/>
      <protection locked="0"/>
    </xf>
    <xf numFmtId="3" fontId="18" fillId="0" borderId="0" xfId="35" applyNumberFormat="1" applyFont="1" applyProtection="1">
      <protection locked="0"/>
    </xf>
    <xf numFmtId="3" fontId="18" fillId="0" borderId="0" xfId="35" applyNumberFormat="1" applyFont="1" applyAlignment="1" applyProtection="1">
      <alignment wrapText="1"/>
      <protection locked="0"/>
    </xf>
    <xf numFmtId="3" fontId="18" fillId="0" borderId="0" xfId="50" applyNumberFormat="1" applyFont="1" applyProtection="1">
      <protection locked="0"/>
    </xf>
    <xf numFmtId="3" fontId="21" fillId="0" borderId="45" xfId="34" applyNumberFormat="1" applyFont="1" applyBorder="1" applyAlignment="1" applyProtection="1">
      <alignment horizontal="right" vertical="center"/>
      <protection locked="0"/>
    </xf>
    <xf numFmtId="3" fontId="21" fillId="0" borderId="24" xfId="34" applyNumberFormat="1" applyFont="1" applyBorder="1" applyAlignment="1" applyProtection="1">
      <alignment horizontal="right" vertical="center"/>
      <protection locked="0"/>
    </xf>
    <xf numFmtId="3" fontId="18" fillId="0" borderId="118" xfId="34" applyNumberFormat="1" applyFont="1" applyBorder="1" applyAlignment="1">
      <alignment horizontal="right" vertical="center"/>
    </xf>
    <xf numFmtId="3" fontId="18" fillId="0" borderId="22" xfId="34" applyNumberFormat="1" applyFont="1" applyBorder="1" applyAlignment="1">
      <alignment horizontal="right" vertical="center"/>
    </xf>
    <xf numFmtId="3" fontId="18" fillId="0" borderId="20" xfId="34" applyNumberFormat="1" applyFont="1" applyBorder="1" applyAlignment="1">
      <alignment horizontal="right" vertical="center"/>
    </xf>
    <xf numFmtId="3" fontId="18" fillId="0" borderId="108" xfId="34" applyNumberFormat="1" applyFont="1" applyBorder="1" applyAlignment="1">
      <alignment horizontal="right" vertical="center"/>
    </xf>
    <xf numFmtId="3" fontId="47" fillId="0" borderId="227" xfId="27" applyNumberFormat="1" applyFont="1" applyBorder="1" applyAlignment="1">
      <alignment vertical="center" wrapText="1"/>
    </xf>
    <xf numFmtId="3" fontId="35" fillId="0" borderId="227" xfId="27" applyNumberFormat="1" applyFont="1" applyBorder="1" applyAlignment="1">
      <alignment wrapText="1"/>
    </xf>
    <xf numFmtId="3" fontId="18" fillId="0" borderId="0" xfId="35" applyNumberFormat="1" applyFont="1" applyAlignment="1">
      <alignment horizontal="right" wrapText="1"/>
    </xf>
    <xf numFmtId="3" fontId="18" fillId="0" borderId="0" xfId="15" applyNumberFormat="1" applyFont="1" applyAlignment="1">
      <alignment horizontal="right"/>
    </xf>
    <xf numFmtId="0" fontId="13" fillId="0" borderId="235" xfId="34" applyFont="1" applyBorder="1" applyAlignment="1">
      <alignment horizontal="center"/>
    </xf>
    <xf numFmtId="0" fontId="11" fillId="0" borderId="95" xfId="34" applyFont="1" applyBorder="1" applyAlignment="1">
      <alignment horizontal="center" vertical="top"/>
    </xf>
    <xf numFmtId="0" fontId="39" fillId="0" borderId="130" xfId="28" applyFont="1" applyBorder="1"/>
    <xf numFmtId="3" fontId="11" fillId="0" borderId="95" xfId="34" applyNumberFormat="1" applyFont="1" applyBorder="1" applyAlignment="1">
      <alignment horizontal="right" vertical="top"/>
    </xf>
    <xf numFmtId="3" fontId="11" fillId="0" borderId="95" xfId="28" applyNumberFormat="1" applyFont="1" applyBorder="1" applyAlignment="1">
      <alignment horizontal="right" vertical="top"/>
    </xf>
    <xf numFmtId="3" fontId="11" fillId="0" borderId="117" xfId="34" applyNumberFormat="1" applyFont="1" applyBorder="1" applyAlignment="1">
      <alignment horizontal="right" vertical="top"/>
    </xf>
    <xf numFmtId="0" fontId="11" fillId="0" borderId="115" xfId="34" applyFont="1" applyBorder="1" applyAlignment="1">
      <alignment horizontal="center" wrapText="1"/>
    </xf>
    <xf numFmtId="3" fontId="39" fillId="0" borderId="116" xfId="34" applyNumberFormat="1" applyFont="1" applyBorder="1" applyAlignment="1">
      <alignment horizontal="right"/>
    </xf>
    <xf numFmtId="3" fontId="39" fillId="0" borderId="95" xfId="28" applyNumberFormat="1" applyFont="1" applyBorder="1" applyAlignment="1">
      <alignment horizontal="right" wrapText="1"/>
    </xf>
    <xf numFmtId="3" fontId="40" fillId="0" borderId="116" xfId="34" applyNumberFormat="1" applyFont="1" applyBorder="1" applyAlignment="1">
      <alignment horizontal="right"/>
    </xf>
    <xf numFmtId="3" fontId="40" fillId="0" borderId="130" xfId="34" applyNumberFormat="1" applyFont="1" applyBorder="1" applyAlignment="1">
      <alignment horizontal="right"/>
    </xf>
    <xf numFmtId="3" fontId="39" fillId="0" borderId="211" xfId="28" applyNumberFormat="1" applyFont="1" applyBorder="1" applyAlignment="1">
      <alignment horizontal="right" wrapText="1"/>
    </xf>
    <xf numFmtId="3" fontId="11" fillId="0" borderId="252" xfId="34" applyNumberFormat="1" applyFont="1" applyBorder="1" applyAlignment="1">
      <alignment horizontal="right"/>
    </xf>
    <xf numFmtId="3" fontId="47" fillId="0" borderId="253" xfId="27" applyNumberFormat="1" applyFont="1" applyBorder="1" applyAlignment="1">
      <alignment vertical="center" wrapText="1"/>
    </xf>
    <xf numFmtId="3" fontId="18" fillId="0" borderId="67" xfId="34" applyNumberFormat="1" applyFont="1" applyBorder="1" applyAlignment="1">
      <alignment horizontal="right" vertical="center"/>
    </xf>
    <xf numFmtId="3" fontId="20" fillId="0" borderId="20" xfId="34" applyNumberFormat="1" applyFont="1" applyBorder="1" applyAlignment="1">
      <alignment horizontal="right" vertical="center"/>
    </xf>
    <xf numFmtId="3" fontId="18" fillId="0" borderId="145" xfId="34" applyNumberFormat="1" applyFont="1" applyBorder="1" applyAlignment="1">
      <alignment horizontal="right" vertical="center"/>
    </xf>
    <xf numFmtId="0" fontId="11" fillId="0" borderId="99" xfId="28" applyFont="1" applyBorder="1" applyAlignment="1">
      <alignment horizontal="left" wrapText="1"/>
    </xf>
    <xf numFmtId="3" fontId="35" fillId="0" borderId="14" xfId="27" applyNumberFormat="1" applyFont="1" applyBorder="1" applyAlignment="1">
      <alignment horizontal="right"/>
    </xf>
    <xf numFmtId="3" fontId="35" fillId="0" borderId="248" xfId="0" applyNumberFormat="1" applyFont="1" applyBorder="1" applyAlignment="1">
      <alignment vertical="center"/>
    </xf>
    <xf numFmtId="0" fontId="11" fillId="0" borderId="112" xfId="28" applyFont="1" applyBorder="1" applyAlignment="1">
      <alignment wrapText="1"/>
    </xf>
    <xf numFmtId="3" fontId="11" fillId="0" borderId="137" xfId="29" applyNumberFormat="1" applyFont="1" applyBorder="1" applyAlignment="1">
      <alignment horizontal="right" vertical="center" wrapText="1"/>
    </xf>
    <xf numFmtId="3" fontId="11" fillId="0" borderId="145" xfId="29" applyNumberFormat="1" applyFont="1" applyBorder="1" applyAlignment="1">
      <alignment horizontal="right" vertical="center" wrapText="1"/>
    </xf>
    <xf numFmtId="3" fontId="11" fillId="0" borderId="255" xfId="29" applyNumberFormat="1" applyFont="1" applyBorder="1" applyAlignment="1">
      <alignment horizontal="center" vertical="top" wrapText="1"/>
    </xf>
    <xf numFmtId="3" fontId="18" fillId="0" borderId="43" xfId="34" applyNumberFormat="1" applyFont="1" applyBorder="1" applyAlignment="1">
      <alignment horizontal="right" vertical="center"/>
    </xf>
    <xf numFmtId="3" fontId="18" fillId="0" borderId="43" xfId="28" applyNumberFormat="1" applyFont="1" applyBorder="1" applyAlignment="1">
      <alignment horizontal="right" vertical="center"/>
    </xf>
    <xf numFmtId="0" fontId="53" fillId="0" borderId="16" xfId="28" applyFont="1" applyBorder="1" applyAlignment="1">
      <alignment vertical="center" wrapText="1"/>
    </xf>
    <xf numFmtId="0" fontId="14" fillId="0" borderId="99" xfId="28" applyFont="1" applyBorder="1" applyAlignment="1">
      <alignment wrapText="1"/>
    </xf>
    <xf numFmtId="0" fontId="53" fillId="0" borderId="16" xfId="28" applyFont="1" applyBorder="1" applyAlignment="1">
      <alignment wrapText="1"/>
    </xf>
    <xf numFmtId="3" fontId="13" fillId="0" borderId="26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/>
    <xf numFmtId="3" fontId="11" fillId="0" borderId="44" xfId="0" applyNumberFormat="1" applyFont="1" applyBorder="1"/>
    <xf numFmtId="3" fontId="13" fillId="0" borderId="45" xfId="0" applyNumberFormat="1" applyFont="1" applyBorder="1" applyAlignment="1">
      <alignment vertical="center"/>
    </xf>
    <xf numFmtId="3" fontId="11" fillId="0" borderId="0" xfId="26" applyNumberFormat="1" applyFont="1" applyAlignment="1">
      <alignment horizontal="left" wrapText="1" indent="2"/>
    </xf>
    <xf numFmtId="3" fontId="20" fillId="0" borderId="16" xfId="27" applyNumberFormat="1" applyFont="1" applyBorder="1" applyAlignment="1">
      <alignment vertical="center" shrinkToFit="1"/>
    </xf>
    <xf numFmtId="0" fontId="49" fillId="0" borderId="99" xfId="28" applyFont="1" applyBorder="1" applyAlignment="1">
      <alignment wrapText="1"/>
    </xf>
    <xf numFmtId="0" fontId="45" fillId="0" borderId="0" xfId="30" applyFont="1"/>
    <xf numFmtId="3" fontId="18" fillId="0" borderId="256" xfId="0" applyNumberFormat="1" applyFont="1" applyBorder="1" applyAlignment="1">
      <alignment horizontal="center" wrapText="1"/>
    </xf>
    <xf numFmtId="3" fontId="18" fillId="0" borderId="257" xfId="0" applyNumberFormat="1" applyFont="1" applyBorder="1" applyAlignment="1">
      <alignment horizontal="center" wrapText="1"/>
    </xf>
    <xf numFmtId="3" fontId="18" fillId="0" borderId="261" xfId="0" applyNumberFormat="1" applyFont="1" applyBorder="1" applyAlignment="1">
      <alignment horizontal="center" wrapText="1"/>
    </xf>
    <xf numFmtId="3" fontId="35" fillId="0" borderId="262" xfId="0" applyNumberFormat="1" applyFont="1" applyBorder="1" applyAlignment="1">
      <alignment horizontal="right"/>
    </xf>
    <xf numFmtId="3" fontId="43" fillId="0" borderId="257" xfId="0" applyNumberFormat="1" applyFont="1" applyBorder="1" applyAlignment="1">
      <alignment horizontal="right" wrapText="1"/>
    </xf>
    <xf numFmtId="3" fontId="43" fillId="0" borderId="263" xfId="0" applyNumberFormat="1" applyFont="1" applyBorder="1" applyAlignment="1">
      <alignment horizontal="right" wrapText="1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center" vertical="center"/>
    </xf>
    <xf numFmtId="3" fontId="11" fillId="0" borderId="0" xfId="26" applyNumberFormat="1" applyFont="1" applyAlignment="1">
      <alignment horizontal="left"/>
    </xf>
    <xf numFmtId="3" fontId="13" fillId="0" borderId="0" xfId="26" applyNumberFormat="1" applyFont="1" applyAlignment="1">
      <alignment horizontal="center" vertical="center"/>
    </xf>
    <xf numFmtId="3" fontId="18" fillId="0" borderId="163" xfId="0" applyNumberFormat="1" applyFont="1" applyBorder="1" applyAlignment="1">
      <alignment horizontal="center" vertical="center" wrapText="1"/>
    </xf>
    <xf numFmtId="3" fontId="24" fillId="0" borderId="121" xfId="0" applyNumberFormat="1" applyFont="1" applyBorder="1" applyAlignment="1">
      <alignment horizontal="left" vertical="center"/>
    </xf>
    <xf numFmtId="3" fontId="24" fillId="0" borderId="161" xfId="0" applyNumberFormat="1" applyFont="1" applyBorder="1" applyAlignment="1">
      <alignment horizontal="left" vertical="center"/>
    </xf>
    <xf numFmtId="3" fontId="24" fillId="0" borderId="100" xfId="0" applyNumberFormat="1" applyFont="1" applyBorder="1" applyAlignment="1">
      <alignment horizontal="left" vertical="center"/>
    </xf>
    <xf numFmtId="3" fontId="11" fillId="0" borderId="0" xfId="0" applyNumberFormat="1" applyFont="1" applyAlignment="1">
      <alignment horizontal="left" vertical="center"/>
    </xf>
    <xf numFmtId="3" fontId="13" fillId="0" borderId="0" xfId="0" applyNumberFormat="1" applyFont="1" applyAlignment="1">
      <alignment horizontal="center" vertical="center"/>
    </xf>
    <xf numFmtId="3" fontId="15" fillId="0" borderId="6" xfId="0" applyNumberFormat="1" applyFont="1" applyBorder="1" applyAlignment="1">
      <alignment horizontal="center" vertical="center"/>
    </xf>
    <xf numFmtId="3" fontId="18" fillId="0" borderId="158" xfId="0" applyNumberFormat="1" applyFont="1" applyBorder="1" applyAlignment="1">
      <alignment horizontal="center" vertical="center" textRotation="90"/>
    </xf>
    <xf numFmtId="3" fontId="18" fillId="0" borderId="159" xfId="0" applyNumberFormat="1" applyFont="1" applyBorder="1" applyAlignment="1">
      <alignment horizontal="center" vertical="center" textRotation="90"/>
    </xf>
    <xf numFmtId="3" fontId="18" fillId="0" borderId="164" xfId="0" applyNumberFormat="1" applyFont="1" applyBorder="1" applyAlignment="1">
      <alignment horizontal="center" vertical="center" textRotation="90"/>
    </xf>
    <xf numFmtId="0" fontId="0" fillId="0" borderId="91" xfId="0" applyBorder="1" applyAlignment="1">
      <alignment horizontal="center" vertical="center"/>
    </xf>
    <xf numFmtId="3" fontId="21" fillId="0" borderId="164" xfId="0" applyNumberFormat="1" applyFont="1" applyBorder="1" applyAlignment="1">
      <alignment horizontal="center" vertical="center"/>
    </xf>
    <xf numFmtId="3" fontId="21" fillId="0" borderId="97" xfId="0" applyNumberFormat="1" applyFont="1" applyBorder="1" applyAlignment="1">
      <alignment horizontal="center" vertical="center"/>
    </xf>
    <xf numFmtId="3" fontId="21" fillId="0" borderId="91" xfId="0" applyNumberFormat="1" applyFont="1" applyBorder="1" applyAlignment="1">
      <alignment horizontal="center" vertical="center"/>
    </xf>
    <xf numFmtId="3" fontId="21" fillId="0" borderId="19" xfId="0" applyNumberFormat="1" applyFont="1" applyBorder="1" applyAlignment="1">
      <alignment horizontal="center" vertical="center"/>
    </xf>
    <xf numFmtId="3" fontId="18" fillId="0" borderId="160" xfId="0" applyNumberFormat="1" applyFont="1" applyBorder="1" applyAlignment="1">
      <alignment horizontal="center" vertical="center" wrapText="1"/>
    </xf>
    <xf numFmtId="3" fontId="18" fillId="0" borderId="150" xfId="0" applyNumberFormat="1" applyFont="1" applyBorder="1" applyAlignment="1">
      <alignment horizontal="center" vertical="center" wrapText="1"/>
    </xf>
    <xf numFmtId="3" fontId="18" fillId="0" borderId="167" xfId="0" applyNumberFormat="1" applyFont="1" applyBorder="1" applyAlignment="1">
      <alignment horizontal="center" vertical="center" wrapText="1"/>
    </xf>
    <xf numFmtId="3" fontId="18" fillId="0" borderId="168" xfId="0" applyNumberFormat="1" applyFont="1" applyBorder="1" applyAlignment="1">
      <alignment horizontal="center" vertical="center" wrapText="1"/>
    </xf>
    <xf numFmtId="3" fontId="21" fillId="0" borderId="97" xfId="0" applyNumberFormat="1" applyFont="1" applyBorder="1" applyAlignment="1">
      <alignment horizontal="center" vertical="center" wrapText="1"/>
    </xf>
    <xf numFmtId="3" fontId="21" fillId="0" borderId="19" xfId="0" applyNumberFormat="1" applyFont="1" applyBorder="1" applyAlignment="1">
      <alignment horizontal="center" vertical="center" wrapText="1"/>
    </xf>
    <xf numFmtId="3" fontId="18" fillId="0" borderId="163" xfId="0" applyNumberFormat="1" applyFont="1" applyBorder="1" applyAlignment="1">
      <alignment horizontal="center" vertical="center"/>
    </xf>
    <xf numFmtId="3" fontId="18" fillId="0" borderId="7" xfId="0" applyNumberFormat="1" applyFont="1" applyBorder="1" applyAlignment="1">
      <alignment horizontal="center" vertical="center" wrapText="1"/>
    </xf>
    <xf numFmtId="3" fontId="21" fillId="0" borderId="121" xfId="33" applyNumberFormat="1" applyFont="1" applyBorder="1" applyAlignment="1">
      <alignment horizontal="left" wrapText="1"/>
    </xf>
    <xf numFmtId="3" fontId="21" fillId="0" borderId="100" xfId="33" applyNumberFormat="1" applyFont="1" applyBorder="1" applyAlignment="1">
      <alignment horizontal="left" wrapText="1"/>
    </xf>
    <xf numFmtId="3" fontId="21" fillId="0" borderId="162" xfId="33" applyNumberFormat="1" applyFont="1" applyBorder="1" applyAlignment="1">
      <alignment horizontal="center" vertical="center"/>
    </xf>
    <xf numFmtId="3" fontId="21" fillId="0" borderId="119" xfId="33" applyNumberFormat="1" applyFont="1" applyBorder="1" applyAlignment="1">
      <alignment horizontal="center" vertical="center"/>
    </xf>
    <xf numFmtId="3" fontId="21" fillId="0" borderId="111" xfId="33" applyNumberFormat="1" applyFont="1" applyBorder="1" applyAlignment="1">
      <alignment horizontal="center" vertical="center"/>
    </xf>
    <xf numFmtId="3" fontId="21" fillId="0" borderId="162" xfId="0" applyNumberFormat="1" applyFont="1" applyBorder="1" applyAlignment="1">
      <alignment horizontal="center" vertical="center"/>
    </xf>
    <xf numFmtId="3" fontId="21" fillId="0" borderId="119" xfId="0" applyNumberFormat="1" applyFont="1" applyBorder="1" applyAlignment="1">
      <alignment horizontal="center" vertical="center"/>
    </xf>
    <xf numFmtId="3" fontId="21" fillId="0" borderId="111" xfId="0" applyNumberFormat="1" applyFont="1" applyBorder="1" applyAlignment="1">
      <alignment horizontal="center" vertical="center"/>
    </xf>
    <xf numFmtId="3" fontId="21" fillId="0" borderId="67" xfId="33" applyNumberFormat="1" applyFont="1" applyBorder="1" applyAlignment="1">
      <alignment horizontal="left" wrapText="1"/>
    </xf>
    <xf numFmtId="3" fontId="21" fillId="0" borderId="119" xfId="33" applyNumberFormat="1" applyFont="1" applyBorder="1" applyAlignment="1">
      <alignment horizontal="left" wrapText="1"/>
    </xf>
    <xf numFmtId="0" fontId="18" fillId="0" borderId="16" xfId="0" applyFont="1" applyBorder="1" applyAlignment="1">
      <alignment horizontal="left" wrapText="1"/>
    </xf>
    <xf numFmtId="3" fontId="18" fillId="0" borderId="20" xfId="33" applyNumberFormat="1" applyFont="1" applyBorder="1" applyAlignment="1">
      <alignment horizontal="left" wrapText="1"/>
    </xf>
    <xf numFmtId="3" fontId="18" fillId="0" borderId="99" xfId="33" applyNumberFormat="1" applyFont="1" applyBorder="1" applyAlignment="1">
      <alignment horizontal="left" wrapText="1"/>
    </xf>
    <xf numFmtId="3" fontId="24" fillId="0" borderId="121" xfId="33" applyNumberFormat="1" applyFont="1" applyBorder="1" applyAlignment="1">
      <alignment horizontal="left" vertical="center"/>
    </xf>
    <xf numFmtId="3" fontId="24" fillId="0" borderId="161" xfId="33" applyNumberFormat="1" applyFont="1" applyBorder="1" applyAlignment="1">
      <alignment horizontal="left" vertical="center"/>
    </xf>
    <xf numFmtId="3" fontId="24" fillId="0" borderId="100" xfId="33" applyNumberFormat="1" applyFont="1" applyBorder="1" applyAlignment="1">
      <alignment horizontal="left" vertical="center"/>
    </xf>
    <xf numFmtId="0" fontId="18" fillId="0" borderId="20" xfId="0" applyFont="1" applyBorder="1" applyAlignment="1">
      <alignment horizontal="left" wrapText="1"/>
    </xf>
    <xf numFmtId="0" fontId="18" fillId="0" borderId="99" xfId="0" applyFont="1" applyBorder="1" applyAlignment="1">
      <alignment horizontal="left" wrapText="1"/>
    </xf>
    <xf numFmtId="3" fontId="20" fillId="0" borderId="0" xfId="0" applyNumberFormat="1" applyFont="1" applyAlignment="1">
      <alignment horizontal="right"/>
    </xf>
    <xf numFmtId="3" fontId="18" fillId="0" borderId="160" xfId="0" applyNumberFormat="1" applyFont="1" applyBorder="1" applyAlignment="1">
      <alignment horizontal="center" vertical="center" textRotation="90"/>
    </xf>
    <xf numFmtId="3" fontId="18" fillId="0" borderId="150" xfId="0" applyNumberFormat="1" applyFont="1" applyBorder="1" applyAlignment="1">
      <alignment horizontal="center" vertical="center" textRotation="90"/>
    </xf>
    <xf numFmtId="3" fontId="21" fillId="0" borderId="165" xfId="0" applyNumberFormat="1" applyFont="1" applyBorder="1" applyAlignment="1">
      <alignment horizontal="center" vertical="center"/>
    </xf>
    <xf numFmtId="3" fontId="21" fillId="0" borderId="166" xfId="0" applyNumberFormat="1" applyFont="1" applyBorder="1" applyAlignment="1">
      <alignment horizontal="center" vertical="center"/>
    </xf>
    <xf numFmtId="3" fontId="18" fillId="0" borderId="160" xfId="0" applyNumberFormat="1" applyFont="1" applyBorder="1" applyAlignment="1">
      <alignment horizontal="center" vertical="center" textRotation="90" wrapText="1"/>
    </xf>
    <xf numFmtId="0" fontId="0" fillId="0" borderId="150" xfId="0" applyBorder="1" applyAlignment="1">
      <alignment horizontal="center" vertical="center" textRotation="90" wrapText="1"/>
    </xf>
    <xf numFmtId="3" fontId="21" fillId="0" borderId="169" xfId="0" applyNumberFormat="1" applyFont="1" applyBorder="1" applyAlignment="1">
      <alignment horizontal="center" vertical="center" wrapText="1"/>
    </xf>
    <xf numFmtId="3" fontId="21" fillId="0" borderId="170" xfId="0" applyNumberFormat="1" applyFont="1" applyBorder="1" applyAlignment="1">
      <alignment horizontal="center" vertical="center" wrapText="1"/>
    </xf>
    <xf numFmtId="3" fontId="18" fillId="0" borderId="96" xfId="0" applyNumberFormat="1" applyFont="1" applyBorder="1" applyAlignment="1">
      <alignment horizontal="center" vertical="center"/>
    </xf>
    <xf numFmtId="3" fontId="18" fillId="0" borderId="94" xfId="0" applyNumberFormat="1" applyFont="1" applyBorder="1" applyAlignment="1">
      <alignment horizontal="center" vertical="center"/>
    </xf>
    <xf numFmtId="3" fontId="18" fillId="0" borderId="97" xfId="0" applyNumberFormat="1" applyFont="1" applyBorder="1" applyAlignment="1">
      <alignment horizontal="center" vertical="center"/>
    </xf>
    <xf numFmtId="3" fontId="18" fillId="0" borderId="163" xfId="26" applyNumberFormat="1" applyFont="1" applyBorder="1" applyAlignment="1">
      <alignment horizontal="center" vertical="center" wrapText="1"/>
    </xf>
    <xf numFmtId="3" fontId="20" fillId="0" borderId="15" xfId="0" applyNumberFormat="1" applyFont="1" applyBorder="1" applyAlignment="1">
      <alignment horizontal="left" vertical="center" wrapText="1"/>
    </xf>
    <xf numFmtId="3" fontId="20" fillId="0" borderId="99" xfId="0" applyNumberFormat="1" applyFont="1" applyBorder="1" applyAlignment="1">
      <alignment horizontal="left" vertical="center" wrapText="1"/>
    </xf>
    <xf numFmtId="3" fontId="20" fillId="0" borderId="16" xfId="0" applyNumberFormat="1" applyFont="1" applyBorder="1" applyAlignment="1">
      <alignment horizontal="left" vertical="center" wrapText="1"/>
    </xf>
    <xf numFmtId="3" fontId="20" fillId="0" borderId="15" xfId="0" applyNumberFormat="1" applyFont="1" applyBorder="1" applyAlignment="1">
      <alignment horizontal="left" vertical="top" wrapText="1"/>
    </xf>
    <xf numFmtId="3" fontId="20" fillId="0" borderId="99" xfId="0" applyNumberFormat="1" applyFont="1" applyBorder="1" applyAlignment="1">
      <alignment horizontal="left" vertical="top" wrapText="1"/>
    </xf>
    <xf numFmtId="3" fontId="20" fillId="0" borderId="16" xfId="0" applyNumberFormat="1" applyFont="1" applyBorder="1" applyAlignment="1">
      <alignment horizontal="left" vertical="top" wrapText="1"/>
    </xf>
    <xf numFmtId="3" fontId="20" fillId="0" borderId="40" xfId="0" applyNumberFormat="1" applyFont="1" applyBorder="1" applyAlignment="1">
      <alignment horizontal="left" vertical="center"/>
    </xf>
    <xf numFmtId="3" fontId="20" fillId="0" borderId="111" xfId="0" applyNumberFormat="1" applyFont="1" applyBorder="1" applyAlignment="1">
      <alignment horizontal="left" vertical="center"/>
    </xf>
    <xf numFmtId="3" fontId="20" fillId="0" borderId="41" xfId="0" applyNumberFormat="1" applyFont="1" applyBorder="1" applyAlignment="1">
      <alignment horizontal="left" vertical="center"/>
    </xf>
    <xf numFmtId="0" fontId="21" fillId="0" borderId="11" xfId="35" applyFont="1" applyBorder="1" applyAlignment="1" applyProtection="1">
      <alignment horizontal="center" vertical="center"/>
      <protection locked="0"/>
    </xf>
    <xf numFmtId="0" fontId="21" fillId="0" borderId="12" xfId="35" applyFont="1" applyBorder="1" applyAlignment="1" applyProtection="1">
      <alignment horizontal="center" vertical="center"/>
      <protection locked="0"/>
    </xf>
    <xf numFmtId="0" fontId="21" fillId="0" borderId="114" xfId="35" applyFont="1" applyBorder="1" applyAlignment="1" applyProtection="1">
      <alignment horizontal="center" vertical="center"/>
      <protection locked="0"/>
    </xf>
    <xf numFmtId="3" fontId="21" fillId="0" borderId="26" xfId="34" applyNumberFormat="1" applyFont="1" applyBorder="1" applyAlignment="1" applyProtection="1">
      <alignment horizontal="center" vertical="center" wrapText="1"/>
      <protection locked="0"/>
    </xf>
    <xf numFmtId="3" fontId="21" fillId="0" borderId="27" xfId="34" applyNumberFormat="1" applyFont="1" applyBorder="1" applyAlignment="1" applyProtection="1">
      <alignment horizontal="center" vertical="center" wrapText="1"/>
      <protection locked="0"/>
    </xf>
    <xf numFmtId="0" fontId="11" fillId="0" borderId="0" xfId="35" applyFont="1" applyAlignment="1" applyProtection="1">
      <alignment horizontal="left" vertical="center"/>
      <protection locked="0"/>
    </xf>
    <xf numFmtId="0" fontId="13" fillId="0" borderId="0" xfId="34" applyFont="1" applyAlignment="1" applyProtection="1">
      <alignment horizontal="center"/>
      <protection locked="0"/>
    </xf>
    <xf numFmtId="0" fontId="13" fillId="0" borderId="0" xfId="35" applyFont="1" applyAlignment="1" applyProtection="1">
      <alignment horizontal="center" vertical="center"/>
      <protection locked="0"/>
    </xf>
    <xf numFmtId="3" fontId="18" fillId="0" borderId="158" xfId="27" applyNumberFormat="1" applyFont="1" applyBorder="1" applyAlignment="1" applyProtection="1">
      <alignment horizontal="center" vertical="center" textRotation="90"/>
      <protection locked="0"/>
    </xf>
    <xf numFmtId="3" fontId="18" fillId="0" borderId="159" xfId="27" applyNumberFormat="1" applyFont="1" applyBorder="1" applyAlignment="1" applyProtection="1">
      <alignment horizontal="center" vertical="center" textRotation="90"/>
      <protection locked="0"/>
    </xf>
    <xf numFmtId="3" fontId="18" fillId="0" borderId="160" xfId="27" applyNumberFormat="1" applyFont="1" applyBorder="1" applyAlignment="1" applyProtection="1">
      <alignment horizontal="center" vertical="center" textRotation="90"/>
      <protection locked="0"/>
    </xf>
    <xf numFmtId="3" fontId="18" fillId="0" borderId="150" xfId="27" applyNumberFormat="1" applyFont="1" applyBorder="1" applyAlignment="1" applyProtection="1">
      <alignment horizontal="center" vertical="center" textRotation="90"/>
      <protection locked="0"/>
    </xf>
    <xf numFmtId="0" fontId="21" fillId="0" borderId="160" xfId="34" applyFont="1" applyBorder="1" applyAlignment="1" applyProtection="1">
      <alignment horizontal="center" vertical="center" wrapText="1"/>
      <protection locked="0"/>
    </xf>
    <xf numFmtId="0" fontId="21" fillId="0" borderId="150" xfId="34" applyFont="1" applyBorder="1" applyAlignment="1" applyProtection="1">
      <alignment horizontal="center" vertical="center" wrapText="1"/>
      <protection locked="0"/>
    </xf>
    <xf numFmtId="0" fontId="18" fillId="0" borderId="160" xfId="34" applyFont="1" applyBorder="1" applyAlignment="1" applyProtection="1">
      <alignment horizontal="center" vertical="center" textRotation="90" wrapText="1"/>
      <protection locked="0"/>
    </xf>
    <xf numFmtId="0" fontId="18" fillId="0" borderId="150" xfId="34" applyFont="1" applyBorder="1" applyAlignment="1" applyProtection="1">
      <alignment horizontal="center" vertical="center" textRotation="90" wrapText="1"/>
      <protection locked="0"/>
    </xf>
    <xf numFmtId="3" fontId="18" fillId="0" borderId="160" xfId="34" applyNumberFormat="1" applyFont="1" applyBorder="1" applyAlignment="1" applyProtection="1">
      <alignment horizontal="center" vertical="center" wrapText="1"/>
      <protection locked="0"/>
    </xf>
    <xf numFmtId="3" fontId="18" fillId="0" borderId="150" xfId="34" applyNumberFormat="1" applyFont="1" applyBorder="1" applyAlignment="1" applyProtection="1">
      <alignment horizontal="center" vertical="center" wrapText="1"/>
      <protection locked="0"/>
    </xf>
    <xf numFmtId="0" fontId="21" fillId="0" borderId="53" xfId="35" applyFont="1" applyBorder="1" applyAlignment="1" applyProtection="1">
      <alignment horizontal="center" vertical="center"/>
      <protection locked="0"/>
    </xf>
    <xf numFmtId="0" fontId="21" fillId="0" borderId="30" xfId="35" applyFont="1" applyBorder="1" applyAlignment="1" applyProtection="1">
      <alignment horizontal="center" vertical="center"/>
      <protection locked="0"/>
    </xf>
    <xf numFmtId="0" fontId="21" fillId="0" borderId="149" xfId="35" applyFont="1" applyBorder="1" applyAlignment="1" applyProtection="1">
      <alignment horizontal="center" vertical="center"/>
      <protection locked="0"/>
    </xf>
    <xf numFmtId="3" fontId="20" fillId="0" borderId="121" xfId="0" applyNumberFormat="1" applyFont="1" applyBorder="1" applyAlignment="1">
      <alignment horizontal="left" wrapText="1"/>
    </xf>
    <xf numFmtId="3" fontId="20" fillId="0" borderId="161" xfId="0" applyNumberFormat="1" applyFont="1" applyBorder="1" applyAlignment="1">
      <alignment horizontal="left" wrapText="1"/>
    </xf>
    <xf numFmtId="3" fontId="20" fillId="0" borderId="180" xfId="0" applyNumberFormat="1" applyFont="1" applyBorder="1" applyAlignment="1">
      <alignment horizontal="left" wrapText="1"/>
    </xf>
    <xf numFmtId="3" fontId="21" fillId="0" borderId="22" xfId="27" applyNumberFormat="1" applyFont="1" applyBorder="1" applyAlignment="1">
      <alignment horizontal="center" vertical="center" wrapText="1"/>
    </xf>
    <xf numFmtId="3" fontId="21" fillId="0" borderId="118" xfId="27" applyNumberFormat="1" applyFont="1" applyBorder="1" applyAlignment="1">
      <alignment horizontal="center" vertical="center" wrapText="1"/>
    </xf>
    <xf numFmtId="3" fontId="21" fillId="0" borderId="217" xfId="27" applyNumberFormat="1" applyFont="1" applyBorder="1" applyAlignment="1">
      <alignment horizontal="center" vertical="center" wrapText="1"/>
    </xf>
    <xf numFmtId="3" fontId="15" fillId="0" borderId="0" xfId="0" applyNumberFormat="1" applyFont="1" applyAlignment="1">
      <alignment horizontal="left" vertical="top"/>
    </xf>
    <xf numFmtId="3" fontId="21" fillId="0" borderId="172" xfId="27" applyNumberFormat="1" applyFont="1" applyBorder="1" applyAlignment="1">
      <alignment horizontal="center" vertical="center" wrapText="1"/>
    </xf>
    <xf numFmtId="3" fontId="21" fillId="0" borderId="173" xfId="27" applyNumberFormat="1" applyFont="1" applyBorder="1" applyAlignment="1">
      <alignment horizontal="center" vertical="center" wrapText="1"/>
    </xf>
    <xf numFmtId="3" fontId="18" fillId="0" borderId="174" xfId="0" applyNumberFormat="1" applyFont="1" applyBorder="1" applyAlignment="1">
      <alignment horizontal="center" vertical="center"/>
    </xf>
    <xf numFmtId="3" fontId="18" fillId="0" borderId="175" xfId="0" applyNumberFormat="1" applyFont="1" applyBorder="1" applyAlignment="1">
      <alignment horizontal="center" vertical="center"/>
    </xf>
    <xf numFmtId="3" fontId="18" fillId="0" borderId="172" xfId="27" applyNumberFormat="1" applyFont="1" applyBorder="1" applyAlignment="1">
      <alignment horizontal="center" vertical="center" wrapText="1"/>
    </xf>
    <xf numFmtId="3" fontId="18" fillId="0" borderId="173" xfId="27" applyNumberFormat="1" applyFont="1" applyBorder="1" applyAlignment="1">
      <alignment horizontal="center" vertical="center" wrapText="1"/>
    </xf>
    <xf numFmtId="3" fontId="18" fillId="0" borderId="176" xfId="27" applyNumberFormat="1" applyFont="1" applyBorder="1" applyAlignment="1">
      <alignment horizontal="center" vertical="center" textRotation="90"/>
    </xf>
    <xf numFmtId="3" fontId="18" fillId="0" borderId="177" xfId="27" applyNumberFormat="1" applyFont="1" applyBorder="1" applyAlignment="1">
      <alignment horizontal="center" vertical="center" textRotation="90"/>
    </xf>
    <xf numFmtId="3" fontId="18" fillId="0" borderId="172" xfId="27" applyNumberFormat="1" applyFont="1" applyBorder="1" applyAlignment="1">
      <alignment horizontal="center" vertical="center" textRotation="90"/>
    </xf>
    <xf numFmtId="3" fontId="18" fillId="0" borderId="173" xfId="27" applyNumberFormat="1" applyFont="1" applyBorder="1" applyAlignment="1">
      <alignment horizontal="center" vertical="center" textRotation="90"/>
    </xf>
    <xf numFmtId="3" fontId="18" fillId="0" borderId="178" xfId="27" applyNumberFormat="1" applyFont="1" applyBorder="1" applyAlignment="1">
      <alignment horizontal="center" vertical="center" wrapText="1"/>
    </xf>
    <xf numFmtId="3" fontId="18" fillId="0" borderId="179" xfId="27" applyNumberFormat="1" applyFont="1" applyBorder="1" applyAlignment="1">
      <alignment horizontal="center" vertical="center" wrapText="1"/>
    </xf>
    <xf numFmtId="0" fontId="21" fillId="0" borderId="172" xfId="27" applyFont="1" applyBorder="1" applyAlignment="1">
      <alignment horizontal="center" vertical="center" wrapText="1"/>
    </xf>
    <xf numFmtId="0" fontId="21" fillId="0" borderId="173" xfId="27" applyFont="1" applyBorder="1" applyAlignment="1">
      <alignment horizontal="center" vertical="center" wrapText="1"/>
    </xf>
    <xf numFmtId="3" fontId="18" fillId="0" borderId="165" xfId="0" applyNumberFormat="1" applyFont="1" applyBorder="1" applyAlignment="1">
      <alignment horizontal="center" vertical="center" textRotation="90" wrapText="1"/>
    </xf>
    <xf numFmtId="0" fontId="18" fillId="0" borderId="166" xfId="0" applyFont="1" applyBorder="1" applyAlignment="1">
      <alignment horizontal="center" vertical="center" textRotation="90" wrapText="1"/>
    </xf>
    <xf numFmtId="3" fontId="35" fillId="0" borderId="22" xfId="27" applyNumberFormat="1" applyFont="1" applyBorder="1" applyAlignment="1">
      <alignment horizontal="left" wrapText="1"/>
    </xf>
    <xf numFmtId="0" fontId="0" fillId="0" borderId="118" xfId="0" applyBorder="1" applyAlignment="1">
      <alignment horizontal="left" wrapText="1"/>
    </xf>
    <xf numFmtId="0" fontId="0" fillId="0" borderId="217" xfId="0" applyBorder="1" applyAlignment="1">
      <alignment horizontal="left" wrapText="1"/>
    </xf>
    <xf numFmtId="3" fontId="20" fillId="0" borderId="20" xfId="0" applyNumberFormat="1" applyFont="1" applyBorder="1" applyAlignment="1">
      <alignment horizontal="left" wrapText="1"/>
    </xf>
    <xf numFmtId="0" fontId="0" fillId="0" borderId="108" xfId="0" applyBorder="1" applyAlignment="1">
      <alignment horizontal="left" wrapText="1"/>
    </xf>
    <xf numFmtId="0" fontId="0" fillId="0" borderId="181" xfId="0" applyBorder="1" applyAlignment="1">
      <alignment horizontal="left" wrapText="1"/>
    </xf>
    <xf numFmtId="3" fontId="35" fillId="0" borderId="258" xfId="27" applyNumberFormat="1" applyFont="1" applyBorder="1" applyAlignment="1">
      <alignment horizontal="left" wrapText="1"/>
    </xf>
    <xf numFmtId="0" fontId="0" fillId="0" borderId="259" xfId="0" applyBorder="1" applyAlignment="1">
      <alignment horizontal="left" wrapText="1"/>
    </xf>
    <xf numFmtId="0" fontId="0" fillId="0" borderId="260" xfId="0" applyBorder="1" applyAlignment="1">
      <alignment horizontal="left" wrapText="1"/>
    </xf>
    <xf numFmtId="3" fontId="11" fillId="0" borderId="0" xfId="27" applyNumberFormat="1" applyFont="1" applyAlignment="1">
      <alignment horizontal="left"/>
    </xf>
    <xf numFmtId="3" fontId="11" fillId="0" borderId="0" xfId="27" applyNumberFormat="1" applyFont="1" applyAlignment="1">
      <alignment horizontal="right"/>
    </xf>
    <xf numFmtId="3" fontId="13" fillId="0" borderId="0" xfId="27" applyNumberFormat="1" applyFont="1" applyAlignment="1">
      <alignment horizontal="center"/>
    </xf>
    <xf numFmtId="3" fontId="13" fillId="0" borderId="0" xfId="27" applyNumberFormat="1" applyFont="1" applyAlignment="1">
      <alignment horizontal="center" vertical="center"/>
    </xf>
    <xf numFmtId="3" fontId="20" fillId="0" borderId="0" xfId="27" applyNumberFormat="1" applyFont="1" applyAlignment="1">
      <alignment horizontal="right"/>
    </xf>
    <xf numFmtId="0" fontId="11" fillId="0" borderId="0" xfId="35" applyFont="1" applyAlignment="1">
      <alignment horizontal="left" vertical="center"/>
    </xf>
    <xf numFmtId="3" fontId="11" fillId="0" borderId="0" xfId="34" applyNumberFormat="1" applyFont="1" applyAlignment="1">
      <alignment horizontal="right" vertical="center"/>
    </xf>
    <xf numFmtId="0" fontId="13" fillId="0" borderId="0" xfId="34" applyFont="1" applyAlignment="1">
      <alignment horizontal="center"/>
    </xf>
    <xf numFmtId="0" fontId="13" fillId="0" borderId="0" xfId="35" applyFont="1" applyAlignment="1">
      <alignment horizontal="center" vertical="center"/>
    </xf>
    <xf numFmtId="3" fontId="21" fillId="0" borderId="165" xfId="34" applyNumberFormat="1" applyFont="1" applyBorder="1" applyAlignment="1">
      <alignment horizontal="center" vertical="center" wrapText="1"/>
    </xf>
    <xf numFmtId="3" fontId="21" fillId="0" borderId="160" xfId="34" applyNumberFormat="1" applyFont="1" applyBorder="1" applyAlignment="1">
      <alignment horizontal="center" vertical="center" wrapText="1"/>
    </xf>
    <xf numFmtId="3" fontId="21" fillId="0" borderId="167" xfId="34" applyNumberFormat="1" applyFont="1" applyBorder="1" applyAlignment="1">
      <alignment horizontal="center" vertical="center" wrapText="1"/>
    </xf>
    <xf numFmtId="3" fontId="18" fillId="0" borderId="186" xfId="34" applyNumberFormat="1" applyFont="1" applyBorder="1" applyAlignment="1">
      <alignment horizontal="center" vertical="center" wrapText="1"/>
    </xf>
    <xf numFmtId="3" fontId="18" fillId="0" borderId="187" xfId="34" applyNumberFormat="1" applyFont="1" applyBorder="1" applyAlignment="1">
      <alignment horizontal="center" vertical="center" wrapText="1"/>
    </xf>
    <xf numFmtId="3" fontId="18" fillId="0" borderId="188" xfId="34" applyNumberFormat="1" applyFont="1" applyBorder="1" applyAlignment="1">
      <alignment horizontal="center" vertical="center" wrapText="1"/>
    </xf>
    <xf numFmtId="3" fontId="18" fillId="0" borderId="184" xfId="34" applyNumberFormat="1" applyFont="1" applyBorder="1" applyAlignment="1">
      <alignment horizontal="center" vertical="center" wrapText="1"/>
    </xf>
    <xf numFmtId="3" fontId="18" fillId="0" borderId="185" xfId="34" applyNumberFormat="1" applyFont="1" applyBorder="1" applyAlignment="1">
      <alignment horizontal="center" vertical="center" wrapText="1"/>
    </xf>
    <xf numFmtId="3" fontId="18" fillId="0" borderId="48" xfId="34" applyNumberFormat="1" applyFont="1" applyBorder="1" applyAlignment="1">
      <alignment horizontal="center" vertical="center" wrapText="1"/>
    </xf>
    <xf numFmtId="3" fontId="18" fillId="0" borderId="189" xfId="27" applyNumberFormat="1" applyFont="1" applyBorder="1" applyAlignment="1">
      <alignment horizontal="center" vertical="center" textRotation="90"/>
    </xf>
    <xf numFmtId="3" fontId="18" fillId="0" borderId="190" xfId="27" applyNumberFormat="1" applyFont="1" applyBorder="1" applyAlignment="1">
      <alignment horizontal="center" vertical="center" textRotation="90"/>
    </xf>
    <xf numFmtId="3" fontId="18" fillId="0" borderId="191" xfId="27" applyNumberFormat="1" applyFont="1" applyBorder="1" applyAlignment="1">
      <alignment horizontal="center" vertical="center" textRotation="90"/>
    </xf>
    <xf numFmtId="3" fontId="18" fillId="0" borderId="184" xfId="27" applyNumberFormat="1" applyFont="1" applyBorder="1" applyAlignment="1">
      <alignment horizontal="center" vertical="center" textRotation="90"/>
    </xf>
    <xf numFmtId="3" fontId="18" fillId="0" borderId="185" xfId="27" applyNumberFormat="1" applyFont="1" applyBorder="1" applyAlignment="1">
      <alignment horizontal="center" vertical="center" textRotation="90"/>
    </xf>
    <xf numFmtId="3" fontId="18" fillId="0" borderId="48" xfId="27" applyNumberFormat="1" applyFont="1" applyBorder="1" applyAlignment="1">
      <alignment horizontal="center" vertical="center" textRotation="90"/>
    </xf>
    <xf numFmtId="0" fontId="21" fillId="0" borderId="160" xfId="34" applyFont="1" applyBorder="1" applyAlignment="1">
      <alignment horizontal="center" vertical="center" wrapText="1"/>
    </xf>
    <xf numFmtId="0" fontId="21" fillId="0" borderId="192" xfId="34" applyFont="1" applyBorder="1" applyAlignment="1">
      <alignment horizontal="center" vertical="center" wrapText="1"/>
    </xf>
    <xf numFmtId="0" fontId="21" fillId="0" borderId="150" xfId="34" applyFont="1" applyBorder="1" applyAlignment="1">
      <alignment horizontal="center" vertical="center" wrapText="1"/>
    </xf>
    <xf numFmtId="3" fontId="18" fillId="0" borderId="141" xfId="34" applyNumberFormat="1" applyFont="1" applyBorder="1" applyAlignment="1">
      <alignment horizontal="center" vertical="center" wrapText="1"/>
    </xf>
    <xf numFmtId="3" fontId="21" fillId="0" borderId="193" xfId="34" applyNumberFormat="1" applyFont="1" applyBorder="1" applyAlignment="1">
      <alignment horizontal="center" vertical="center" wrapText="1"/>
    </xf>
    <xf numFmtId="3" fontId="21" fillId="0" borderId="194" xfId="34" applyNumberFormat="1" applyFont="1" applyBorder="1" applyAlignment="1">
      <alignment horizontal="center" vertical="center" wrapText="1"/>
    </xf>
    <xf numFmtId="0" fontId="18" fillId="0" borderId="195" xfId="34" applyFont="1" applyBorder="1" applyAlignment="1">
      <alignment horizontal="center" vertical="center" textRotation="90" wrapText="1"/>
    </xf>
    <xf numFmtId="0" fontId="18" fillId="0" borderId="196" xfId="34" applyFont="1" applyBorder="1" applyAlignment="1">
      <alignment horizontal="center" vertical="center" textRotation="90" wrapText="1"/>
    </xf>
    <xf numFmtId="0" fontId="18" fillId="0" borderId="49" xfId="34" applyFont="1" applyBorder="1" applyAlignment="1">
      <alignment horizontal="center" vertical="center" textRotation="90" wrapText="1"/>
    </xf>
    <xf numFmtId="3" fontId="18" fillId="0" borderId="69" xfId="34" applyNumberFormat="1" applyFont="1" applyBorder="1" applyAlignment="1">
      <alignment horizontal="center" vertical="center" wrapText="1"/>
    </xf>
    <xf numFmtId="3" fontId="18" fillId="0" borderId="73" xfId="34" applyNumberFormat="1" applyFont="1" applyBorder="1" applyAlignment="1">
      <alignment horizontal="center" vertical="center" wrapText="1"/>
    </xf>
    <xf numFmtId="3" fontId="18" fillId="0" borderId="183" xfId="34" applyNumberFormat="1" applyFont="1" applyBorder="1" applyAlignment="1">
      <alignment horizontal="center" vertical="center" wrapText="1"/>
    </xf>
    <xf numFmtId="3" fontId="35" fillId="0" borderId="139" xfId="27" applyNumberFormat="1" applyFont="1" applyBorder="1" applyAlignment="1">
      <alignment horizontal="left" wrapText="1"/>
    </xf>
    <xf numFmtId="0" fontId="0" fillId="0" borderId="134" xfId="0" applyBorder="1" applyAlignment="1">
      <alignment horizontal="left" wrapText="1"/>
    </xf>
    <xf numFmtId="0" fontId="0" fillId="0" borderId="182" xfId="0" applyBorder="1" applyAlignment="1">
      <alignment horizontal="left" wrapText="1"/>
    </xf>
    <xf numFmtId="3" fontId="21" fillId="0" borderId="161" xfId="28" applyNumberFormat="1" applyFont="1" applyBorder="1" applyAlignment="1">
      <alignment horizontal="center" vertical="center" wrapText="1"/>
    </xf>
    <xf numFmtId="3" fontId="21" fillId="0" borderId="180" xfId="28" applyNumberFormat="1" applyFont="1" applyBorder="1" applyAlignment="1">
      <alignment horizontal="center" vertical="center" wrapText="1"/>
    </xf>
    <xf numFmtId="3" fontId="11" fillId="0" borderId="0" xfId="34" applyNumberFormat="1" applyFont="1" applyAlignment="1">
      <alignment horizontal="right"/>
    </xf>
    <xf numFmtId="3" fontId="21" fillId="0" borderId="94" xfId="34" applyNumberFormat="1" applyFont="1" applyBorder="1" applyAlignment="1">
      <alignment horizontal="center" vertical="center" wrapText="1"/>
    </xf>
    <xf numFmtId="3" fontId="21" fillId="0" borderId="197" xfId="34" applyNumberFormat="1" applyFont="1" applyBorder="1" applyAlignment="1">
      <alignment horizontal="center" vertical="center" wrapText="1"/>
    </xf>
    <xf numFmtId="3" fontId="20" fillId="0" borderId="22" xfId="0" applyNumberFormat="1" applyFont="1" applyBorder="1" applyAlignment="1">
      <alignment horizontal="left" wrapText="1"/>
    </xf>
    <xf numFmtId="3" fontId="20" fillId="0" borderId="118" xfId="0" applyNumberFormat="1" applyFont="1" applyBorder="1" applyAlignment="1">
      <alignment horizontal="left" wrapText="1"/>
    </xf>
    <xf numFmtId="3" fontId="20" fillId="0" borderId="217" xfId="0" applyNumberFormat="1" applyFont="1" applyBorder="1" applyAlignment="1">
      <alignment horizontal="left" wrapText="1"/>
    </xf>
    <xf numFmtId="0" fontId="13" fillId="0" borderId="0" xfId="35" applyFont="1" applyAlignment="1">
      <alignment horizontal="center" wrapText="1"/>
    </xf>
    <xf numFmtId="0" fontId="18" fillId="0" borderId="68" xfId="34" applyFont="1" applyBorder="1" applyAlignment="1">
      <alignment horizontal="center" vertical="center" textRotation="90" wrapText="1"/>
    </xf>
    <xf numFmtId="0" fontId="18" fillId="0" borderId="204" xfId="34" applyFont="1" applyBorder="1" applyAlignment="1">
      <alignment horizontal="center" vertical="center" textRotation="90" wrapText="1"/>
    </xf>
    <xf numFmtId="0" fontId="18" fillId="0" borderId="205" xfId="34" applyFont="1" applyBorder="1" applyAlignment="1">
      <alignment horizontal="center" vertical="center" textRotation="90" wrapText="1"/>
    </xf>
    <xf numFmtId="3" fontId="18" fillId="0" borderId="198" xfId="34" applyNumberFormat="1" applyFont="1" applyBorder="1" applyAlignment="1">
      <alignment horizontal="center" vertical="center" wrapText="1"/>
    </xf>
    <xf numFmtId="3" fontId="18" fillId="0" borderId="254" xfId="34" applyNumberFormat="1" applyFont="1" applyBorder="1" applyAlignment="1">
      <alignment horizontal="center" vertical="center" wrapText="1"/>
    </xf>
    <xf numFmtId="3" fontId="18" fillId="0" borderId="206" xfId="34" applyNumberFormat="1" applyFont="1" applyBorder="1" applyAlignment="1">
      <alignment horizontal="center" vertical="center" wrapText="1"/>
    </xf>
    <xf numFmtId="3" fontId="11" fillId="0" borderId="246" xfId="34" applyNumberFormat="1" applyFont="1" applyBorder="1" applyAlignment="1">
      <alignment horizontal="center" vertical="center" wrapText="1"/>
    </xf>
    <xf numFmtId="3" fontId="11" fillId="0" borderId="236" xfId="34" applyNumberFormat="1" applyFont="1" applyBorder="1" applyAlignment="1">
      <alignment horizontal="center" vertical="center" wrapText="1"/>
    </xf>
    <xf numFmtId="3" fontId="11" fillId="0" borderId="247" xfId="34" applyNumberFormat="1" applyFont="1" applyBorder="1" applyAlignment="1">
      <alignment horizontal="center" vertical="center" wrapText="1"/>
    </xf>
    <xf numFmtId="3" fontId="13" fillId="0" borderId="4" xfId="28" applyNumberFormat="1" applyFont="1" applyBorder="1" applyAlignment="1">
      <alignment horizontal="center" vertical="center" wrapText="1"/>
    </xf>
    <xf numFmtId="3" fontId="13" fillId="0" borderId="0" xfId="28" applyNumberFormat="1" applyFont="1" applyAlignment="1">
      <alignment horizontal="center" vertical="center" wrapText="1"/>
    </xf>
    <xf numFmtId="3" fontId="13" fillId="0" borderId="225" xfId="28" applyNumberFormat="1" applyFont="1" applyBorder="1" applyAlignment="1">
      <alignment horizontal="center" vertical="center" wrapText="1"/>
    </xf>
    <xf numFmtId="3" fontId="11" fillId="0" borderId="184" xfId="27" applyNumberFormat="1" applyFont="1" applyBorder="1" applyAlignment="1">
      <alignment horizontal="center" vertical="center" textRotation="90"/>
    </xf>
    <xf numFmtId="3" fontId="11" fillId="0" borderId="185" xfId="27" applyNumberFormat="1" applyFont="1" applyBorder="1" applyAlignment="1">
      <alignment horizontal="center" vertical="center" textRotation="90"/>
    </xf>
    <xf numFmtId="3" fontId="11" fillId="0" borderId="48" xfId="27" applyNumberFormat="1" applyFont="1" applyBorder="1" applyAlignment="1">
      <alignment horizontal="center" vertical="center" textRotation="90"/>
    </xf>
    <xf numFmtId="0" fontId="11" fillId="0" borderId="0" xfId="34" applyFont="1" applyAlignment="1">
      <alignment horizontal="center"/>
    </xf>
    <xf numFmtId="3" fontId="11" fillId="0" borderId="189" xfId="27" applyNumberFormat="1" applyFont="1" applyBorder="1" applyAlignment="1">
      <alignment horizontal="center" vertical="center" textRotation="90"/>
    </xf>
    <xf numFmtId="3" fontId="11" fillId="0" borderId="190" xfId="27" applyNumberFormat="1" applyFont="1" applyBorder="1" applyAlignment="1">
      <alignment horizontal="center" vertical="center" textRotation="90"/>
    </xf>
    <xf numFmtId="3" fontId="11" fillId="0" borderId="191" xfId="27" applyNumberFormat="1" applyFont="1" applyBorder="1" applyAlignment="1">
      <alignment horizontal="center" vertical="center" textRotation="90"/>
    </xf>
    <xf numFmtId="3" fontId="11" fillId="0" borderId="184" xfId="34" applyNumberFormat="1" applyFont="1" applyBorder="1" applyAlignment="1">
      <alignment horizontal="center" vertical="center" wrapText="1"/>
    </xf>
    <xf numFmtId="3" fontId="11" fillId="0" borderId="185" xfId="34" applyNumberFormat="1" applyFont="1" applyBorder="1" applyAlignment="1">
      <alignment horizontal="center" vertical="center" wrapText="1"/>
    </xf>
    <xf numFmtId="3" fontId="11" fillId="0" borderId="48" xfId="34" applyNumberFormat="1" applyFont="1" applyBorder="1" applyAlignment="1">
      <alignment horizontal="center" vertical="center" wrapText="1"/>
    </xf>
    <xf numFmtId="0" fontId="13" fillId="0" borderId="0" xfId="35" applyFont="1" applyAlignment="1">
      <alignment horizontal="center"/>
    </xf>
    <xf numFmtId="0" fontId="11" fillId="0" borderId="160" xfId="34" applyFont="1" applyBorder="1" applyAlignment="1">
      <alignment horizontal="center" vertical="center"/>
    </xf>
    <xf numFmtId="0" fontId="11" fillId="0" borderId="192" xfId="34" applyFont="1" applyBorder="1" applyAlignment="1">
      <alignment horizontal="center" vertical="center"/>
    </xf>
    <xf numFmtId="0" fontId="11" fillId="0" borderId="150" xfId="34" applyFont="1" applyBorder="1" applyAlignment="1">
      <alignment horizontal="center" vertical="center"/>
    </xf>
    <xf numFmtId="3" fontId="11" fillId="0" borderId="69" xfId="34" applyNumberFormat="1" applyFont="1" applyBorder="1" applyAlignment="1">
      <alignment horizontal="center" vertical="center" wrapText="1"/>
    </xf>
    <xf numFmtId="3" fontId="11" fillId="0" borderId="73" xfId="34" applyNumberFormat="1" applyFont="1" applyBorder="1" applyAlignment="1">
      <alignment horizontal="center" vertical="center" wrapText="1"/>
    </xf>
    <xf numFmtId="3" fontId="11" fillId="0" borderId="183" xfId="34" applyNumberFormat="1" applyFont="1" applyBorder="1" applyAlignment="1">
      <alignment horizontal="center" vertical="center" wrapText="1"/>
    </xf>
    <xf numFmtId="3" fontId="11" fillId="0" borderId="68" xfId="34" applyNumberFormat="1" applyFont="1" applyBorder="1" applyAlignment="1">
      <alignment horizontal="center" vertical="center" wrapText="1"/>
    </xf>
    <xf numFmtId="3" fontId="11" fillId="0" borderId="198" xfId="34" applyNumberFormat="1" applyFont="1" applyBorder="1" applyAlignment="1">
      <alignment horizontal="center" vertical="center" wrapText="1"/>
    </xf>
    <xf numFmtId="3" fontId="11" fillId="0" borderId="186" xfId="34" applyNumberFormat="1" applyFont="1" applyBorder="1" applyAlignment="1">
      <alignment horizontal="center" vertical="center" wrapText="1"/>
    </xf>
    <xf numFmtId="3" fontId="11" fillId="0" borderId="187" xfId="34" applyNumberFormat="1" applyFont="1" applyBorder="1" applyAlignment="1">
      <alignment horizontal="center" vertical="center" wrapText="1"/>
    </xf>
    <xf numFmtId="3" fontId="11" fillId="0" borderId="188" xfId="34" applyNumberFormat="1" applyFont="1" applyBorder="1" applyAlignment="1">
      <alignment horizontal="center" vertical="center" wrapText="1"/>
    </xf>
    <xf numFmtId="3" fontId="11" fillId="0" borderId="199" xfId="34" applyNumberFormat="1" applyFont="1" applyBorder="1" applyAlignment="1">
      <alignment horizontal="center" vertical="center" wrapText="1"/>
    </xf>
    <xf numFmtId="3" fontId="11" fillId="0" borderId="200" xfId="34" applyNumberFormat="1" applyFont="1" applyBorder="1" applyAlignment="1">
      <alignment horizontal="center" vertical="center" wrapText="1"/>
    </xf>
    <xf numFmtId="3" fontId="11" fillId="0" borderId="201" xfId="34" applyNumberFormat="1" applyFont="1" applyBorder="1" applyAlignment="1">
      <alignment horizontal="center" vertical="center" wrapText="1"/>
    </xf>
    <xf numFmtId="3" fontId="13" fillId="0" borderId="101" xfId="34" applyNumberFormat="1" applyFont="1" applyBorder="1" applyAlignment="1">
      <alignment horizontal="center" vertical="center" wrapText="1"/>
    </xf>
    <xf numFmtId="3" fontId="13" fillId="0" borderId="194" xfId="34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4" fillId="0" borderId="0" xfId="32" applyFont="1" applyAlignment="1">
      <alignment horizontal="right"/>
    </xf>
    <xf numFmtId="0" fontId="13" fillId="0" borderId="0" xfId="30" applyFont="1" applyAlignment="1">
      <alignment horizontal="center" vertical="center"/>
    </xf>
    <xf numFmtId="3" fontId="18" fillId="0" borderId="16" xfId="57" applyNumberFormat="1" applyFont="1" applyFill="1" applyBorder="1" applyAlignment="1">
      <alignment horizontal="center" vertical="center"/>
    </xf>
    <xf numFmtId="0" fontId="18" fillId="0" borderId="6" xfId="31" applyFont="1" applyBorder="1" applyAlignment="1">
      <alignment horizontal="center"/>
    </xf>
    <xf numFmtId="0" fontId="18" fillId="0" borderId="202" xfId="30" applyFont="1" applyBorder="1" applyAlignment="1">
      <alignment horizontal="center" vertical="center" wrapText="1"/>
    </xf>
    <xf numFmtId="0" fontId="18" fillId="0" borderId="203" xfId="30" applyFont="1" applyBorder="1" applyAlignment="1">
      <alignment horizontal="center" vertical="center" wrapText="1"/>
    </xf>
    <xf numFmtId="3" fontId="18" fillId="0" borderId="43" xfId="57" applyNumberFormat="1" applyFont="1" applyFill="1" applyBorder="1" applyAlignment="1">
      <alignment horizontal="center" vertical="center"/>
    </xf>
    <xf numFmtId="3" fontId="18" fillId="0" borderId="21" xfId="57" applyNumberFormat="1" applyFont="1" applyFill="1" applyBorder="1" applyAlignment="1">
      <alignment horizontal="center" vertical="center"/>
    </xf>
    <xf numFmtId="0" fontId="18" fillId="0" borderId="18" xfId="32" applyFont="1" applyBorder="1" applyAlignment="1">
      <alignment horizontal="center" vertical="center"/>
    </xf>
    <xf numFmtId="0" fontId="18" fillId="0" borderId="63" xfId="32" applyFont="1" applyBorder="1" applyAlignment="1">
      <alignment horizontal="center" vertical="top"/>
    </xf>
    <xf numFmtId="0" fontId="18" fillId="0" borderId="23" xfId="32" applyFont="1" applyBorder="1" applyAlignment="1">
      <alignment horizontal="center" vertical="top"/>
    </xf>
    <xf numFmtId="0" fontId="18" fillId="0" borderId="43" xfId="32" applyFont="1" applyBorder="1" applyAlignment="1">
      <alignment horizontal="center" vertical="center" wrapText="1"/>
    </xf>
    <xf numFmtId="0" fontId="18" fillId="0" borderId="21" xfId="32" applyFont="1" applyBorder="1" applyAlignment="1">
      <alignment horizontal="center" vertical="center" wrapText="1"/>
    </xf>
    <xf numFmtId="14" fontId="18" fillId="2" borderId="43" xfId="32" applyNumberFormat="1" applyFont="1" applyFill="1" applyBorder="1" applyAlignment="1">
      <alignment horizontal="center" vertical="center"/>
    </xf>
    <xf numFmtId="14" fontId="18" fillId="2" borderId="21" xfId="32" applyNumberFormat="1" applyFont="1" applyFill="1" applyBorder="1" applyAlignment="1">
      <alignment horizontal="center" vertical="center"/>
    </xf>
    <xf numFmtId="14" fontId="18" fillId="0" borderId="43" xfId="32" applyNumberFormat="1" applyFont="1" applyBorder="1" applyAlignment="1">
      <alignment horizontal="center" vertical="center"/>
    </xf>
    <xf numFmtId="14" fontId="18" fillId="0" borderId="21" xfId="32" applyNumberFormat="1" applyFont="1" applyBorder="1" applyAlignment="1">
      <alignment horizontal="center" vertical="center"/>
    </xf>
    <xf numFmtId="3" fontId="11" fillId="0" borderId="0" xfId="29" applyNumberFormat="1" applyFont="1" applyAlignment="1">
      <alignment horizontal="left" wrapText="1"/>
    </xf>
    <xf numFmtId="3" fontId="11" fillId="0" borderId="28" xfId="29" applyNumberFormat="1" applyFont="1" applyBorder="1" applyAlignment="1">
      <alignment horizontal="center" vertical="center" wrapText="1"/>
    </xf>
    <xf numFmtId="3" fontId="11" fillId="0" borderId="205" xfId="29" applyNumberFormat="1" applyFont="1" applyBorder="1" applyAlignment="1">
      <alignment horizontal="center" vertical="center" wrapText="1"/>
    </xf>
    <xf numFmtId="3" fontId="11" fillId="0" borderId="48" xfId="29" applyNumberFormat="1" applyFont="1" applyBorder="1" applyAlignment="1">
      <alignment horizontal="center" vertical="center" wrapText="1"/>
    </xf>
    <xf numFmtId="0" fontId="11" fillId="0" borderId="8" xfId="29" applyFont="1" applyBorder="1" applyAlignment="1">
      <alignment horizontal="center" vertical="center" wrapText="1"/>
    </xf>
    <xf numFmtId="0" fontId="11" fillId="0" borderId="204" xfId="29" applyFont="1" applyBorder="1" applyAlignment="1">
      <alignment horizontal="center" vertical="center" wrapText="1"/>
    </xf>
    <xf numFmtId="3" fontId="11" fillId="0" borderId="206" xfId="29" applyNumberFormat="1" applyFont="1" applyBorder="1" applyAlignment="1">
      <alignment horizontal="center" vertical="center" wrapText="1"/>
    </xf>
    <xf numFmtId="3" fontId="13" fillId="0" borderId="11" xfId="29" applyNumberFormat="1" applyFont="1" applyBorder="1" applyAlignment="1">
      <alignment horizontal="center" vertical="center"/>
    </xf>
    <xf numFmtId="3" fontId="11" fillId="0" borderId="55" xfId="29" applyNumberFormat="1" applyFont="1" applyBorder="1" applyAlignment="1">
      <alignment horizontal="center" vertical="center" textRotation="90" wrapText="1"/>
    </xf>
    <xf numFmtId="3" fontId="11" fillId="0" borderId="38" xfId="29" applyNumberFormat="1" applyFont="1" applyBorder="1" applyAlignment="1">
      <alignment horizontal="center" vertical="center" textRotation="90" wrapText="1"/>
    </xf>
    <xf numFmtId="3" fontId="11" fillId="0" borderId="218" xfId="29" applyNumberFormat="1" applyFont="1" applyBorder="1" applyAlignment="1">
      <alignment horizontal="center" vertical="center" wrapText="1"/>
    </xf>
    <xf numFmtId="14" fontId="11" fillId="0" borderId="56" xfId="29" applyNumberFormat="1" applyFont="1" applyBorder="1" applyAlignment="1">
      <alignment horizontal="center" vertical="center" wrapText="1"/>
    </xf>
    <xf numFmtId="3" fontId="11" fillId="0" borderId="219" xfId="29" applyNumberFormat="1" applyFont="1" applyBorder="1" applyAlignment="1">
      <alignment horizontal="center" vertical="center" wrapText="1"/>
    </xf>
    <xf numFmtId="3" fontId="11" fillId="0" borderId="216" xfId="29" applyNumberFormat="1" applyFont="1" applyBorder="1" applyAlignment="1">
      <alignment horizontal="center" vertical="center" wrapText="1"/>
    </xf>
    <xf numFmtId="3" fontId="11" fillId="0" borderId="94" xfId="29" applyNumberFormat="1" applyFont="1" applyBorder="1" applyAlignment="1">
      <alignment horizontal="center" vertical="center" wrapText="1"/>
    </xf>
    <xf numFmtId="3" fontId="11" fillId="0" borderId="165" xfId="29" applyNumberFormat="1" applyFont="1" applyBorder="1" applyAlignment="1">
      <alignment horizontal="center" vertical="center" wrapText="1"/>
    </xf>
    <xf numFmtId="3" fontId="11" fillId="0" borderId="86" xfId="29" applyNumberFormat="1" applyFont="1" applyBorder="1" applyAlignment="1">
      <alignment horizontal="center" vertical="center" wrapText="1"/>
    </xf>
    <xf numFmtId="3" fontId="11" fillId="0" borderId="9" xfId="29" applyNumberFormat="1" applyFont="1" applyBorder="1" applyAlignment="1">
      <alignment horizontal="center" vertical="center" wrapText="1"/>
    </xf>
    <xf numFmtId="3" fontId="11" fillId="0" borderId="237" xfId="29" applyNumberFormat="1" applyFont="1" applyBorder="1" applyAlignment="1">
      <alignment horizontal="center" vertical="center" wrapText="1"/>
    </xf>
    <xf numFmtId="3" fontId="13" fillId="0" borderId="0" xfId="29" applyNumberFormat="1" applyFont="1" applyAlignment="1">
      <alignment horizontal="center"/>
    </xf>
    <xf numFmtId="3" fontId="20" fillId="0" borderId="0" xfId="29" applyNumberFormat="1" applyFont="1" applyAlignment="1">
      <alignment horizontal="right"/>
    </xf>
    <xf numFmtId="0" fontId="18" fillId="0" borderId="0" xfId="0" applyFont="1" applyAlignment="1">
      <alignment horizontal="left" vertical="center"/>
    </xf>
    <xf numFmtId="0" fontId="13" fillId="0" borderId="96" xfId="0" applyFont="1" applyBorder="1" applyAlignment="1">
      <alignment horizontal="center"/>
    </xf>
    <xf numFmtId="0" fontId="13" fillId="0" borderId="94" xfId="0" applyFont="1" applyBorder="1" applyAlignment="1">
      <alignment horizontal="center"/>
    </xf>
    <xf numFmtId="0" fontId="13" fillId="0" borderId="97" xfId="0" applyFont="1" applyBorder="1" applyAlignment="1">
      <alignment horizontal="center"/>
    </xf>
  </cellXfs>
  <cellStyles count="58">
    <cellStyle name="Ezres 2" xfId="1"/>
    <cellStyle name="Ezres 3" xfId="2"/>
    <cellStyle name="Ezres 4" xfId="3"/>
    <cellStyle name="Ezres 4 2" xfId="4"/>
    <cellStyle name="Ezres 4 3" xfId="5"/>
    <cellStyle name="Ezres 4 4" xfId="47"/>
    <cellStyle name="Ezres 4 4 2" xfId="55"/>
    <cellStyle name="Ezres 4 4 3" xfId="56"/>
    <cellStyle name="Ezres 4 4 3 2" xfId="57"/>
    <cellStyle name="Ezres 5" xfId="6"/>
    <cellStyle name="Normál" xfId="0" builtinId="0"/>
    <cellStyle name="Normál 10" xfId="7"/>
    <cellStyle name="Normál 10 2" xfId="40"/>
    <cellStyle name="Normál 10 3" xfId="52"/>
    <cellStyle name="Normál 11" xfId="41"/>
    <cellStyle name="Normál 11 2" xfId="42"/>
    <cellStyle name="Normál 12" xfId="43"/>
    <cellStyle name="Normál 13" xfId="48"/>
    <cellStyle name="Normál 14" xfId="51"/>
    <cellStyle name="Normál 14 2" xfId="54"/>
    <cellStyle name="Normál 15" xfId="53"/>
    <cellStyle name="Normál 2" xfId="8"/>
    <cellStyle name="Normál 3" xfId="9"/>
    <cellStyle name="Normál 4" xfId="10"/>
    <cellStyle name="Normál 5" xfId="11"/>
    <cellStyle name="Normál 6" xfId="12"/>
    <cellStyle name="Normál 6 2" xfId="13"/>
    <cellStyle name="Normál 6 3" xfId="14"/>
    <cellStyle name="Normál 6 3 2" xfId="15"/>
    <cellStyle name="Normál 6 3 2 2" xfId="16"/>
    <cellStyle name="Normál 6 3 2 3" xfId="17"/>
    <cellStyle name="Normál 6 3 2 3 2" xfId="44"/>
    <cellStyle name="Normál 6 3 2 3 3" xfId="50"/>
    <cellStyle name="Normál 6 3 2 4" xfId="45"/>
    <cellStyle name="Normál 6 3 2 5" xfId="46"/>
    <cellStyle name="Normál 7" xfId="18"/>
    <cellStyle name="Normál 8" xfId="19"/>
    <cellStyle name="Normál 8 2" xfId="20"/>
    <cellStyle name="Normál 8 2 2" xfId="21"/>
    <cellStyle name="Normál 8 2 3" xfId="22"/>
    <cellStyle name="Normál 8 3" xfId="49"/>
    <cellStyle name="Normál 9" xfId="23"/>
    <cellStyle name="Normál 9 2" xfId="24"/>
    <cellStyle name="Normál 9 3" xfId="25"/>
    <cellStyle name="Normál_2007.évi konc. összefoglaló bevétel" xfId="26"/>
    <cellStyle name="Normál_2007.évi konc. összefoglaló bevétel 2" xfId="27"/>
    <cellStyle name="Normál_Beruházási tábla 2007" xfId="28"/>
    <cellStyle name="Normál_EU-s tábla kv-hez_EU projektek tábla" xfId="29"/>
    <cellStyle name="Normál_Hitel tábla 2012 terv" xfId="30"/>
    <cellStyle name="Normál_Hitel tábla 2012 terv (2)" xfId="31"/>
    <cellStyle name="Normál_hiteltörl költségvetés 2014" xfId="32"/>
    <cellStyle name="Normál_Intézményi bevétel-kiadás" xfId="33"/>
    <cellStyle name="Normál_Városfejlesztési Iroda - 2008. kv. tervezés" xfId="34"/>
    <cellStyle name="Normál_Városfejlesztési Iroda - 2008. kv. tervezés_2014.évi eredeti előirányzat 2" xfId="35"/>
    <cellStyle name="Százalék" xfId="36" builtinId="5"/>
    <cellStyle name="Százalék 2" xfId="37"/>
    <cellStyle name="Százalék 3" xfId="38"/>
    <cellStyle name="Százalék 3 2" xfId="39"/>
  </cellStyles>
  <dxfs count="0"/>
  <tableStyles count="0" defaultTableStyle="TableStyleMedium2" defaultPivotStyle="PivotStyleLight16"/>
  <colors>
    <mruColors>
      <color rgb="FF800000"/>
      <color rgb="FF0808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view="pageBreakPreview" zoomScaleNormal="100" zoomScaleSheetLayoutView="100" workbookViewId="0">
      <selection activeCell="B1" sqref="B1:E1"/>
    </sheetView>
  </sheetViews>
  <sheetFormatPr defaultColWidth="9.28515625" defaultRowHeight="16.5" x14ac:dyDescent="0.3"/>
  <cols>
    <col min="1" max="1" width="3.7109375" style="60" customWidth="1"/>
    <col min="2" max="4" width="5.7109375" style="70" customWidth="1"/>
    <col min="5" max="5" width="59.7109375" style="20" customWidth="1"/>
    <col min="6" max="8" width="13.7109375" style="2" customWidth="1"/>
    <col min="9" max="9" width="15.7109375" style="110" customWidth="1"/>
    <col min="10" max="16384" width="9.28515625" style="20"/>
  </cols>
  <sheetData>
    <row r="1" spans="1:9" x14ac:dyDescent="0.3">
      <c r="B1" s="1304" t="s">
        <v>763</v>
      </c>
      <c r="C1" s="1304"/>
      <c r="D1" s="1304"/>
      <c r="E1" s="1304"/>
      <c r="F1" s="20"/>
      <c r="G1" s="20"/>
      <c r="H1" s="20"/>
      <c r="I1" s="109"/>
    </row>
    <row r="2" spans="1:9" x14ac:dyDescent="0.3">
      <c r="B2" s="657"/>
      <c r="C2" s="657"/>
      <c r="D2" s="657"/>
      <c r="E2" s="657"/>
      <c r="F2" s="20"/>
      <c r="G2" s="20"/>
      <c r="H2" s="20"/>
      <c r="I2" s="109"/>
    </row>
    <row r="3" spans="1:9" s="1" customFormat="1" ht="25.15" customHeight="1" x14ac:dyDescent="0.3">
      <c r="A3" s="60"/>
      <c r="B3" s="1305" t="s">
        <v>128</v>
      </c>
      <c r="C3" s="1305"/>
      <c r="D3" s="1305"/>
      <c r="E3" s="1305"/>
      <c r="F3" s="1305"/>
      <c r="G3" s="1305"/>
      <c r="H3" s="1305"/>
      <c r="I3" s="1305"/>
    </row>
    <row r="4" spans="1:9" s="1" customFormat="1" ht="25.15" customHeight="1" x14ac:dyDescent="0.3">
      <c r="A4" s="60"/>
      <c r="B4" s="1305" t="s">
        <v>706</v>
      </c>
      <c r="C4" s="1305"/>
      <c r="D4" s="1305"/>
      <c r="E4" s="1305"/>
      <c r="F4" s="1305"/>
      <c r="G4" s="1305"/>
      <c r="H4" s="1305"/>
      <c r="I4" s="1305"/>
    </row>
    <row r="5" spans="1:9" s="241" customFormat="1" ht="15" x14ac:dyDescent="0.3">
      <c r="A5" s="60"/>
      <c r="B5" s="240"/>
      <c r="C5" s="240"/>
      <c r="D5" s="240"/>
      <c r="E5" s="240"/>
      <c r="F5" s="165"/>
      <c r="G5" s="165"/>
      <c r="H5" s="101"/>
      <c r="I5" s="102" t="s">
        <v>0</v>
      </c>
    </row>
    <row r="6" spans="1:9" s="244" customFormat="1" ht="17.25" customHeight="1" thickBot="1" x14ac:dyDescent="0.35">
      <c r="A6" s="60"/>
      <c r="B6" s="242" t="s">
        <v>1</v>
      </c>
      <c r="C6" s="242" t="s">
        <v>3</v>
      </c>
      <c r="D6" s="242" t="s">
        <v>2</v>
      </c>
      <c r="E6" s="242" t="s">
        <v>4</v>
      </c>
      <c r="F6" s="243" t="s">
        <v>5</v>
      </c>
      <c r="G6" s="243" t="s">
        <v>15</v>
      </c>
      <c r="H6" s="243" t="s">
        <v>16</v>
      </c>
      <c r="I6" s="243" t="s">
        <v>17</v>
      </c>
    </row>
    <row r="7" spans="1:9" s="24" customFormat="1" ht="80.099999999999994" customHeight="1" thickBot="1" x14ac:dyDescent="0.35">
      <c r="A7" s="247"/>
      <c r="B7" s="142" t="s">
        <v>18</v>
      </c>
      <c r="C7" s="141" t="s">
        <v>314</v>
      </c>
      <c r="D7" s="141" t="s">
        <v>315</v>
      </c>
      <c r="E7" s="143" t="s">
        <v>6</v>
      </c>
      <c r="F7" s="1143" t="s">
        <v>709</v>
      </c>
      <c r="G7" s="1144" t="s">
        <v>532</v>
      </c>
      <c r="H7" s="1156" t="s">
        <v>619</v>
      </c>
      <c r="I7" s="111" t="s">
        <v>581</v>
      </c>
    </row>
    <row r="8" spans="1:9" s="77" customFormat="1" ht="36" customHeight="1" x14ac:dyDescent="0.35">
      <c r="A8" s="247">
        <v>1</v>
      </c>
      <c r="B8" s="127"/>
      <c r="C8" s="75">
        <v>1</v>
      </c>
      <c r="D8" s="75"/>
      <c r="E8" s="76" t="s">
        <v>103</v>
      </c>
      <c r="F8" s="1145">
        <f>SUM(F9,F21,F33,F39,F40,F20,F38)</f>
        <v>28369256</v>
      </c>
      <c r="G8" s="1145">
        <f>SUM(G9,G21,G33,G39,G40,G20,G38)</f>
        <v>25716683</v>
      </c>
      <c r="H8" s="1145">
        <f>SUM(H9,H21,H33,H39,H40,H20,H38)</f>
        <v>28435077</v>
      </c>
      <c r="I8" s="144">
        <f>SUM(I9,I21,I33,I39,I40,I20,I38)</f>
        <v>28724158</v>
      </c>
    </row>
    <row r="9" spans="1:9" s="77" customFormat="1" ht="36" customHeight="1" x14ac:dyDescent="0.35">
      <c r="A9" s="247">
        <v>2</v>
      </c>
      <c r="B9" s="128">
        <v>18</v>
      </c>
      <c r="C9" s="79"/>
      <c r="D9" s="79">
        <v>1</v>
      </c>
      <c r="E9" s="78" t="s">
        <v>129</v>
      </c>
      <c r="F9" s="1146">
        <f>SUM(F10,F18:F18)</f>
        <v>8806897</v>
      </c>
      <c r="G9" s="1146">
        <f>SUM(G10,G18:G18)</f>
        <v>8132955</v>
      </c>
      <c r="H9" s="1146">
        <f>SUM(H10,H18:H18)</f>
        <v>9635774</v>
      </c>
      <c r="I9" s="112">
        <f>SUM(I10,I18:I18)</f>
        <v>10889682</v>
      </c>
    </row>
    <row r="10" spans="1:9" s="71" customFormat="1" ht="17.25" x14ac:dyDescent="0.35">
      <c r="A10" s="247">
        <v>3</v>
      </c>
      <c r="B10" s="55"/>
      <c r="C10" s="70"/>
      <c r="D10" s="70"/>
      <c r="E10" s="80" t="s">
        <v>130</v>
      </c>
      <c r="F10" s="1147">
        <f>SUM(F11:F17)</f>
        <v>7246465</v>
      </c>
      <c r="G10" s="1147">
        <f>SUM(G11:G17)</f>
        <v>7246648</v>
      </c>
      <c r="H10" s="1147">
        <f>SUM(H11:H17)</f>
        <v>7721066</v>
      </c>
      <c r="I10" s="113">
        <f>SUM(I11:I17)</f>
        <v>8435538</v>
      </c>
    </row>
    <row r="11" spans="1:9" ht="17.100000000000001" customHeight="1" x14ac:dyDescent="0.3">
      <c r="A11" s="247">
        <v>4</v>
      </c>
      <c r="B11" s="56"/>
      <c r="C11" s="81"/>
      <c r="D11" s="81"/>
      <c r="E11" s="23" t="s">
        <v>365</v>
      </c>
      <c r="F11" s="2">
        <v>1358062</v>
      </c>
      <c r="G11" s="2">
        <v>1355095</v>
      </c>
      <c r="H11" s="2">
        <v>1395350</v>
      </c>
      <c r="I11" s="114">
        <v>1508077</v>
      </c>
    </row>
    <row r="12" spans="1:9" ht="32.25" customHeight="1" x14ac:dyDescent="0.3">
      <c r="A12" s="247">
        <v>5</v>
      </c>
      <c r="B12" s="56"/>
      <c r="C12" s="81"/>
      <c r="D12" s="81"/>
      <c r="E12" s="23" t="s">
        <v>366</v>
      </c>
      <c r="F12" s="170">
        <v>2022367</v>
      </c>
      <c r="G12" s="170">
        <v>2233104</v>
      </c>
      <c r="H12" s="170">
        <v>2241148</v>
      </c>
      <c r="I12" s="613">
        <v>2430535</v>
      </c>
    </row>
    <row r="13" spans="1:9" ht="33.75" customHeight="1" x14ac:dyDescent="0.3">
      <c r="A13" s="247">
        <v>6</v>
      </c>
      <c r="B13" s="56"/>
      <c r="C13" s="81"/>
      <c r="D13" s="81"/>
      <c r="E13" s="23" t="s">
        <v>367</v>
      </c>
      <c r="F13" s="170">
        <v>2139405</v>
      </c>
      <c r="G13" s="170">
        <v>1959680</v>
      </c>
      <c r="H13" s="170">
        <v>2206866</v>
      </c>
      <c r="I13" s="613">
        <f>3357291-1097339</f>
        <v>2259952</v>
      </c>
    </row>
    <row r="14" spans="1:9" ht="32.25" customHeight="1" x14ac:dyDescent="0.3">
      <c r="A14" s="247">
        <v>7</v>
      </c>
      <c r="B14" s="56"/>
      <c r="C14" s="81"/>
      <c r="D14" s="81"/>
      <c r="E14" s="23" t="s">
        <v>370</v>
      </c>
      <c r="F14" s="2">
        <v>875057</v>
      </c>
      <c r="G14" s="2">
        <v>888473</v>
      </c>
      <c r="H14" s="2">
        <v>1048976</v>
      </c>
      <c r="I14" s="114">
        <v>1097339</v>
      </c>
    </row>
    <row r="15" spans="1:9" ht="17.100000000000001" customHeight="1" x14ac:dyDescent="0.3">
      <c r="A15" s="247">
        <v>8</v>
      </c>
      <c r="B15" s="56"/>
      <c r="C15" s="81"/>
      <c r="D15" s="81"/>
      <c r="E15" s="23" t="s">
        <v>368</v>
      </c>
      <c r="F15" s="2">
        <v>814784</v>
      </c>
      <c r="G15" s="2">
        <v>808436</v>
      </c>
      <c r="H15" s="2">
        <v>810681</v>
      </c>
      <c r="I15" s="114">
        <v>1138395</v>
      </c>
    </row>
    <row r="16" spans="1:9" ht="36" customHeight="1" x14ac:dyDescent="0.3">
      <c r="A16" s="247">
        <v>9</v>
      </c>
      <c r="B16" s="56"/>
      <c r="C16" s="81"/>
      <c r="D16" s="81"/>
      <c r="E16" s="23" t="s">
        <v>131</v>
      </c>
      <c r="F16" s="170">
        <v>36790</v>
      </c>
      <c r="G16" s="170">
        <v>1860</v>
      </c>
      <c r="H16" s="170">
        <v>18045</v>
      </c>
      <c r="I16" s="613">
        <v>1240</v>
      </c>
    </row>
    <row r="17" spans="1:10" x14ac:dyDescent="0.3">
      <c r="A17" s="247">
        <v>10</v>
      </c>
      <c r="B17" s="55"/>
      <c r="C17" s="81"/>
      <c r="D17" s="81"/>
      <c r="E17" s="23" t="s">
        <v>369</v>
      </c>
      <c r="I17" s="114"/>
    </row>
    <row r="18" spans="1:10" s="71" customFormat="1" ht="17.25" x14ac:dyDescent="0.35">
      <c r="A18" s="247">
        <v>11</v>
      </c>
      <c r="B18" s="55"/>
      <c r="C18" s="81"/>
      <c r="D18" s="81"/>
      <c r="E18" s="22" t="s">
        <v>132</v>
      </c>
      <c r="F18" s="1147">
        <v>1560432</v>
      </c>
      <c r="G18" s="1147">
        <v>886307</v>
      </c>
      <c r="H18" s="1147">
        <v>1914708</v>
      </c>
      <c r="I18" s="113">
        <v>2454144</v>
      </c>
    </row>
    <row r="19" spans="1:10" ht="16.5" customHeight="1" x14ac:dyDescent="0.3">
      <c r="A19" s="247">
        <v>12</v>
      </c>
      <c r="B19" s="55"/>
      <c r="C19" s="81"/>
      <c r="D19" s="81"/>
      <c r="E19" s="23" t="s">
        <v>133</v>
      </c>
      <c r="F19" s="2">
        <v>357474</v>
      </c>
      <c r="G19" s="2">
        <v>350400</v>
      </c>
      <c r="H19" s="2">
        <v>411051</v>
      </c>
      <c r="I19" s="114">
        <v>411051</v>
      </c>
    </row>
    <row r="20" spans="1:10" ht="36" customHeight="1" x14ac:dyDescent="0.35">
      <c r="A20" s="247">
        <v>13</v>
      </c>
      <c r="B20" s="129" t="s">
        <v>293</v>
      </c>
      <c r="C20" s="81"/>
      <c r="D20" s="125">
        <v>1</v>
      </c>
      <c r="E20" s="78" t="s">
        <v>564</v>
      </c>
      <c r="F20" s="1147">
        <v>203738</v>
      </c>
      <c r="G20" s="1147">
        <v>15514</v>
      </c>
      <c r="H20" s="1147">
        <v>122214</v>
      </c>
      <c r="I20" s="113">
        <v>42958</v>
      </c>
      <c r="J20" s="145"/>
    </row>
    <row r="21" spans="1:10" s="71" customFormat="1" ht="36" customHeight="1" x14ac:dyDescent="0.35">
      <c r="A21" s="247">
        <v>14</v>
      </c>
      <c r="B21" s="55">
        <v>18</v>
      </c>
      <c r="C21" s="70"/>
      <c r="D21" s="70">
        <v>2</v>
      </c>
      <c r="E21" s="71" t="s">
        <v>134</v>
      </c>
      <c r="F21" s="1147">
        <f>SUM(F22,F29:F32)</f>
        <v>14500214</v>
      </c>
      <c r="G21" s="1147">
        <f>SUM(G22,G29:G32)</f>
        <v>14930300</v>
      </c>
      <c r="H21" s="1147">
        <f>SUM(H22,H29:H32)</f>
        <v>15755244</v>
      </c>
      <c r="I21" s="113">
        <f>SUM(I22,I29:I32)</f>
        <v>15143500</v>
      </c>
    </row>
    <row r="22" spans="1:10" s="71" customFormat="1" ht="17.25" x14ac:dyDescent="0.35">
      <c r="A22" s="247">
        <v>15</v>
      </c>
      <c r="B22" s="55"/>
      <c r="C22" s="70"/>
      <c r="D22" s="70"/>
      <c r="E22" s="666" t="s">
        <v>135</v>
      </c>
      <c r="F22" s="1148">
        <f>SUM(F23:F28)</f>
        <v>14484948</v>
      </c>
      <c r="G22" s="1148">
        <f>SUM(G23:G28)</f>
        <v>14925000</v>
      </c>
      <c r="H22" s="1148">
        <f>SUM(H23:H28)</f>
        <v>15741744</v>
      </c>
      <c r="I22" s="667">
        <f>SUM(I23:I28)</f>
        <v>15136000</v>
      </c>
    </row>
    <row r="23" spans="1:10" ht="16.5" customHeight="1" x14ac:dyDescent="0.3">
      <c r="A23" s="247">
        <v>16</v>
      </c>
      <c r="B23" s="55"/>
      <c r="E23" s="23" t="s">
        <v>99</v>
      </c>
      <c r="F23" s="2">
        <v>1321811</v>
      </c>
      <c r="G23" s="2">
        <v>1700000</v>
      </c>
      <c r="H23" s="2">
        <v>1700000</v>
      </c>
      <c r="I23" s="114">
        <v>1800000</v>
      </c>
    </row>
    <row r="24" spans="1:10" x14ac:dyDescent="0.3">
      <c r="A24" s="247">
        <v>17</v>
      </c>
      <c r="B24" s="55"/>
      <c r="E24" s="23" t="s">
        <v>102</v>
      </c>
      <c r="F24" s="2">
        <v>49027</v>
      </c>
      <c r="G24" s="2">
        <v>45000</v>
      </c>
      <c r="H24" s="2">
        <v>45000</v>
      </c>
      <c r="I24" s="114">
        <v>45000</v>
      </c>
    </row>
    <row r="25" spans="1:10" x14ac:dyDescent="0.3">
      <c r="A25" s="247">
        <v>18</v>
      </c>
      <c r="B25" s="55"/>
      <c r="E25" s="23" t="s">
        <v>101</v>
      </c>
      <c r="F25" s="2">
        <v>151635</v>
      </c>
      <c r="G25" s="2">
        <v>145000</v>
      </c>
      <c r="H25" s="2">
        <v>145000</v>
      </c>
      <c r="I25" s="114">
        <v>146000</v>
      </c>
    </row>
    <row r="26" spans="1:10" x14ac:dyDescent="0.3">
      <c r="A26" s="247">
        <v>19</v>
      </c>
      <c r="B26" s="55"/>
      <c r="E26" s="23" t="s">
        <v>100</v>
      </c>
      <c r="F26" s="2">
        <v>137993</v>
      </c>
      <c r="G26" s="2">
        <v>115000</v>
      </c>
      <c r="H26" s="2">
        <v>115000</v>
      </c>
      <c r="I26" s="114">
        <v>120000</v>
      </c>
    </row>
    <row r="27" spans="1:10" x14ac:dyDescent="0.3">
      <c r="A27" s="247">
        <v>20</v>
      </c>
      <c r="B27" s="55"/>
      <c r="E27" s="23" t="s">
        <v>98</v>
      </c>
      <c r="F27" s="2">
        <v>12787629</v>
      </c>
      <c r="G27" s="2">
        <v>12900000</v>
      </c>
      <c r="H27" s="2">
        <v>13716744</v>
      </c>
      <c r="I27" s="114">
        <v>13000000</v>
      </c>
    </row>
    <row r="28" spans="1:10" x14ac:dyDescent="0.3">
      <c r="A28" s="247">
        <v>21</v>
      </c>
      <c r="B28" s="55"/>
      <c r="E28" s="23" t="s">
        <v>136</v>
      </c>
      <c r="F28" s="2">
        <v>36853</v>
      </c>
      <c r="G28" s="2">
        <v>20000</v>
      </c>
      <c r="H28" s="2">
        <v>20000</v>
      </c>
      <c r="I28" s="114">
        <v>25000</v>
      </c>
    </row>
    <row r="29" spans="1:10" s="71" customFormat="1" ht="33.75" x14ac:dyDescent="0.35">
      <c r="A29" s="247">
        <v>22</v>
      </c>
      <c r="B29" s="55"/>
      <c r="C29" s="70"/>
      <c r="D29" s="70"/>
      <c r="E29" s="666" t="s">
        <v>137</v>
      </c>
      <c r="F29" s="1148">
        <v>7121</v>
      </c>
      <c r="G29" s="1148">
        <v>5300</v>
      </c>
      <c r="H29" s="1148">
        <v>5300</v>
      </c>
      <c r="I29" s="667">
        <v>7500</v>
      </c>
    </row>
    <row r="30" spans="1:10" s="71" customFormat="1" ht="17.25" x14ac:dyDescent="0.35">
      <c r="A30" s="247">
        <v>23</v>
      </c>
      <c r="B30" s="55"/>
      <c r="C30" s="70"/>
      <c r="D30" s="70"/>
      <c r="E30" s="666" t="s">
        <v>416</v>
      </c>
      <c r="F30" s="1148">
        <v>6619</v>
      </c>
      <c r="G30" s="1148"/>
      <c r="H30" s="1148">
        <v>6500</v>
      </c>
      <c r="I30" s="667"/>
    </row>
    <row r="31" spans="1:10" s="71" customFormat="1" ht="17.25" x14ac:dyDescent="0.35">
      <c r="A31" s="247">
        <v>24</v>
      </c>
      <c r="B31" s="55"/>
      <c r="C31" s="70"/>
      <c r="D31" s="70"/>
      <c r="E31" s="666" t="s">
        <v>417</v>
      </c>
      <c r="F31" s="1148">
        <v>650</v>
      </c>
      <c r="G31" s="1148"/>
      <c r="H31" s="1148">
        <v>1700</v>
      </c>
      <c r="I31" s="667"/>
    </row>
    <row r="32" spans="1:10" s="71" customFormat="1" ht="17.25" x14ac:dyDescent="0.35">
      <c r="A32" s="247">
        <v>25</v>
      </c>
      <c r="B32" s="55"/>
      <c r="C32" s="70"/>
      <c r="D32" s="70"/>
      <c r="E32" s="666" t="s">
        <v>418</v>
      </c>
      <c r="F32" s="1148">
        <v>876</v>
      </c>
      <c r="G32" s="1148"/>
      <c r="H32" s="1148"/>
      <c r="I32" s="667"/>
    </row>
    <row r="33" spans="1:10" s="71" customFormat="1" ht="36" customHeight="1" x14ac:dyDescent="0.35">
      <c r="A33" s="247">
        <v>26</v>
      </c>
      <c r="B33" s="55">
        <v>18</v>
      </c>
      <c r="C33" s="70"/>
      <c r="D33" s="70">
        <v>3</v>
      </c>
      <c r="E33" s="71" t="s">
        <v>106</v>
      </c>
      <c r="F33" s="1147">
        <f>SUM(F34:F37)</f>
        <v>2644521</v>
      </c>
      <c r="G33" s="1147">
        <f>SUM(G34:G37)</f>
        <v>1328207</v>
      </c>
      <c r="H33" s="1147">
        <f>SUM(H34:H37)</f>
        <v>1410056</v>
      </c>
      <c r="I33" s="113">
        <f>SUM(I34:I37)</f>
        <v>1334923</v>
      </c>
    </row>
    <row r="34" spans="1:10" ht="16.5" customHeight="1" x14ac:dyDescent="0.3">
      <c r="A34" s="247">
        <v>27</v>
      </c>
      <c r="B34" s="55"/>
      <c r="E34" s="23" t="s">
        <v>227</v>
      </c>
      <c r="F34" s="2">
        <v>649353</v>
      </c>
      <c r="G34" s="2">
        <v>615228</v>
      </c>
      <c r="H34" s="2">
        <v>619165</v>
      </c>
      <c r="I34" s="114">
        <v>674548</v>
      </c>
    </row>
    <row r="35" spans="1:10" ht="16.5" customHeight="1" x14ac:dyDescent="0.3">
      <c r="A35" s="247">
        <v>28</v>
      </c>
      <c r="B35" s="55"/>
      <c r="E35" s="23" t="s">
        <v>498</v>
      </c>
      <c r="F35" s="2">
        <v>210820</v>
      </c>
      <c r="G35" s="2">
        <v>368222</v>
      </c>
      <c r="H35" s="2">
        <v>386492</v>
      </c>
      <c r="I35" s="114">
        <v>224969</v>
      </c>
    </row>
    <row r="36" spans="1:10" ht="16.5" customHeight="1" x14ac:dyDescent="0.3">
      <c r="A36" s="247">
        <v>29</v>
      </c>
      <c r="B36" s="55"/>
      <c r="E36" s="23" t="s">
        <v>228</v>
      </c>
      <c r="F36" s="2">
        <v>691017</v>
      </c>
      <c r="G36" s="2">
        <v>342395</v>
      </c>
      <c r="H36" s="2">
        <v>400002</v>
      </c>
      <c r="I36" s="114">
        <v>397911</v>
      </c>
      <c r="J36" s="70"/>
    </row>
    <row r="37" spans="1:10" ht="16.5" customHeight="1" x14ac:dyDescent="0.3">
      <c r="A37" s="247">
        <v>30</v>
      </c>
      <c r="B37" s="55"/>
      <c r="E37" s="23" t="s">
        <v>483</v>
      </c>
      <c r="F37" s="2">
        <v>1093331</v>
      </c>
      <c r="G37" s="2">
        <v>2362</v>
      </c>
      <c r="H37" s="2">
        <v>4397</v>
      </c>
      <c r="I37" s="114">
        <f>23001+14494</f>
        <v>37495</v>
      </c>
      <c r="J37" s="70"/>
    </row>
    <row r="38" spans="1:10" s="71" customFormat="1" ht="36" customHeight="1" x14ac:dyDescent="0.35">
      <c r="A38" s="247">
        <v>31</v>
      </c>
      <c r="B38" s="130" t="s">
        <v>293</v>
      </c>
      <c r="C38" s="70"/>
      <c r="D38" s="70">
        <v>3</v>
      </c>
      <c r="E38" s="71" t="s">
        <v>138</v>
      </c>
      <c r="F38" s="1147">
        <v>1577079</v>
      </c>
      <c r="G38" s="1147">
        <v>1240860</v>
      </c>
      <c r="H38" s="1147">
        <v>1417635</v>
      </c>
      <c r="I38" s="113">
        <v>1301009</v>
      </c>
      <c r="J38" s="146"/>
    </row>
    <row r="39" spans="1:10" s="71" customFormat="1" ht="36" customHeight="1" x14ac:dyDescent="0.35">
      <c r="A39" s="247">
        <v>32</v>
      </c>
      <c r="B39" s="55">
        <v>18</v>
      </c>
      <c r="C39" s="70"/>
      <c r="D39" s="70">
        <v>4</v>
      </c>
      <c r="E39" s="71" t="s">
        <v>139</v>
      </c>
      <c r="F39" s="1147">
        <v>531802</v>
      </c>
      <c r="G39" s="1147">
        <v>63847</v>
      </c>
      <c r="H39" s="1147">
        <v>69077</v>
      </c>
      <c r="I39" s="113">
        <v>12086</v>
      </c>
    </row>
    <row r="40" spans="1:10" s="71" customFormat="1" ht="36" customHeight="1" x14ac:dyDescent="0.35">
      <c r="A40" s="247">
        <v>33</v>
      </c>
      <c r="B40" s="968" t="s">
        <v>293</v>
      </c>
      <c r="C40" s="83"/>
      <c r="D40" s="84">
        <v>4</v>
      </c>
      <c r="E40" s="85" t="s">
        <v>140</v>
      </c>
      <c r="F40" s="1149">
        <v>105005</v>
      </c>
      <c r="G40" s="1149">
        <v>5000</v>
      </c>
      <c r="H40" s="1149">
        <v>25077</v>
      </c>
      <c r="I40" s="147"/>
    </row>
    <row r="41" spans="1:10" s="77" customFormat="1" ht="36" customHeight="1" x14ac:dyDescent="0.35">
      <c r="A41" s="247">
        <v>34</v>
      </c>
      <c r="B41" s="132"/>
      <c r="C41" s="86">
        <v>2</v>
      </c>
      <c r="D41" s="86"/>
      <c r="E41" s="87" t="s">
        <v>104</v>
      </c>
      <c r="F41" s="1150">
        <f>SUM(F42,F45:F46,F48:F50)</f>
        <v>3919512</v>
      </c>
      <c r="G41" s="1150">
        <f>SUM(G42,G45:G46,G48:G50)</f>
        <v>676200</v>
      </c>
      <c r="H41" s="1157">
        <f>SUM(H42,H45:H46,H48:H50)</f>
        <v>8564019</v>
      </c>
      <c r="I41" s="210">
        <f>SUM(I42,I45:I46,I48:I50)</f>
        <v>8905736</v>
      </c>
    </row>
    <row r="42" spans="1:10" s="71" customFormat="1" ht="36" customHeight="1" x14ac:dyDescent="0.35">
      <c r="A42" s="247">
        <v>35</v>
      </c>
      <c r="B42" s="55"/>
      <c r="C42" s="70"/>
      <c r="D42" s="70">
        <v>5</v>
      </c>
      <c r="E42" s="71" t="s">
        <v>565</v>
      </c>
      <c r="F42" s="1147">
        <f>SUM(F43,F44)</f>
        <v>2594724</v>
      </c>
      <c r="G42" s="1147">
        <f>SUM(G43,G44)</f>
        <v>198205</v>
      </c>
      <c r="H42" s="1147">
        <f>SUM(H43,H44)</f>
        <v>6881138</v>
      </c>
      <c r="I42" s="113">
        <f>SUM(I43,I44)</f>
        <v>7327736</v>
      </c>
    </row>
    <row r="43" spans="1:10" x14ac:dyDescent="0.3">
      <c r="A43" s="247">
        <v>36</v>
      </c>
      <c r="B43" s="55">
        <v>18</v>
      </c>
      <c r="E43" s="294" t="s">
        <v>141</v>
      </c>
      <c r="I43" s="114"/>
    </row>
    <row r="44" spans="1:10" x14ac:dyDescent="0.3">
      <c r="A44" s="247">
        <v>37</v>
      </c>
      <c r="B44" s="55">
        <v>18</v>
      </c>
      <c r="C44" s="81"/>
      <c r="D44" s="81"/>
      <c r="E44" s="294" t="s">
        <v>142</v>
      </c>
      <c r="F44" s="2">
        <v>2594724</v>
      </c>
      <c r="G44" s="2">
        <v>198205</v>
      </c>
      <c r="H44" s="2">
        <v>6881138</v>
      </c>
      <c r="I44" s="114">
        <f>7523736-196000</f>
        <v>7327736</v>
      </c>
      <c r="J44" s="145"/>
    </row>
    <row r="45" spans="1:10" s="71" customFormat="1" ht="36" customHeight="1" x14ac:dyDescent="0.35">
      <c r="A45" s="247">
        <v>38</v>
      </c>
      <c r="B45" s="131" t="s">
        <v>293</v>
      </c>
      <c r="C45" s="82"/>
      <c r="D45" s="81">
        <v>5</v>
      </c>
      <c r="E45" s="22" t="s">
        <v>566</v>
      </c>
      <c r="F45" s="1147">
        <v>4336</v>
      </c>
      <c r="G45" s="1147"/>
      <c r="H45" s="1147">
        <v>12514</v>
      </c>
      <c r="I45" s="113"/>
    </row>
    <row r="46" spans="1:10" s="71" customFormat="1" ht="36" customHeight="1" x14ac:dyDescent="0.35">
      <c r="A46" s="247">
        <v>39</v>
      </c>
      <c r="B46" s="55">
        <v>18</v>
      </c>
      <c r="C46" s="70"/>
      <c r="D46" s="70">
        <v>6</v>
      </c>
      <c r="E46" s="71" t="s">
        <v>143</v>
      </c>
      <c r="F46" s="1147">
        <f>SUM(F47:F47)</f>
        <v>76822</v>
      </c>
      <c r="G46" s="1147">
        <f>SUM(G47:G47)</f>
        <v>473550</v>
      </c>
      <c r="H46" s="1147">
        <f>SUM(H47:H47)</f>
        <v>473550</v>
      </c>
      <c r="I46" s="113">
        <f>SUM(I47:I47)</f>
        <v>400000</v>
      </c>
    </row>
    <row r="47" spans="1:10" x14ac:dyDescent="0.3">
      <c r="A47" s="247">
        <v>40</v>
      </c>
      <c r="B47" s="55"/>
      <c r="E47" s="23" t="s">
        <v>144</v>
      </c>
      <c r="F47" s="2">
        <v>76822</v>
      </c>
      <c r="G47" s="2">
        <v>473550</v>
      </c>
      <c r="H47" s="2">
        <v>473550</v>
      </c>
      <c r="I47" s="114">
        <v>400000</v>
      </c>
    </row>
    <row r="48" spans="1:10" ht="36" customHeight="1" x14ac:dyDescent="0.35">
      <c r="A48" s="247">
        <v>41</v>
      </c>
      <c r="B48" s="55"/>
      <c r="D48" s="70">
        <v>6</v>
      </c>
      <c r="E48" s="22" t="s">
        <v>145</v>
      </c>
      <c r="F48" s="1147">
        <v>1100</v>
      </c>
      <c r="G48" s="1147">
        <v>4445</v>
      </c>
      <c r="H48" s="1147">
        <v>3500</v>
      </c>
      <c r="I48" s="113"/>
    </row>
    <row r="49" spans="1:9" s="71" customFormat="1" ht="36" customHeight="1" x14ac:dyDescent="0.35">
      <c r="A49" s="247">
        <v>42</v>
      </c>
      <c r="B49" s="55">
        <v>18</v>
      </c>
      <c r="C49" s="70"/>
      <c r="D49" s="70">
        <v>7</v>
      </c>
      <c r="E49" s="71" t="s">
        <v>146</v>
      </c>
      <c r="F49" s="1147">
        <v>1215634</v>
      </c>
      <c r="G49" s="1147"/>
      <c r="H49" s="1147">
        <v>1179500</v>
      </c>
      <c r="I49" s="113">
        <v>1178000</v>
      </c>
    </row>
    <row r="50" spans="1:9" s="71" customFormat="1" ht="36" customHeight="1" x14ac:dyDescent="0.35">
      <c r="A50" s="247">
        <v>43</v>
      </c>
      <c r="B50" s="131" t="s">
        <v>293</v>
      </c>
      <c r="C50" s="82"/>
      <c r="D50" s="81">
        <v>7</v>
      </c>
      <c r="E50" s="88" t="s">
        <v>147</v>
      </c>
      <c r="F50" s="1147">
        <v>26896</v>
      </c>
      <c r="G50" s="1147"/>
      <c r="H50" s="1147">
        <v>13817</v>
      </c>
      <c r="I50" s="113"/>
    </row>
    <row r="51" spans="1:9" s="12" customFormat="1" ht="36" customHeight="1" x14ac:dyDescent="0.3">
      <c r="A51" s="247">
        <v>44</v>
      </c>
      <c r="B51" s="10">
        <v>18</v>
      </c>
      <c r="C51" s="89"/>
      <c r="D51" s="89"/>
      <c r="E51" s="208" t="s">
        <v>148</v>
      </c>
      <c r="F51" s="1151">
        <f>SUM(F52:F52)</f>
        <v>28</v>
      </c>
      <c r="G51" s="1151">
        <f>SUM(G52:G52)</f>
        <v>0</v>
      </c>
      <c r="H51" s="1151">
        <f>SUM(H52:H52)</f>
        <v>0</v>
      </c>
      <c r="I51" s="115">
        <f>SUM(I52:I52)</f>
        <v>0</v>
      </c>
    </row>
    <row r="52" spans="1:9" ht="33" x14ac:dyDescent="0.3">
      <c r="A52" s="247">
        <v>45</v>
      </c>
      <c r="B52" s="55"/>
      <c r="C52" s="90"/>
      <c r="D52" s="90"/>
      <c r="E52" s="209" t="s">
        <v>206</v>
      </c>
      <c r="F52" s="1152">
        <v>28</v>
      </c>
      <c r="G52" s="1152"/>
      <c r="H52" s="1152"/>
      <c r="I52" s="116"/>
    </row>
    <row r="53" spans="1:9" s="12" customFormat="1" ht="40.15" customHeight="1" thickBot="1" x14ac:dyDescent="0.35">
      <c r="A53" s="247">
        <v>46</v>
      </c>
      <c r="B53" s="133"/>
      <c r="C53" s="92"/>
      <c r="D53" s="92"/>
      <c r="E53" s="93" t="s">
        <v>149</v>
      </c>
      <c r="F53" s="1153">
        <f>SUM(F8,F41,F51)</f>
        <v>32288796</v>
      </c>
      <c r="G53" s="1153">
        <f>SUM(G8,G41,G51)</f>
        <v>26392883</v>
      </c>
      <c r="H53" s="1153">
        <f>SUM(H8,H41,H51)</f>
        <v>36999096</v>
      </c>
      <c r="I53" s="148">
        <f>SUM(I8,I41,I51)</f>
        <v>37629894</v>
      </c>
    </row>
    <row r="54" spans="1:9" s="12" customFormat="1" ht="40.15" customHeight="1" thickTop="1" thickBot="1" x14ac:dyDescent="0.35">
      <c r="A54" s="247">
        <v>47</v>
      </c>
      <c r="B54" s="134"/>
      <c r="C54" s="94"/>
      <c r="D54" s="94"/>
      <c r="E54" s="95" t="s">
        <v>150</v>
      </c>
      <c r="F54" s="1154">
        <f>+F53-'2.Onki'!F38</f>
        <v>-1457728</v>
      </c>
      <c r="G54" s="1154">
        <f>+G53-'2.Onki'!G38</f>
        <v>-12041562</v>
      </c>
      <c r="H54" s="1154">
        <f>+H53-'2.Onki'!H38</f>
        <v>-14452590</v>
      </c>
      <c r="I54" s="674">
        <f>+I53-'2.Onki'!I38</f>
        <v>-8877630</v>
      </c>
    </row>
    <row r="55" spans="1:9" s="12" customFormat="1" ht="36" customHeight="1" x14ac:dyDescent="0.3">
      <c r="A55" s="247">
        <v>48</v>
      </c>
      <c r="B55" s="10"/>
      <c r="C55" s="3"/>
      <c r="D55" s="3"/>
      <c r="E55" s="12" t="s">
        <v>151</v>
      </c>
      <c r="F55" s="1135">
        <f>SUM(F56,F66)</f>
        <v>17175240</v>
      </c>
      <c r="G55" s="1135">
        <f t="shared" ref="G55:I55" si="0">SUM(G56,G66)</f>
        <v>12501795</v>
      </c>
      <c r="H55" s="1135">
        <f t="shared" si="0"/>
        <v>25282936</v>
      </c>
      <c r="I55" s="149">
        <f t="shared" si="0"/>
        <v>12305376</v>
      </c>
    </row>
    <row r="56" spans="1:9" s="12" customFormat="1" ht="33" customHeight="1" x14ac:dyDescent="0.3">
      <c r="A56" s="247">
        <v>49</v>
      </c>
      <c r="B56" s="135"/>
      <c r="C56" s="89"/>
      <c r="D56" s="89"/>
      <c r="E56" s="96" t="s">
        <v>229</v>
      </c>
      <c r="F56" s="1151">
        <f>SUM(F57,F61,F65)</f>
        <v>16605894</v>
      </c>
      <c r="G56" s="1151">
        <f t="shared" ref="G56:I56" si="1">SUM(G57,G61,G65)</f>
        <v>12501795</v>
      </c>
      <c r="H56" s="1151">
        <f t="shared" si="1"/>
        <v>22812823</v>
      </c>
      <c r="I56" s="115">
        <f t="shared" si="1"/>
        <v>12305357</v>
      </c>
    </row>
    <row r="57" spans="1:9" s="71" customFormat="1" ht="24" customHeight="1" x14ac:dyDescent="0.35">
      <c r="A57" s="247">
        <v>50</v>
      </c>
      <c r="B57" s="55"/>
      <c r="C57" s="70">
        <v>1</v>
      </c>
      <c r="D57" s="70">
        <v>8</v>
      </c>
      <c r="E57" s="71" t="s">
        <v>484</v>
      </c>
      <c r="F57" s="1147">
        <f>SUM(F58:F60)</f>
        <v>10243449</v>
      </c>
      <c r="G57" s="1147">
        <f>SUM(G58:G60)</f>
        <v>3844293</v>
      </c>
      <c r="H57" s="1147">
        <f>SUM(H58:H60)</f>
        <v>5804629</v>
      </c>
      <c r="I57" s="113">
        <f>SUM(I58:I60)</f>
        <v>3035368</v>
      </c>
    </row>
    <row r="58" spans="1:9" x14ac:dyDescent="0.3">
      <c r="A58" s="247">
        <v>51</v>
      </c>
      <c r="B58" s="129" t="s">
        <v>256</v>
      </c>
      <c r="E58" s="23" t="s">
        <v>152</v>
      </c>
      <c r="F58" s="2">
        <v>1044828</v>
      </c>
      <c r="G58" s="2">
        <v>667556</v>
      </c>
      <c r="H58" s="2">
        <f>1267312</f>
        <v>1267312</v>
      </c>
      <c r="I58" s="114">
        <f>464455-174+28-26879</f>
        <v>437430</v>
      </c>
    </row>
    <row r="59" spans="1:9" x14ac:dyDescent="0.3">
      <c r="A59" s="247">
        <v>52</v>
      </c>
      <c r="B59" s="55">
        <v>17</v>
      </c>
      <c r="E59" s="23" t="s">
        <v>153</v>
      </c>
      <c r="F59" s="2">
        <v>625428</v>
      </c>
      <c r="G59" s="2">
        <v>88128</v>
      </c>
      <c r="H59" s="2">
        <v>859051</v>
      </c>
      <c r="I59" s="114">
        <f>431982-34869-2050</f>
        <v>395063</v>
      </c>
    </row>
    <row r="60" spans="1:9" x14ac:dyDescent="0.3">
      <c r="A60" s="247">
        <v>53</v>
      </c>
      <c r="B60" s="55">
        <v>18</v>
      </c>
      <c r="E60" s="23" t="s">
        <v>95</v>
      </c>
      <c r="F60" s="2">
        <v>8573193</v>
      </c>
      <c r="G60" s="2">
        <v>3088609</v>
      </c>
      <c r="H60" s="2">
        <v>3678266</v>
      </c>
      <c r="I60" s="114">
        <f>2202830+45</f>
        <v>2202875</v>
      </c>
    </row>
    <row r="61" spans="1:9" s="71" customFormat="1" ht="24" customHeight="1" x14ac:dyDescent="0.35">
      <c r="A61" s="247">
        <v>54</v>
      </c>
      <c r="B61" s="55"/>
      <c r="C61" s="70">
        <v>2</v>
      </c>
      <c r="D61" s="70">
        <v>11</v>
      </c>
      <c r="E61" s="71" t="s">
        <v>207</v>
      </c>
      <c r="F61" s="1147">
        <f>SUM(F62:F64)</f>
        <v>6362445</v>
      </c>
      <c r="G61" s="1147">
        <f>SUM(G62:G64)</f>
        <v>7157502</v>
      </c>
      <c r="H61" s="1147">
        <f>SUM(H62:H64)</f>
        <v>7608194</v>
      </c>
      <c r="I61" s="113">
        <f>SUM(I62:I64)</f>
        <v>5359179</v>
      </c>
    </row>
    <row r="62" spans="1:9" s="71" customFormat="1" ht="17.25" x14ac:dyDescent="0.35">
      <c r="A62" s="247">
        <v>55</v>
      </c>
      <c r="B62" s="130" t="s">
        <v>256</v>
      </c>
      <c r="C62" s="70"/>
      <c r="D62" s="70"/>
      <c r="E62" s="97" t="s">
        <v>152</v>
      </c>
      <c r="F62" s="2">
        <v>215702</v>
      </c>
      <c r="G62" s="2">
        <v>26619</v>
      </c>
      <c r="H62" s="2">
        <v>120651</v>
      </c>
      <c r="I62" s="114">
        <v>26879</v>
      </c>
    </row>
    <row r="63" spans="1:9" s="71" customFormat="1" ht="17.25" x14ac:dyDescent="0.35">
      <c r="A63" s="247">
        <v>56</v>
      </c>
      <c r="B63" s="130" t="s">
        <v>243</v>
      </c>
      <c r="C63" s="70"/>
      <c r="D63" s="70"/>
      <c r="E63" s="23" t="s">
        <v>153</v>
      </c>
      <c r="F63" s="2">
        <v>75275</v>
      </c>
      <c r="G63" s="2">
        <v>78247</v>
      </c>
      <c r="H63" s="2">
        <v>167947</v>
      </c>
      <c r="I63" s="114">
        <f>27800+34869+2050</f>
        <v>64719</v>
      </c>
    </row>
    <row r="64" spans="1:9" s="71" customFormat="1" ht="17.25" x14ac:dyDescent="0.35">
      <c r="A64" s="247">
        <v>57</v>
      </c>
      <c r="B64" s="55">
        <v>18</v>
      </c>
      <c r="C64" s="70"/>
      <c r="D64" s="70"/>
      <c r="E64" s="97" t="s">
        <v>95</v>
      </c>
      <c r="F64" s="2">
        <v>6071468</v>
      </c>
      <c r="G64" s="2">
        <v>7052636</v>
      </c>
      <c r="H64" s="2">
        <v>7319596</v>
      </c>
      <c r="I64" s="114">
        <f>5267521+60</f>
        <v>5267581</v>
      </c>
    </row>
    <row r="65" spans="1:9" s="12" customFormat="1" ht="24" customHeight="1" x14ac:dyDescent="0.3">
      <c r="A65" s="247">
        <v>58</v>
      </c>
      <c r="B65" s="10">
        <v>18</v>
      </c>
      <c r="C65" s="3">
        <v>1</v>
      </c>
      <c r="D65" s="3">
        <v>9</v>
      </c>
      <c r="E65" s="12" t="s">
        <v>531</v>
      </c>
      <c r="F65" s="1135"/>
      <c r="G65" s="1135">
        <v>1500000</v>
      </c>
      <c r="H65" s="1135">
        <v>9400000</v>
      </c>
      <c r="I65" s="149">
        <f>3410810+500000</f>
        <v>3910810</v>
      </c>
    </row>
    <row r="66" spans="1:9" s="12" customFormat="1" ht="30" customHeight="1" x14ac:dyDescent="0.3">
      <c r="A66" s="247">
        <v>59</v>
      </c>
      <c r="B66" s="135"/>
      <c r="C66" s="89"/>
      <c r="D66" s="89"/>
      <c r="E66" s="96" t="s">
        <v>230</v>
      </c>
      <c r="F66" s="1151">
        <f>SUM(F67:F70)</f>
        <v>569346</v>
      </c>
      <c r="G66" s="1151">
        <f t="shared" ref="G66:I66" si="2">SUM(G67:G70)</f>
        <v>0</v>
      </c>
      <c r="H66" s="1151">
        <f t="shared" si="2"/>
        <v>2470113</v>
      </c>
      <c r="I66" s="115">
        <f t="shared" si="2"/>
        <v>19</v>
      </c>
    </row>
    <row r="67" spans="1:9" s="12" customFormat="1" ht="24" customHeight="1" x14ac:dyDescent="0.3">
      <c r="A67" s="247">
        <v>60</v>
      </c>
      <c r="B67" s="10">
        <v>18</v>
      </c>
      <c r="C67" s="3">
        <v>1</v>
      </c>
      <c r="D67" s="3">
        <v>10</v>
      </c>
      <c r="E67" s="12" t="s">
        <v>209</v>
      </c>
      <c r="F67" s="1135">
        <v>569346</v>
      </c>
      <c r="G67" s="1135"/>
      <c r="H67" s="1135">
        <v>2470113</v>
      </c>
      <c r="I67" s="149">
        <v>19</v>
      </c>
    </row>
    <row r="68" spans="1:9" s="71" customFormat="1" ht="24" customHeight="1" x14ac:dyDescent="0.35">
      <c r="A68" s="247">
        <v>61</v>
      </c>
      <c r="B68" s="55">
        <v>18</v>
      </c>
      <c r="C68" s="70">
        <v>2</v>
      </c>
      <c r="D68" s="70">
        <v>12</v>
      </c>
      <c r="E68" s="71" t="s">
        <v>154</v>
      </c>
      <c r="F68" s="1147"/>
      <c r="G68" s="1147"/>
      <c r="H68" s="1147"/>
      <c r="I68" s="113"/>
    </row>
    <row r="69" spans="1:9" x14ac:dyDescent="0.3">
      <c r="A69" s="247">
        <v>62</v>
      </c>
      <c r="B69" s="55"/>
      <c r="E69" s="23" t="s">
        <v>154</v>
      </c>
      <c r="I69" s="114"/>
    </row>
    <row r="70" spans="1:9" x14ac:dyDescent="0.3">
      <c r="A70" s="247">
        <v>63</v>
      </c>
      <c r="B70" s="55"/>
      <c r="E70" s="98" t="s">
        <v>155</v>
      </c>
      <c r="F70" s="1152"/>
      <c r="G70" s="1152"/>
      <c r="H70" s="1152"/>
      <c r="I70" s="114"/>
    </row>
    <row r="71" spans="1:9" s="12" customFormat="1" ht="36" customHeight="1" thickBot="1" x14ac:dyDescent="0.35">
      <c r="A71" s="247">
        <v>64</v>
      </c>
      <c r="B71" s="136"/>
      <c r="C71" s="99"/>
      <c r="D71" s="99"/>
      <c r="E71" s="100" t="s">
        <v>156</v>
      </c>
      <c r="F71" s="1155">
        <f>SUM(F53,F55)</f>
        <v>49464036</v>
      </c>
      <c r="G71" s="1155">
        <f>SUM(G53,G55)</f>
        <v>38894678</v>
      </c>
      <c r="H71" s="1155">
        <f>SUM(H53,H55)</f>
        <v>62282032</v>
      </c>
      <c r="I71" s="150">
        <f>SUM(I53,I55)</f>
        <v>49935270</v>
      </c>
    </row>
    <row r="72" spans="1:9" x14ac:dyDescent="0.3">
      <c r="I72" s="2"/>
    </row>
  </sheetData>
  <mergeCells count="3">
    <mergeCell ref="B1:E1"/>
    <mergeCell ref="B3:I3"/>
    <mergeCell ref="B4:I4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73" fitToHeight="2" orientation="portrait" r:id="rId1"/>
  <headerFooter alignWithMargins="0">
    <oddFooter>&amp;C- &amp;P -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99"/>
  <sheetViews>
    <sheetView view="pageBreakPreview" zoomScaleNormal="100" zoomScaleSheetLayoutView="100" workbookViewId="0">
      <selection activeCell="B1" sqref="B1:D1"/>
    </sheetView>
  </sheetViews>
  <sheetFormatPr defaultColWidth="9.28515625" defaultRowHeight="17.25" x14ac:dyDescent="0.35"/>
  <cols>
    <col min="1" max="1" width="3.7109375" style="223" customWidth="1"/>
    <col min="2" max="3" width="5.7109375" style="250" customWidth="1"/>
    <col min="4" max="4" width="67.140625" style="153" customWidth="1"/>
    <col min="5" max="5" width="12.7109375" style="249" customWidth="1"/>
    <col min="6" max="7" width="10.7109375" style="249" customWidth="1"/>
    <col min="8" max="8" width="6.7109375" style="225" customWidth="1"/>
    <col min="9" max="15" width="14.7109375" style="249" customWidth="1"/>
    <col min="16" max="16" width="15.7109375" style="237" customWidth="1"/>
    <col min="17" max="17" width="13.7109375" style="249" customWidth="1"/>
    <col min="18" max="16384" width="9.28515625" style="153"/>
  </cols>
  <sheetData>
    <row r="1" spans="1:257" ht="18" customHeight="1" x14ac:dyDescent="0.3">
      <c r="B1" s="1424" t="s">
        <v>770</v>
      </c>
      <c r="C1" s="1424"/>
      <c r="D1" s="1424"/>
      <c r="E1" s="212"/>
      <c r="F1" s="212"/>
      <c r="G1" s="212"/>
      <c r="H1" s="224"/>
      <c r="I1" s="1465"/>
      <c r="J1" s="1465"/>
      <c r="K1" s="1465"/>
      <c r="L1" s="1465"/>
      <c r="M1" s="1465"/>
      <c r="N1" s="1465"/>
      <c r="O1" s="1465"/>
      <c r="P1" s="1465"/>
      <c r="Q1" s="1465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3"/>
      <c r="AJ1" s="213"/>
      <c r="AK1" s="213"/>
      <c r="AL1" s="213"/>
      <c r="AM1" s="213"/>
      <c r="AN1" s="213"/>
      <c r="AO1" s="213"/>
      <c r="AP1" s="213"/>
      <c r="AQ1" s="213"/>
      <c r="AR1" s="213"/>
      <c r="AS1" s="213"/>
      <c r="AT1" s="213"/>
      <c r="AU1" s="213"/>
      <c r="AV1" s="213"/>
      <c r="AW1" s="213"/>
      <c r="AX1" s="213"/>
      <c r="AY1" s="213"/>
      <c r="AZ1" s="213"/>
      <c r="BA1" s="213"/>
      <c r="BB1" s="213"/>
      <c r="BC1" s="213"/>
      <c r="BD1" s="213"/>
      <c r="BE1" s="213"/>
      <c r="BF1" s="213"/>
      <c r="BG1" s="213"/>
      <c r="BH1" s="213"/>
      <c r="BI1" s="213"/>
      <c r="BJ1" s="213"/>
      <c r="BK1" s="213"/>
      <c r="BL1" s="213"/>
      <c r="BM1" s="213"/>
      <c r="BN1" s="213"/>
      <c r="BO1" s="213"/>
      <c r="BP1" s="213"/>
      <c r="BQ1" s="213"/>
      <c r="BR1" s="213"/>
      <c r="BS1" s="213"/>
      <c r="BT1" s="213"/>
      <c r="BU1" s="213"/>
      <c r="BV1" s="213"/>
      <c r="BW1" s="213"/>
      <c r="BX1" s="213"/>
      <c r="BY1" s="213"/>
      <c r="BZ1" s="213"/>
      <c r="CA1" s="213"/>
      <c r="CB1" s="213"/>
      <c r="CC1" s="213"/>
      <c r="CD1" s="213"/>
      <c r="CE1" s="213"/>
      <c r="CF1" s="213"/>
      <c r="CG1" s="213"/>
      <c r="CH1" s="213"/>
      <c r="CI1" s="213"/>
      <c r="CJ1" s="213"/>
      <c r="CK1" s="213"/>
      <c r="CL1" s="213"/>
      <c r="CM1" s="213"/>
      <c r="CN1" s="213"/>
      <c r="CO1" s="213"/>
      <c r="CP1" s="213"/>
      <c r="CQ1" s="213"/>
      <c r="CR1" s="213"/>
      <c r="CS1" s="213"/>
      <c r="CT1" s="213"/>
      <c r="CU1" s="213"/>
      <c r="CV1" s="213"/>
      <c r="CW1" s="213"/>
      <c r="CX1" s="213"/>
      <c r="CY1" s="213"/>
      <c r="CZ1" s="213"/>
      <c r="DA1" s="213"/>
      <c r="DB1" s="213"/>
      <c r="DC1" s="213"/>
      <c r="DD1" s="213"/>
      <c r="DE1" s="213"/>
      <c r="DF1" s="213"/>
      <c r="DG1" s="213"/>
      <c r="DH1" s="213"/>
      <c r="DI1" s="213"/>
      <c r="DJ1" s="213"/>
      <c r="DK1" s="213"/>
      <c r="DL1" s="213"/>
      <c r="DM1" s="213"/>
      <c r="DN1" s="213"/>
      <c r="DO1" s="213"/>
      <c r="DP1" s="213"/>
      <c r="DQ1" s="213"/>
      <c r="DR1" s="213"/>
      <c r="DS1" s="213"/>
      <c r="DT1" s="213"/>
      <c r="DU1" s="213"/>
      <c r="DV1" s="213"/>
      <c r="DW1" s="213"/>
      <c r="DX1" s="213"/>
      <c r="DY1" s="213"/>
      <c r="DZ1" s="213"/>
      <c r="EA1" s="213"/>
      <c r="EB1" s="213"/>
      <c r="EC1" s="213"/>
      <c r="ED1" s="213"/>
      <c r="EE1" s="213"/>
      <c r="EF1" s="213"/>
      <c r="EG1" s="213"/>
      <c r="EH1" s="213"/>
      <c r="EI1" s="213"/>
      <c r="EJ1" s="213"/>
      <c r="EK1" s="213"/>
      <c r="EL1" s="213"/>
      <c r="EM1" s="213"/>
      <c r="EN1" s="213"/>
      <c r="EO1" s="213"/>
      <c r="EP1" s="213"/>
      <c r="EQ1" s="213"/>
      <c r="ER1" s="213"/>
      <c r="ES1" s="213"/>
      <c r="ET1" s="213"/>
      <c r="EU1" s="213"/>
      <c r="EV1" s="213"/>
      <c r="EW1" s="213"/>
      <c r="EX1" s="213"/>
      <c r="EY1" s="213"/>
      <c r="EZ1" s="213"/>
      <c r="FA1" s="213"/>
      <c r="FB1" s="213"/>
      <c r="FC1" s="213"/>
      <c r="FD1" s="213"/>
      <c r="FE1" s="213"/>
      <c r="FF1" s="213"/>
      <c r="FG1" s="213"/>
      <c r="FH1" s="213"/>
      <c r="FI1" s="213"/>
      <c r="FJ1" s="213"/>
      <c r="FK1" s="213"/>
      <c r="FL1" s="213"/>
      <c r="FM1" s="213"/>
      <c r="FN1" s="213"/>
      <c r="FO1" s="213"/>
      <c r="FP1" s="213"/>
      <c r="FQ1" s="213"/>
      <c r="FR1" s="213"/>
      <c r="FS1" s="213"/>
      <c r="FT1" s="213"/>
      <c r="FU1" s="213"/>
      <c r="FV1" s="213"/>
      <c r="FW1" s="213"/>
      <c r="FX1" s="213"/>
      <c r="FY1" s="213"/>
      <c r="FZ1" s="213"/>
      <c r="GA1" s="213"/>
      <c r="GB1" s="213"/>
      <c r="GC1" s="213"/>
      <c r="GD1" s="213"/>
      <c r="GE1" s="213"/>
      <c r="GF1" s="213"/>
      <c r="GG1" s="213"/>
      <c r="GH1" s="213"/>
      <c r="GI1" s="213"/>
      <c r="GJ1" s="213"/>
      <c r="GK1" s="213"/>
      <c r="GL1" s="213"/>
      <c r="GM1" s="213"/>
      <c r="GN1" s="213"/>
      <c r="GO1" s="213"/>
      <c r="GP1" s="213"/>
      <c r="GQ1" s="213"/>
      <c r="GR1" s="213"/>
      <c r="GS1" s="213"/>
      <c r="GT1" s="213"/>
      <c r="GU1" s="213"/>
      <c r="GV1" s="213"/>
      <c r="GW1" s="213"/>
      <c r="GX1" s="213"/>
      <c r="GY1" s="213"/>
      <c r="GZ1" s="213"/>
      <c r="HA1" s="213"/>
      <c r="HB1" s="213"/>
      <c r="HC1" s="213"/>
      <c r="HD1" s="213"/>
      <c r="HE1" s="213"/>
      <c r="HF1" s="213"/>
      <c r="HG1" s="213"/>
      <c r="HH1" s="213"/>
      <c r="HI1" s="213"/>
      <c r="HJ1" s="213"/>
      <c r="HK1" s="213"/>
      <c r="HL1" s="213"/>
      <c r="HM1" s="213"/>
      <c r="HN1" s="213"/>
      <c r="HO1" s="213"/>
      <c r="HP1" s="213"/>
      <c r="HQ1" s="213"/>
      <c r="HR1" s="213"/>
      <c r="HS1" s="213"/>
      <c r="HT1" s="213"/>
      <c r="HU1" s="213"/>
      <c r="HV1" s="213"/>
      <c r="HW1" s="213"/>
      <c r="HX1" s="213"/>
      <c r="HY1" s="213"/>
      <c r="HZ1" s="213"/>
      <c r="IA1" s="213"/>
      <c r="IB1" s="213"/>
      <c r="IC1" s="213"/>
      <c r="ID1" s="213"/>
      <c r="IE1" s="213"/>
      <c r="IF1" s="213"/>
      <c r="IG1" s="213"/>
      <c r="IH1" s="213"/>
      <c r="II1" s="213"/>
      <c r="IJ1" s="213"/>
      <c r="IK1" s="213"/>
      <c r="IL1" s="213"/>
      <c r="IM1" s="213"/>
      <c r="IN1" s="213"/>
      <c r="IO1" s="213"/>
      <c r="IP1" s="213"/>
      <c r="IQ1" s="213"/>
    </row>
    <row r="2" spans="1:257" ht="24.75" customHeight="1" x14ac:dyDescent="0.35">
      <c r="A2" s="1431" t="s">
        <v>14</v>
      </c>
      <c r="B2" s="1431"/>
      <c r="C2" s="1431"/>
      <c r="D2" s="1431"/>
      <c r="E2" s="1431"/>
      <c r="F2" s="1431"/>
      <c r="G2" s="1431"/>
      <c r="H2" s="1431"/>
      <c r="I2" s="1431"/>
      <c r="J2" s="1431"/>
      <c r="K2" s="1431"/>
      <c r="L2" s="1431"/>
      <c r="M2" s="1431"/>
      <c r="N2" s="1431"/>
      <c r="O2" s="1431"/>
      <c r="P2" s="1431"/>
      <c r="Q2" s="1431"/>
    </row>
    <row r="3" spans="1:257" ht="24.75" customHeight="1" x14ac:dyDescent="0.35">
      <c r="A3" s="1494" t="s">
        <v>758</v>
      </c>
      <c r="B3" s="1494"/>
      <c r="C3" s="1494"/>
      <c r="D3" s="1494"/>
      <c r="E3" s="1494"/>
      <c r="F3" s="1494"/>
      <c r="G3" s="1494"/>
      <c r="H3" s="1494"/>
      <c r="I3" s="1494"/>
      <c r="J3" s="1494"/>
      <c r="K3" s="1494"/>
      <c r="L3" s="1494"/>
      <c r="M3" s="1494"/>
      <c r="N3" s="1494"/>
      <c r="O3" s="1494"/>
      <c r="P3" s="1494"/>
      <c r="Q3" s="1494"/>
    </row>
    <row r="4" spans="1:257" s="221" customFormat="1" ht="18" customHeight="1" x14ac:dyDescent="0.3">
      <c r="A4" s="223"/>
      <c r="B4" s="223"/>
      <c r="C4" s="223"/>
      <c r="E4" s="220"/>
      <c r="F4" s="220"/>
      <c r="G4" s="220"/>
      <c r="H4" s="252"/>
      <c r="I4" s="220"/>
      <c r="J4" s="220"/>
      <c r="K4" s="220"/>
      <c r="L4" s="220"/>
      <c r="M4" s="220"/>
      <c r="N4" s="220"/>
      <c r="O4" s="220"/>
      <c r="P4" s="253"/>
      <c r="Q4" s="222" t="s">
        <v>0</v>
      </c>
    </row>
    <row r="5" spans="1:257" s="244" customFormat="1" ht="18" customHeight="1" thickBot="1" x14ac:dyDescent="0.35">
      <c r="A5" s="254"/>
      <c r="B5" s="255" t="s">
        <v>1</v>
      </c>
      <c r="C5" s="256" t="s">
        <v>3</v>
      </c>
      <c r="D5" s="256" t="s">
        <v>2</v>
      </c>
      <c r="E5" s="256" t="s">
        <v>4</v>
      </c>
      <c r="F5" s="256" t="s">
        <v>5</v>
      </c>
      <c r="G5" s="256" t="s">
        <v>15</v>
      </c>
      <c r="H5" s="256" t="s">
        <v>16</v>
      </c>
      <c r="I5" s="256" t="s">
        <v>17</v>
      </c>
      <c r="J5" s="256" t="s">
        <v>32</v>
      </c>
      <c r="K5" s="256" t="s">
        <v>28</v>
      </c>
      <c r="L5" s="256" t="s">
        <v>23</v>
      </c>
      <c r="M5" s="256" t="s">
        <v>33</v>
      </c>
      <c r="N5" s="256" t="s">
        <v>34</v>
      </c>
      <c r="O5" s="256"/>
      <c r="P5" s="256" t="s">
        <v>117</v>
      </c>
      <c r="Q5" s="256" t="s">
        <v>118</v>
      </c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P5" s="254"/>
      <c r="AQ5" s="254"/>
      <c r="AR5" s="254"/>
      <c r="AS5" s="254"/>
      <c r="AT5" s="254"/>
      <c r="AU5" s="254"/>
      <c r="AV5" s="254"/>
      <c r="AW5" s="254"/>
      <c r="AX5" s="254"/>
      <c r="AY5" s="254"/>
      <c r="AZ5" s="254"/>
      <c r="BA5" s="254"/>
      <c r="BB5" s="254"/>
      <c r="BC5" s="254"/>
      <c r="BD5" s="254"/>
      <c r="BE5" s="254"/>
      <c r="BF5" s="254"/>
      <c r="BG5" s="254"/>
      <c r="BH5" s="254"/>
      <c r="BI5" s="254"/>
      <c r="BJ5" s="254"/>
      <c r="BK5" s="254"/>
      <c r="BL5" s="254"/>
      <c r="BM5" s="254"/>
      <c r="BN5" s="254"/>
      <c r="BO5" s="254"/>
      <c r="BP5" s="254"/>
      <c r="BQ5" s="254"/>
      <c r="BR5" s="254"/>
      <c r="BS5" s="254"/>
      <c r="BT5" s="254"/>
      <c r="BU5" s="254"/>
      <c r="BV5" s="254"/>
      <c r="BW5" s="254"/>
      <c r="BX5" s="254"/>
      <c r="BY5" s="254"/>
      <c r="BZ5" s="254"/>
      <c r="CA5" s="254"/>
      <c r="CB5" s="254"/>
      <c r="CC5" s="254"/>
      <c r="CD5" s="254"/>
      <c r="CE5" s="254"/>
      <c r="CF5" s="254"/>
      <c r="CG5" s="254"/>
      <c r="CH5" s="254"/>
      <c r="CI5" s="254"/>
      <c r="CJ5" s="254"/>
      <c r="CK5" s="254"/>
      <c r="CL5" s="254"/>
      <c r="CM5" s="254"/>
      <c r="CN5" s="254"/>
      <c r="CO5" s="254"/>
      <c r="CP5" s="254"/>
      <c r="CQ5" s="254"/>
      <c r="CR5" s="254"/>
      <c r="CS5" s="254"/>
      <c r="CT5" s="254"/>
      <c r="CU5" s="254"/>
      <c r="CV5" s="254"/>
      <c r="CW5" s="254"/>
      <c r="CX5" s="254"/>
      <c r="CY5" s="254"/>
      <c r="CZ5" s="254"/>
      <c r="DA5" s="254"/>
      <c r="DB5" s="254"/>
      <c r="DC5" s="254"/>
      <c r="DD5" s="254"/>
      <c r="DE5" s="254"/>
      <c r="DF5" s="254"/>
      <c r="DG5" s="254"/>
      <c r="DH5" s="254"/>
      <c r="DI5" s="254"/>
      <c r="DJ5" s="254"/>
      <c r="DK5" s="254"/>
      <c r="DL5" s="254"/>
      <c r="DM5" s="254"/>
      <c r="DN5" s="254"/>
      <c r="DO5" s="254"/>
      <c r="DP5" s="254"/>
      <c r="DQ5" s="254"/>
      <c r="DR5" s="254"/>
      <c r="DS5" s="254"/>
      <c r="DT5" s="254"/>
      <c r="DU5" s="254"/>
      <c r="DV5" s="254"/>
      <c r="DW5" s="254"/>
      <c r="DX5" s="254"/>
      <c r="DY5" s="254"/>
      <c r="DZ5" s="254"/>
      <c r="EA5" s="254"/>
      <c r="EB5" s="254"/>
      <c r="EC5" s="254"/>
      <c r="ED5" s="254"/>
      <c r="EE5" s="254"/>
      <c r="EF5" s="254"/>
      <c r="EG5" s="254"/>
      <c r="EH5" s="254"/>
      <c r="EI5" s="254"/>
      <c r="EJ5" s="254"/>
      <c r="EK5" s="254"/>
      <c r="EL5" s="254"/>
      <c r="EM5" s="254"/>
      <c r="EN5" s="254"/>
      <c r="EO5" s="254"/>
      <c r="EP5" s="254"/>
      <c r="EQ5" s="254"/>
      <c r="ER5" s="254"/>
      <c r="ES5" s="254"/>
      <c r="ET5" s="254"/>
      <c r="EU5" s="254"/>
      <c r="EV5" s="254"/>
      <c r="EW5" s="254"/>
      <c r="EX5" s="254"/>
      <c r="EY5" s="254"/>
      <c r="EZ5" s="254"/>
      <c r="FA5" s="254"/>
      <c r="FB5" s="254"/>
      <c r="FC5" s="254"/>
      <c r="FD5" s="254"/>
      <c r="FE5" s="254"/>
      <c r="FF5" s="254"/>
      <c r="FG5" s="254"/>
      <c r="FH5" s="254"/>
      <c r="FI5" s="254"/>
      <c r="FJ5" s="254"/>
      <c r="FK5" s="254"/>
      <c r="FL5" s="254"/>
      <c r="FM5" s="254"/>
      <c r="FN5" s="254"/>
      <c r="FO5" s="254"/>
      <c r="FP5" s="254"/>
      <c r="FQ5" s="254"/>
      <c r="FR5" s="254"/>
      <c r="FS5" s="254"/>
      <c r="FT5" s="254"/>
      <c r="FU5" s="254"/>
      <c r="FV5" s="254"/>
      <c r="FW5" s="254"/>
      <c r="FX5" s="254"/>
      <c r="FY5" s="254"/>
      <c r="FZ5" s="254"/>
      <c r="GA5" s="254"/>
      <c r="GB5" s="254"/>
      <c r="GC5" s="254"/>
      <c r="GD5" s="254"/>
      <c r="GE5" s="254"/>
      <c r="GF5" s="254"/>
      <c r="GG5" s="254"/>
      <c r="GH5" s="254"/>
      <c r="GI5" s="254"/>
      <c r="GJ5" s="254"/>
      <c r="GK5" s="254"/>
      <c r="GL5" s="254"/>
      <c r="GM5" s="254"/>
      <c r="GN5" s="254"/>
      <c r="GO5" s="254"/>
      <c r="GP5" s="254"/>
      <c r="GQ5" s="254"/>
      <c r="GR5" s="254"/>
      <c r="GS5" s="254"/>
      <c r="GT5" s="254"/>
      <c r="GU5" s="254"/>
      <c r="GV5" s="254"/>
      <c r="GW5" s="254"/>
      <c r="GX5" s="254"/>
      <c r="GY5" s="254"/>
      <c r="GZ5" s="254"/>
      <c r="HA5" s="254"/>
      <c r="HB5" s="254"/>
      <c r="HC5" s="254"/>
      <c r="HD5" s="254"/>
      <c r="HE5" s="254"/>
      <c r="HF5" s="254"/>
      <c r="HG5" s="254"/>
      <c r="HH5" s="254"/>
      <c r="HI5" s="254"/>
      <c r="HJ5" s="254"/>
      <c r="HK5" s="254"/>
      <c r="HL5" s="254"/>
      <c r="HM5" s="254"/>
      <c r="HN5" s="254"/>
      <c r="HO5" s="254"/>
      <c r="HP5" s="254"/>
      <c r="HQ5" s="254"/>
      <c r="HR5" s="254"/>
      <c r="HS5" s="254"/>
      <c r="HT5" s="254"/>
      <c r="HU5" s="254"/>
      <c r="HV5" s="254"/>
      <c r="HW5" s="254"/>
      <c r="HX5" s="254"/>
      <c r="HY5" s="254"/>
      <c r="HZ5" s="254"/>
      <c r="IA5" s="254"/>
      <c r="IB5" s="254"/>
      <c r="IC5" s="254"/>
      <c r="ID5" s="254"/>
      <c r="IE5" s="254"/>
      <c r="IF5" s="254"/>
      <c r="IG5" s="254"/>
      <c r="IH5" s="254"/>
      <c r="II5" s="254"/>
      <c r="IJ5" s="254"/>
      <c r="IK5" s="254"/>
      <c r="IL5" s="254"/>
      <c r="IM5" s="254"/>
      <c r="IN5" s="254"/>
      <c r="IO5" s="254"/>
      <c r="IP5" s="254"/>
      <c r="IQ5" s="254"/>
    </row>
    <row r="6" spans="1:257" ht="22.5" customHeight="1" x14ac:dyDescent="0.3">
      <c r="B6" s="1488" t="s">
        <v>18</v>
      </c>
      <c r="C6" s="1484" t="s">
        <v>19</v>
      </c>
      <c r="D6" s="1495" t="s">
        <v>6</v>
      </c>
      <c r="E6" s="1491" t="s">
        <v>385</v>
      </c>
      <c r="F6" s="1491" t="s">
        <v>621</v>
      </c>
      <c r="G6" s="1498" t="s">
        <v>622</v>
      </c>
      <c r="H6" s="1454" t="s">
        <v>20</v>
      </c>
      <c r="I6" s="1501" t="s">
        <v>581</v>
      </c>
      <c r="J6" s="1491"/>
      <c r="K6" s="1491"/>
      <c r="L6" s="1491"/>
      <c r="M6" s="1491"/>
      <c r="N6" s="1491"/>
      <c r="O6" s="1498"/>
      <c r="P6" s="1502"/>
      <c r="Q6" s="1503" t="s">
        <v>620</v>
      </c>
      <c r="R6" s="1487"/>
      <c r="S6" s="1487"/>
    </row>
    <row r="7" spans="1:257" ht="33" customHeight="1" x14ac:dyDescent="0.3">
      <c r="B7" s="1489"/>
      <c r="C7" s="1485"/>
      <c r="D7" s="1496"/>
      <c r="E7" s="1492"/>
      <c r="F7" s="1492"/>
      <c r="G7" s="1499"/>
      <c r="H7" s="1455"/>
      <c r="I7" s="1506" t="s">
        <v>309</v>
      </c>
      <c r="J7" s="1507"/>
      <c r="K7" s="1508"/>
      <c r="L7" s="1508"/>
      <c r="M7" s="1478" t="s">
        <v>120</v>
      </c>
      <c r="N7" s="1479"/>
      <c r="O7" s="1480"/>
      <c r="P7" s="1509" t="s">
        <v>97</v>
      </c>
      <c r="Q7" s="1504"/>
    </row>
    <row r="8" spans="1:257" ht="53.25" customHeight="1" thickBot="1" x14ac:dyDescent="0.35">
      <c r="B8" s="1490"/>
      <c r="C8" s="1486"/>
      <c r="D8" s="1497"/>
      <c r="E8" s="1493"/>
      <c r="F8" s="1493"/>
      <c r="G8" s="1500"/>
      <c r="H8" s="1456"/>
      <c r="I8" s="261" t="s">
        <v>36</v>
      </c>
      <c r="J8" s="226" t="s">
        <v>573</v>
      </c>
      <c r="K8" s="227" t="s">
        <v>38</v>
      </c>
      <c r="L8" s="227" t="s">
        <v>308</v>
      </c>
      <c r="M8" s="226" t="s">
        <v>181</v>
      </c>
      <c r="N8" s="227" t="s">
        <v>121</v>
      </c>
      <c r="O8" s="226" t="s">
        <v>182</v>
      </c>
      <c r="P8" s="1510"/>
      <c r="Q8" s="1505"/>
    </row>
    <row r="9" spans="1:257" s="229" customFormat="1" ht="22.5" customHeight="1" x14ac:dyDescent="0.35">
      <c r="A9" s="236">
        <v>1</v>
      </c>
      <c r="B9" s="228">
        <v>18</v>
      </c>
      <c r="C9" s="235" t="s">
        <v>14</v>
      </c>
      <c r="D9" s="257"/>
      <c r="E9" s="159"/>
      <c r="F9" s="157"/>
      <c r="G9" s="158"/>
      <c r="H9" s="262"/>
      <c r="I9" s="271"/>
      <c r="J9" s="272"/>
      <c r="K9" s="272"/>
      <c r="L9" s="272"/>
      <c r="M9" s="272"/>
      <c r="N9" s="272"/>
      <c r="O9" s="1036"/>
      <c r="P9" s="273"/>
      <c r="Q9" s="230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3"/>
      <c r="BP9" s="153"/>
      <c r="BQ9" s="153"/>
      <c r="BR9" s="153"/>
      <c r="BS9" s="153"/>
      <c r="BT9" s="153"/>
      <c r="BU9" s="153"/>
      <c r="BV9" s="153"/>
      <c r="BW9" s="153"/>
      <c r="BX9" s="153"/>
      <c r="BY9" s="153"/>
      <c r="BZ9" s="153"/>
      <c r="CA9" s="153"/>
      <c r="CB9" s="153"/>
      <c r="CC9" s="153"/>
      <c r="CD9" s="153"/>
      <c r="CE9" s="153"/>
      <c r="CF9" s="153"/>
      <c r="CG9" s="153"/>
      <c r="CH9" s="153"/>
      <c r="CI9" s="153"/>
      <c r="CJ9" s="153"/>
      <c r="CK9" s="153"/>
      <c r="CL9" s="153"/>
      <c r="CM9" s="153"/>
      <c r="CN9" s="153"/>
      <c r="CO9" s="153"/>
      <c r="CP9" s="153"/>
      <c r="CQ9" s="153"/>
      <c r="CR9" s="153"/>
      <c r="CS9" s="153"/>
      <c r="CT9" s="153"/>
      <c r="CU9" s="153"/>
      <c r="CV9" s="153"/>
      <c r="CW9" s="153"/>
      <c r="CX9" s="153"/>
      <c r="CY9" s="153"/>
      <c r="CZ9" s="153"/>
      <c r="DA9" s="153"/>
      <c r="DB9" s="153"/>
      <c r="DC9" s="153"/>
      <c r="DD9" s="153"/>
      <c r="DE9" s="153"/>
      <c r="DF9" s="153"/>
      <c r="DG9" s="153"/>
      <c r="DH9" s="153"/>
      <c r="DI9" s="153"/>
      <c r="DJ9" s="153"/>
      <c r="DK9" s="153"/>
      <c r="DL9" s="153"/>
      <c r="DM9" s="153"/>
      <c r="DN9" s="153"/>
      <c r="DO9" s="153"/>
      <c r="DP9" s="153"/>
      <c r="DQ9" s="153"/>
      <c r="DR9" s="153"/>
      <c r="DS9" s="153"/>
      <c r="DT9" s="153"/>
      <c r="DU9" s="153"/>
      <c r="DV9" s="153"/>
      <c r="DW9" s="153"/>
      <c r="DX9" s="153"/>
      <c r="DY9" s="153"/>
      <c r="DZ9" s="153"/>
      <c r="EA9" s="153"/>
      <c r="EB9" s="153"/>
      <c r="EC9" s="153"/>
      <c r="ED9" s="153"/>
      <c r="EE9" s="153"/>
      <c r="EF9" s="153"/>
      <c r="EG9" s="153"/>
      <c r="EH9" s="153"/>
      <c r="EI9" s="153"/>
      <c r="EJ9" s="153"/>
      <c r="EK9" s="153"/>
      <c r="EL9" s="153"/>
      <c r="EM9" s="153"/>
      <c r="EN9" s="153"/>
      <c r="EO9" s="153"/>
      <c r="EP9" s="153"/>
      <c r="EQ9" s="153"/>
      <c r="ER9" s="153"/>
      <c r="ES9" s="153"/>
      <c r="ET9" s="153"/>
      <c r="EU9" s="153"/>
      <c r="EV9" s="153"/>
      <c r="EW9" s="153"/>
      <c r="EX9" s="153"/>
      <c r="EY9" s="153"/>
      <c r="EZ9" s="153"/>
      <c r="FA9" s="153"/>
      <c r="FB9" s="153"/>
      <c r="FC9" s="153"/>
      <c r="FD9" s="153"/>
      <c r="FE9" s="153"/>
      <c r="FF9" s="153"/>
      <c r="FG9" s="153"/>
      <c r="FH9" s="153"/>
      <c r="FI9" s="153"/>
      <c r="FJ9" s="153"/>
      <c r="FK9" s="153"/>
      <c r="FL9" s="153"/>
      <c r="FM9" s="153"/>
      <c r="FN9" s="153"/>
      <c r="FO9" s="153"/>
      <c r="FP9" s="153"/>
      <c r="FQ9" s="153"/>
      <c r="FR9" s="153"/>
      <c r="FS9" s="153"/>
      <c r="FT9" s="153"/>
      <c r="FU9" s="153"/>
      <c r="FV9" s="153"/>
      <c r="FW9" s="153"/>
      <c r="FX9" s="153"/>
      <c r="FY9" s="153"/>
      <c r="FZ9" s="153"/>
      <c r="GA9" s="153"/>
      <c r="GB9" s="153"/>
      <c r="GC9" s="153"/>
      <c r="GD9" s="153"/>
      <c r="GE9" s="153"/>
      <c r="GF9" s="153"/>
      <c r="GG9" s="153"/>
      <c r="GH9" s="153"/>
      <c r="GI9" s="153"/>
      <c r="GJ9" s="153"/>
      <c r="GK9" s="153"/>
      <c r="GL9" s="153"/>
      <c r="GM9" s="153"/>
      <c r="GN9" s="153"/>
      <c r="GO9" s="153"/>
      <c r="GP9" s="153"/>
      <c r="GQ9" s="153"/>
      <c r="GR9" s="153"/>
      <c r="GS9" s="153"/>
      <c r="GT9" s="153"/>
      <c r="GU9" s="153"/>
      <c r="GV9" s="153"/>
      <c r="GW9" s="153"/>
      <c r="GX9" s="153"/>
      <c r="GY9" s="153"/>
      <c r="GZ9" s="153"/>
      <c r="HA9" s="153"/>
      <c r="HB9" s="153"/>
      <c r="HC9" s="153"/>
      <c r="HD9" s="153"/>
      <c r="HE9" s="153"/>
      <c r="HF9" s="153"/>
      <c r="HG9" s="153"/>
      <c r="HH9" s="153"/>
      <c r="HI9" s="153"/>
      <c r="HJ9" s="153"/>
      <c r="HK9" s="153"/>
      <c r="HL9" s="153"/>
      <c r="HM9" s="153"/>
      <c r="HN9" s="153"/>
      <c r="HO9" s="153"/>
      <c r="HP9" s="153"/>
      <c r="HQ9" s="153"/>
      <c r="HR9" s="153"/>
      <c r="HS9" s="153"/>
      <c r="HT9" s="153"/>
      <c r="HU9" s="153"/>
      <c r="HV9" s="153"/>
      <c r="HW9" s="153"/>
      <c r="HX9" s="153"/>
      <c r="HY9" s="153"/>
      <c r="HZ9" s="153"/>
      <c r="IA9" s="153"/>
      <c r="IB9" s="153"/>
      <c r="IC9" s="153"/>
      <c r="ID9" s="153"/>
      <c r="IE9" s="153"/>
      <c r="IF9" s="153"/>
      <c r="IG9" s="153"/>
      <c r="IH9" s="153"/>
      <c r="II9" s="153"/>
      <c r="IJ9" s="153"/>
      <c r="IK9" s="153"/>
      <c r="IL9" s="153"/>
      <c r="IM9" s="153"/>
      <c r="IN9" s="153"/>
      <c r="IO9" s="153"/>
      <c r="IP9" s="153"/>
      <c r="IQ9" s="153"/>
      <c r="IR9" s="153"/>
      <c r="IS9" s="153"/>
      <c r="IT9" s="153"/>
      <c r="IU9" s="153"/>
      <c r="IV9" s="153"/>
      <c r="IW9" s="153"/>
    </row>
    <row r="10" spans="1:257" s="229" customFormat="1" ht="36" customHeight="1" x14ac:dyDescent="0.35">
      <c r="A10" s="236">
        <v>2</v>
      </c>
      <c r="B10" s="234"/>
      <c r="C10" s="154">
        <v>1</v>
      </c>
      <c r="D10" s="1012" t="s">
        <v>382</v>
      </c>
      <c r="E10" s="633">
        <f>F10+G10+P11+Q11</f>
        <v>91029</v>
      </c>
      <c r="F10" s="633">
        <v>66839</v>
      </c>
      <c r="G10" s="634">
        <v>6687</v>
      </c>
      <c r="H10" s="1040" t="s">
        <v>24</v>
      </c>
      <c r="I10" s="321"/>
      <c r="J10" s="1041"/>
      <c r="K10" s="1041"/>
      <c r="L10" s="1041"/>
      <c r="M10" s="1041"/>
      <c r="N10" s="1042"/>
      <c r="O10" s="1043"/>
      <c r="P10" s="1044"/>
      <c r="Q10" s="231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  <c r="BM10" s="153"/>
      <c r="BN10" s="153"/>
      <c r="BO10" s="153"/>
      <c r="BP10" s="153"/>
      <c r="BQ10" s="153"/>
      <c r="BR10" s="153"/>
      <c r="BS10" s="153"/>
      <c r="BT10" s="153"/>
      <c r="BU10" s="153"/>
      <c r="BV10" s="153"/>
      <c r="BW10" s="153"/>
      <c r="BX10" s="153"/>
      <c r="BY10" s="153"/>
      <c r="BZ10" s="153"/>
      <c r="CA10" s="153"/>
      <c r="CB10" s="153"/>
      <c r="CC10" s="153"/>
      <c r="CD10" s="153"/>
      <c r="CE10" s="153"/>
      <c r="CF10" s="153"/>
      <c r="CG10" s="153"/>
      <c r="CH10" s="153"/>
      <c r="CI10" s="153"/>
      <c r="CJ10" s="153"/>
      <c r="CK10" s="153"/>
      <c r="CL10" s="153"/>
      <c r="CM10" s="153"/>
      <c r="CN10" s="153"/>
      <c r="CO10" s="153"/>
      <c r="CP10" s="153"/>
      <c r="CQ10" s="153"/>
      <c r="CR10" s="153"/>
      <c r="CS10" s="153"/>
      <c r="CT10" s="153"/>
      <c r="CU10" s="153"/>
      <c r="CV10" s="153"/>
      <c r="CW10" s="153"/>
      <c r="CX10" s="153"/>
      <c r="CY10" s="153"/>
      <c r="CZ10" s="153"/>
      <c r="DA10" s="153"/>
      <c r="DB10" s="153"/>
      <c r="DC10" s="153"/>
      <c r="DD10" s="153"/>
      <c r="DE10" s="153"/>
      <c r="DF10" s="153"/>
      <c r="DG10" s="153"/>
      <c r="DH10" s="153"/>
      <c r="DI10" s="153"/>
      <c r="DJ10" s="153"/>
      <c r="DK10" s="153"/>
      <c r="DL10" s="153"/>
      <c r="DM10" s="153"/>
      <c r="DN10" s="153"/>
      <c r="DO10" s="153"/>
      <c r="DP10" s="153"/>
      <c r="DQ10" s="153"/>
      <c r="DR10" s="153"/>
      <c r="DS10" s="153"/>
      <c r="DT10" s="153"/>
      <c r="DU10" s="153"/>
      <c r="DV10" s="153"/>
      <c r="DW10" s="153"/>
      <c r="DX10" s="153"/>
      <c r="DY10" s="153"/>
      <c r="DZ10" s="153"/>
      <c r="EA10" s="153"/>
      <c r="EB10" s="153"/>
      <c r="EC10" s="153"/>
      <c r="ED10" s="153"/>
      <c r="EE10" s="153"/>
      <c r="EF10" s="153"/>
      <c r="EG10" s="153"/>
      <c r="EH10" s="153"/>
      <c r="EI10" s="153"/>
      <c r="EJ10" s="153"/>
      <c r="EK10" s="153"/>
      <c r="EL10" s="153"/>
      <c r="EM10" s="153"/>
      <c r="EN10" s="153"/>
      <c r="EO10" s="153"/>
      <c r="EP10" s="153"/>
      <c r="EQ10" s="153"/>
      <c r="ER10" s="153"/>
      <c r="ES10" s="153"/>
      <c r="ET10" s="153"/>
      <c r="EU10" s="153"/>
      <c r="EV10" s="153"/>
      <c r="EW10" s="153"/>
      <c r="EX10" s="153"/>
      <c r="EY10" s="153"/>
      <c r="EZ10" s="153"/>
      <c r="FA10" s="153"/>
      <c r="FB10" s="153"/>
      <c r="FC10" s="153"/>
      <c r="FD10" s="153"/>
      <c r="FE10" s="153"/>
      <c r="FF10" s="153"/>
      <c r="FG10" s="153"/>
      <c r="FH10" s="153"/>
      <c r="FI10" s="153"/>
      <c r="FJ10" s="153"/>
      <c r="FK10" s="153"/>
      <c r="FL10" s="153"/>
      <c r="FM10" s="153"/>
      <c r="FN10" s="153"/>
      <c r="FO10" s="153"/>
      <c r="FP10" s="153"/>
      <c r="FQ10" s="153"/>
      <c r="FR10" s="153"/>
      <c r="FS10" s="153"/>
      <c r="FT10" s="153"/>
      <c r="FU10" s="153"/>
      <c r="FV10" s="153"/>
      <c r="FW10" s="153"/>
      <c r="FX10" s="153"/>
      <c r="FY10" s="153"/>
      <c r="FZ10" s="153"/>
      <c r="GA10" s="153"/>
      <c r="GB10" s="153"/>
      <c r="GC10" s="153"/>
      <c r="GD10" s="153"/>
      <c r="GE10" s="153"/>
      <c r="GF10" s="153"/>
      <c r="GG10" s="153"/>
      <c r="GH10" s="153"/>
      <c r="GI10" s="153"/>
      <c r="GJ10" s="153"/>
      <c r="GK10" s="153"/>
      <c r="GL10" s="153"/>
      <c r="GM10" s="153"/>
      <c r="GN10" s="153"/>
      <c r="GO10" s="153"/>
      <c r="GP10" s="153"/>
      <c r="GQ10" s="153"/>
      <c r="GR10" s="153"/>
      <c r="GS10" s="153"/>
      <c r="GT10" s="153"/>
      <c r="GU10" s="153"/>
      <c r="GV10" s="153"/>
      <c r="GW10" s="153"/>
      <c r="GX10" s="153"/>
      <c r="GY10" s="153"/>
      <c r="GZ10" s="153"/>
      <c r="HA10" s="153"/>
      <c r="HB10" s="153"/>
      <c r="HC10" s="153"/>
      <c r="HD10" s="153"/>
      <c r="HE10" s="153"/>
      <c r="HF10" s="153"/>
      <c r="HG10" s="153"/>
      <c r="HH10" s="153"/>
      <c r="HI10" s="153"/>
      <c r="HJ10" s="153"/>
      <c r="HK10" s="153"/>
      <c r="HL10" s="153"/>
      <c r="HM10" s="153"/>
      <c r="HN10" s="153"/>
      <c r="HO10" s="153"/>
      <c r="HP10" s="153"/>
      <c r="HQ10" s="153"/>
      <c r="HR10" s="153"/>
      <c r="HS10" s="153"/>
      <c r="HT10" s="153"/>
      <c r="HU10" s="153"/>
      <c r="HV10" s="153"/>
      <c r="HW10" s="153"/>
      <c r="HX10" s="153"/>
      <c r="HY10" s="153"/>
      <c r="HZ10" s="153"/>
      <c r="IA10" s="153"/>
      <c r="IB10" s="153"/>
      <c r="IC10" s="153"/>
      <c r="ID10" s="153"/>
      <c r="IE10" s="153"/>
      <c r="IF10" s="153"/>
      <c r="IG10" s="153"/>
      <c r="IH10" s="153"/>
      <c r="II10" s="153"/>
      <c r="IJ10" s="153"/>
      <c r="IK10" s="153"/>
      <c r="IL10" s="153"/>
      <c r="IM10" s="153"/>
      <c r="IN10" s="153"/>
      <c r="IO10" s="153"/>
      <c r="IP10" s="153"/>
      <c r="IQ10" s="153"/>
      <c r="IR10" s="153"/>
      <c r="IS10" s="153"/>
      <c r="IT10" s="153"/>
      <c r="IU10" s="153"/>
      <c r="IV10" s="153"/>
      <c r="IW10" s="153"/>
    </row>
    <row r="11" spans="1:257" ht="18" customHeight="1" x14ac:dyDescent="0.35">
      <c r="A11" s="236">
        <v>3</v>
      </c>
      <c r="B11" s="1045"/>
      <c r="C11" s="166"/>
      <c r="D11" s="260" t="s">
        <v>238</v>
      </c>
      <c r="E11" s="161"/>
      <c r="F11" s="161"/>
      <c r="G11" s="1046"/>
      <c r="H11" s="263"/>
      <c r="I11" s="321"/>
      <c r="J11" s="1041"/>
      <c r="K11" s="1041">
        <v>17503</v>
      </c>
      <c r="L11" s="1041"/>
      <c r="M11" s="1041"/>
      <c r="N11" s="1042"/>
      <c r="O11" s="1043"/>
      <c r="P11" s="258">
        <f>SUM(I11:O11)</f>
        <v>17503</v>
      </c>
      <c r="Q11" s="231"/>
    </row>
    <row r="12" spans="1:257" ht="35.25" customHeight="1" x14ac:dyDescent="0.35">
      <c r="A12" s="236">
        <v>4</v>
      </c>
      <c r="B12" s="1047"/>
      <c r="C12" s="1048">
        <v>16</v>
      </c>
      <c r="D12" s="320" t="s">
        <v>426</v>
      </c>
      <c r="E12" s="633">
        <f>F12+G12+P13+Q13+409</f>
        <v>27010</v>
      </c>
      <c r="F12" s="1049">
        <f>3451+9071</f>
        <v>12522</v>
      </c>
      <c r="G12" s="1050">
        <v>13397</v>
      </c>
      <c r="H12" s="668" t="s">
        <v>24</v>
      </c>
      <c r="I12" s="1051"/>
      <c r="J12" s="1051"/>
      <c r="K12" s="1051"/>
      <c r="L12" s="1051"/>
      <c r="M12" s="1051"/>
      <c r="N12" s="1052"/>
      <c r="O12" s="1053"/>
      <c r="P12" s="1054"/>
      <c r="Q12" s="1055"/>
    </row>
    <row r="13" spans="1:257" s="229" customFormat="1" ht="18" customHeight="1" x14ac:dyDescent="0.35">
      <c r="A13" s="236">
        <v>5</v>
      </c>
      <c r="B13" s="1047"/>
      <c r="C13" s="1048"/>
      <c r="D13" s="1056" t="s">
        <v>238</v>
      </c>
      <c r="E13" s="1057"/>
      <c r="F13" s="1057"/>
      <c r="G13" s="1058"/>
      <c r="H13" s="274"/>
      <c r="I13" s="1051">
        <v>46</v>
      </c>
      <c r="J13" s="1051">
        <v>61</v>
      </c>
      <c r="K13" s="1051">
        <v>575</v>
      </c>
      <c r="L13" s="1051"/>
      <c r="M13" s="1051"/>
      <c r="N13" s="1052"/>
      <c r="O13" s="1053"/>
      <c r="P13" s="258">
        <f>SUM(I13:O13)</f>
        <v>682</v>
      </c>
      <c r="Q13" s="1059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  <c r="BI13" s="153"/>
      <c r="BJ13" s="153"/>
      <c r="BK13" s="153"/>
      <c r="BL13" s="153"/>
      <c r="BM13" s="153"/>
      <c r="BN13" s="153"/>
      <c r="BO13" s="153"/>
      <c r="BP13" s="153"/>
      <c r="BQ13" s="153"/>
      <c r="BR13" s="153"/>
      <c r="BS13" s="153"/>
      <c r="BT13" s="153"/>
      <c r="BU13" s="153"/>
      <c r="BV13" s="153"/>
      <c r="BW13" s="153"/>
      <c r="BX13" s="153"/>
      <c r="BY13" s="153"/>
      <c r="BZ13" s="153"/>
      <c r="CA13" s="153"/>
      <c r="CB13" s="153"/>
      <c r="CC13" s="153"/>
      <c r="CD13" s="153"/>
      <c r="CE13" s="153"/>
      <c r="CF13" s="153"/>
      <c r="CG13" s="153"/>
      <c r="CH13" s="153"/>
      <c r="CI13" s="153"/>
      <c r="CJ13" s="153"/>
      <c r="CK13" s="153"/>
      <c r="CL13" s="153"/>
      <c r="CM13" s="153"/>
      <c r="CN13" s="153"/>
      <c r="CO13" s="153"/>
      <c r="CP13" s="153"/>
      <c r="CQ13" s="153"/>
      <c r="CR13" s="153"/>
      <c r="CS13" s="153"/>
      <c r="CT13" s="153"/>
      <c r="CU13" s="153"/>
      <c r="CV13" s="153"/>
      <c r="CW13" s="153"/>
      <c r="CX13" s="153"/>
      <c r="CY13" s="153"/>
      <c r="CZ13" s="153"/>
      <c r="DA13" s="153"/>
      <c r="DB13" s="153"/>
      <c r="DC13" s="153"/>
      <c r="DD13" s="153"/>
      <c r="DE13" s="153"/>
      <c r="DF13" s="153"/>
      <c r="DG13" s="153"/>
      <c r="DH13" s="153"/>
      <c r="DI13" s="153"/>
      <c r="DJ13" s="153"/>
      <c r="DK13" s="153"/>
      <c r="DL13" s="153"/>
      <c r="DM13" s="153"/>
      <c r="DN13" s="153"/>
      <c r="DO13" s="153"/>
      <c r="DP13" s="153"/>
      <c r="DQ13" s="153"/>
      <c r="DR13" s="153"/>
      <c r="DS13" s="153"/>
      <c r="DT13" s="153"/>
      <c r="DU13" s="153"/>
      <c r="DV13" s="153"/>
      <c r="DW13" s="153"/>
      <c r="DX13" s="153"/>
      <c r="DY13" s="153"/>
      <c r="DZ13" s="153"/>
      <c r="EA13" s="153"/>
      <c r="EB13" s="153"/>
      <c r="EC13" s="153"/>
      <c r="ED13" s="153"/>
      <c r="EE13" s="153"/>
      <c r="EF13" s="153"/>
      <c r="EG13" s="153"/>
      <c r="EH13" s="153"/>
      <c r="EI13" s="153"/>
      <c r="EJ13" s="153"/>
      <c r="EK13" s="153"/>
      <c r="EL13" s="153"/>
      <c r="EM13" s="153"/>
      <c r="EN13" s="153"/>
      <c r="EO13" s="153"/>
      <c r="EP13" s="153"/>
      <c r="EQ13" s="153"/>
      <c r="ER13" s="153"/>
      <c r="ES13" s="153"/>
      <c r="ET13" s="153"/>
      <c r="EU13" s="153"/>
      <c r="EV13" s="153"/>
      <c r="EW13" s="153"/>
      <c r="EX13" s="153"/>
      <c r="EY13" s="153"/>
      <c r="EZ13" s="153"/>
      <c r="FA13" s="153"/>
      <c r="FB13" s="153"/>
      <c r="FC13" s="153"/>
      <c r="FD13" s="153"/>
      <c r="FE13" s="153"/>
      <c r="FF13" s="153"/>
      <c r="FG13" s="153"/>
      <c r="FH13" s="153"/>
      <c r="FI13" s="153"/>
      <c r="FJ13" s="153"/>
      <c r="FK13" s="153"/>
      <c r="FL13" s="153"/>
      <c r="FM13" s="153"/>
      <c r="FN13" s="153"/>
      <c r="FO13" s="153"/>
      <c r="FP13" s="153"/>
      <c r="FQ13" s="153"/>
      <c r="FR13" s="153"/>
      <c r="FS13" s="153"/>
      <c r="FT13" s="153"/>
      <c r="FU13" s="153"/>
      <c r="FV13" s="153"/>
      <c r="FW13" s="153"/>
      <c r="FX13" s="153"/>
      <c r="FY13" s="153"/>
      <c r="FZ13" s="153"/>
      <c r="GA13" s="153"/>
      <c r="GB13" s="153"/>
      <c r="GC13" s="153"/>
      <c r="GD13" s="153"/>
      <c r="GE13" s="153"/>
      <c r="GF13" s="153"/>
      <c r="GG13" s="153"/>
      <c r="GH13" s="153"/>
      <c r="GI13" s="153"/>
      <c r="GJ13" s="153"/>
      <c r="GK13" s="153"/>
      <c r="GL13" s="153"/>
      <c r="GM13" s="153"/>
      <c r="GN13" s="153"/>
      <c r="GO13" s="153"/>
      <c r="GP13" s="153"/>
      <c r="GQ13" s="153"/>
      <c r="GR13" s="153"/>
      <c r="GS13" s="153"/>
      <c r="GT13" s="153"/>
      <c r="GU13" s="153"/>
      <c r="GV13" s="153"/>
      <c r="GW13" s="153"/>
      <c r="GX13" s="153"/>
      <c r="GY13" s="153"/>
      <c r="GZ13" s="153"/>
      <c r="HA13" s="153"/>
      <c r="HB13" s="153"/>
      <c r="HC13" s="153"/>
      <c r="HD13" s="153"/>
      <c r="HE13" s="153"/>
      <c r="HF13" s="153"/>
      <c r="HG13" s="153"/>
      <c r="HH13" s="153"/>
      <c r="HI13" s="153"/>
      <c r="HJ13" s="153"/>
      <c r="HK13" s="153"/>
      <c r="HL13" s="153"/>
      <c r="HM13" s="153"/>
      <c r="HN13" s="153"/>
      <c r="HO13" s="153"/>
      <c r="HP13" s="153"/>
      <c r="HQ13" s="153"/>
      <c r="HR13" s="153"/>
      <c r="HS13" s="153"/>
      <c r="HT13" s="153"/>
      <c r="HU13" s="153"/>
      <c r="HV13" s="153"/>
      <c r="HW13" s="153"/>
      <c r="HX13" s="153"/>
      <c r="HY13" s="153"/>
      <c r="HZ13" s="153"/>
      <c r="IA13" s="153"/>
      <c r="IB13" s="153"/>
      <c r="IC13" s="153"/>
      <c r="ID13" s="153"/>
      <c r="IE13" s="153"/>
      <c r="IF13" s="153"/>
      <c r="IG13" s="153"/>
      <c r="IH13" s="153"/>
      <c r="II13" s="153"/>
      <c r="IJ13" s="153"/>
      <c r="IK13" s="153"/>
      <c r="IL13" s="153"/>
      <c r="IM13" s="153"/>
      <c r="IN13" s="153"/>
      <c r="IO13" s="153"/>
      <c r="IP13" s="153"/>
      <c r="IQ13" s="153"/>
      <c r="IR13" s="153"/>
      <c r="IS13" s="153"/>
      <c r="IT13" s="153"/>
      <c r="IU13" s="153"/>
      <c r="IV13" s="153"/>
      <c r="IW13" s="153"/>
    </row>
    <row r="14" spans="1:257" ht="66" x14ac:dyDescent="0.35">
      <c r="A14" s="236">
        <v>6</v>
      </c>
      <c r="B14" s="1047"/>
      <c r="C14" s="1048">
        <v>17</v>
      </c>
      <c r="D14" s="320" t="s">
        <v>428</v>
      </c>
      <c r="E14" s="633">
        <f>F14+G14+P15+Q15+543</f>
        <v>25315</v>
      </c>
      <c r="F14" s="1049">
        <f>3651+8037</f>
        <v>11688</v>
      </c>
      <c r="G14" s="1050">
        <v>8860</v>
      </c>
      <c r="H14" s="668" t="s">
        <v>24</v>
      </c>
      <c r="I14" s="1051"/>
      <c r="J14" s="1051"/>
      <c r="K14" s="1051"/>
      <c r="L14" s="1051"/>
      <c r="M14" s="1051"/>
      <c r="N14" s="1052"/>
      <c r="O14" s="1053"/>
      <c r="P14" s="1054"/>
      <c r="Q14" s="1055"/>
    </row>
    <row r="15" spans="1:257" s="229" customFormat="1" ht="18" customHeight="1" x14ac:dyDescent="0.35">
      <c r="A15" s="236">
        <v>7</v>
      </c>
      <c r="B15" s="1047"/>
      <c r="C15" s="1048"/>
      <c r="D15" s="1056" t="s">
        <v>238</v>
      </c>
      <c r="E15" s="1057"/>
      <c r="F15" s="1057"/>
      <c r="G15" s="1058"/>
      <c r="H15" s="274"/>
      <c r="I15" s="1051">
        <v>127</v>
      </c>
      <c r="J15" s="1051">
        <v>88</v>
      </c>
      <c r="K15" s="1051">
        <v>4009</v>
      </c>
      <c r="L15" s="1051"/>
      <c r="M15" s="1051"/>
      <c r="N15" s="1052"/>
      <c r="O15" s="1053"/>
      <c r="P15" s="258">
        <f>SUM(I15:O15)</f>
        <v>4224</v>
      </c>
      <c r="Q15" s="1059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  <c r="BJ15" s="153"/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3"/>
      <c r="CN15" s="153"/>
      <c r="CO15" s="153"/>
      <c r="CP15" s="153"/>
      <c r="CQ15" s="153"/>
      <c r="CR15" s="153"/>
      <c r="CS15" s="153"/>
      <c r="CT15" s="153"/>
      <c r="CU15" s="153"/>
      <c r="CV15" s="153"/>
      <c r="CW15" s="153"/>
      <c r="CX15" s="153"/>
      <c r="CY15" s="153"/>
      <c r="CZ15" s="153"/>
      <c r="DA15" s="153"/>
      <c r="DB15" s="153"/>
      <c r="DC15" s="153"/>
      <c r="DD15" s="153"/>
      <c r="DE15" s="153"/>
      <c r="DF15" s="153"/>
      <c r="DG15" s="153"/>
      <c r="DH15" s="153"/>
      <c r="DI15" s="153"/>
      <c r="DJ15" s="153"/>
      <c r="DK15" s="153"/>
      <c r="DL15" s="153"/>
      <c r="DM15" s="153"/>
      <c r="DN15" s="153"/>
      <c r="DO15" s="153"/>
      <c r="DP15" s="153"/>
      <c r="DQ15" s="153"/>
      <c r="DR15" s="153"/>
      <c r="DS15" s="153"/>
      <c r="DT15" s="153"/>
      <c r="DU15" s="153"/>
      <c r="DV15" s="153"/>
      <c r="DW15" s="153"/>
      <c r="DX15" s="153"/>
      <c r="DY15" s="153"/>
      <c r="DZ15" s="153"/>
      <c r="EA15" s="153"/>
      <c r="EB15" s="153"/>
      <c r="EC15" s="153"/>
      <c r="ED15" s="153"/>
      <c r="EE15" s="153"/>
      <c r="EF15" s="153"/>
      <c r="EG15" s="153"/>
      <c r="EH15" s="153"/>
      <c r="EI15" s="153"/>
      <c r="EJ15" s="153"/>
      <c r="EK15" s="153"/>
      <c r="EL15" s="153"/>
      <c r="EM15" s="153"/>
      <c r="EN15" s="153"/>
      <c r="EO15" s="153"/>
      <c r="EP15" s="153"/>
      <c r="EQ15" s="153"/>
      <c r="ER15" s="153"/>
      <c r="ES15" s="153"/>
      <c r="ET15" s="153"/>
      <c r="EU15" s="153"/>
      <c r="EV15" s="153"/>
      <c r="EW15" s="153"/>
      <c r="EX15" s="153"/>
      <c r="EY15" s="153"/>
      <c r="EZ15" s="153"/>
      <c r="FA15" s="153"/>
      <c r="FB15" s="153"/>
      <c r="FC15" s="153"/>
      <c r="FD15" s="153"/>
      <c r="FE15" s="153"/>
      <c r="FF15" s="153"/>
      <c r="FG15" s="153"/>
      <c r="FH15" s="153"/>
      <c r="FI15" s="153"/>
      <c r="FJ15" s="153"/>
      <c r="FK15" s="153"/>
      <c r="FL15" s="153"/>
      <c r="FM15" s="153"/>
      <c r="FN15" s="153"/>
      <c r="FO15" s="153"/>
      <c r="FP15" s="153"/>
      <c r="FQ15" s="153"/>
      <c r="FR15" s="153"/>
      <c r="FS15" s="153"/>
      <c r="FT15" s="153"/>
      <c r="FU15" s="153"/>
      <c r="FV15" s="153"/>
      <c r="FW15" s="153"/>
      <c r="FX15" s="153"/>
      <c r="FY15" s="153"/>
      <c r="FZ15" s="153"/>
      <c r="GA15" s="153"/>
      <c r="GB15" s="153"/>
      <c r="GC15" s="153"/>
      <c r="GD15" s="153"/>
      <c r="GE15" s="153"/>
      <c r="GF15" s="153"/>
      <c r="GG15" s="153"/>
      <c r="GH15" s="153"/>
      <c r="GI15" s="153"/>
      <c r="GJ15" s="153"/>
      <c r="GK15" s="153"/>
      <c r="GL15" s="153"/>
      <c r="GM15" s="153"/>
      <c r="GN15" s="153"/>
      <c r="GO15" s="153"/>
      <c r="GP15" s="153"/>
      <c r="GQ15" s="153"/>
      <c r="GR15" s="153"/>
      <c r="GS15" s="153"/>
      <c r="GT15" s="153"/>
      <c r="GU15" s="153"/>
      <c r="GV15" s="153"/>
      <c r="GW15" s="153"/>
      <c r="GX15" s="153"/>
      <c r="GY15" s="153"/>
      <c r="GZ15" s="153"/>
      <c r="HA15" s="153"/>
      <c r="HB15" s="153"/>
      <c r="HC15" s="153"/>
      <c r="HD15" s="153"/>
      <c r="HE15" s="153"/>
      <c r="HF15" s="153"/>
      <c r="HG15" s="153"/>
      <c r="HH15" s="153"/>
      <c r="HI15" s="153"/>
      <c r="HJ15" s="153"/>
      <c r="HK15" s="153"/>
      <c r="HL15" s="153"/>
      <c r="HM15" s="153"/>
      <c r="HN15" s="153"/>
      <c r="HO15" s="153"/>
      <c r="HP15" s="153"/>
      <c r="HQ15" s="153"/>
      <c r="HR15" s="153"/>
      <c r="HS15" s="153"/>
      <c r="HT15" s="153"/>
      <c r="HU15" s="153"/>
      <c r="HV15" s="153"/>
      <c r="HW15" s="153"/>
      <c r="HX15" s="153"/>
      <c r="HY15" s="153"/>
      <c r="HZ15" s="153"/>
      <c r="IA15" s="153"/>
      <c r="IB15" s="153"/>
      <c r="IC15" s="153"/>
      <c r="ID15" s="153"/>
      <c r="IE15" s="153"/>
      <c r="IF15" s="153"/>
      <c r="IG15" s="153"/>
      <c r="IH15" s="153"/>
      <c r="II15" s="153"/>
      <c r="IJ15" s="153"/>
      <c r="IK15" s="153"/>
      <c r="IL15" s="153"/>
      <c r="IM15" s="153"/>
      <c r="IN15" s="153"/>
      <c r="IO15" s="153"/>
      <c r="IP15" s="153"/>
      <c r="IQ15" s="153"/>
      <c r="IR15" s="153"/>
      <c r="IS15" s="153"/>
      <c r="IT15" s="153"/>
      <c r="IU15" s="153"/>
      <c r="IV15" s="153"/>
      <c r="IW15" s="153"/>
    </row>
    <row r="16" spans="1:257" s="229" customFormat="1" ht="22.5" customHeight="1" x14ac:dyDescent="0.35">
      <c r="A16" s="236">
        <v>8</v>
      </c>
      <c r="B16" s="1047"/>
      <c r="C16" s="1060">
        <v>18</v>
      </c>
      <c r="D16" s="155" t="s">
        <v>430</v>
      </c>
      <c r="E16" s="633">
        <f>F16+G16+P17+Q17+342+6168</f>
        <v>71400</v>
      </c>
      <c r="F16" s="1049">
        <v>14154</v>
      </c>
      <c r="G16" s="1050">
        <v>26531</v>
      </c>
      <c r="H16" s="668" t="s">
        <v>24</v>
      </c>
      <c r="I16" s="1051"/>
      <c r="J16" s="1051"/>
      <c r="K16" s="1051"/>
      <c r="L16" s="1051"/>
      <c r="M16" s="1051"/>
      <c r="N16" s="1052"/>
      <c r="O16" s="1053"/>
      <c r="P16" s="1054"/>
      <c r="Q16" s="1055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153"/>
      <c r="BM16" s="153"/>
      <c r="BN16" s="153"/>
      <c r="BO16" s="153"/>
      <c r="BP16" s="153"/>
      <c r="BQ16" s="153"/>
      <c r="BR16" s="153"/>
      <c r="BS16" s="153"/>
      <c r="BT16" s="153"/>
      <c r="BU16" s="153"/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3"/>
      <c r="CO16" s="153"/>
      <c r="CP16" s="153"/>
      <c r="CQ16" s="153"/>
      <c r="CR16" s="153"/>
      <c r="CS16" s="153"/>
      <c r="CT16" s="153"/>
      <c r="CU16" s="153"/>
      <c r="CV16" s="153"/>
      <c r="CW16" s="153"/>
      <c r="CX16" s="153"/>
      <c r="CY16" s="153"/>
      <c r="CZ16" s="153"/>
      <c r="DA16" s="153"/>
      <c r="DB16" s="153"/>
      <c r="DC16" s="153"/>
      <c r="DD16" s="153"/>
      <c r="DE16" s="153"/>
      <c r="DF16" s="153"/>
      <c r="DG16" s="153"/>
      <c r="DH16" s="153"/>
      <c r="DI16" s="153"/>
      <c r="DJ16" s="153"/>
      <c r="DK16" s="153"/>
      <c r="DL16" s="153"/>
      <c r="DM16" s="153"/>
      <c r="DN16" s="153"/>
      <c r="DO16" s="153"/>
      <c r="DP16" s="153"/>
      <c r="DQ16" s="153"/>
      <c r="DR16" s="153"/>
      <c r="DS16" s="153"/>
      <c r="DT16" s="153"/>
      <c r="DU16" s="153"/>
      <c r="DV16" s="153"/>
      <c r="DW16" s="153"/>
      <c r="DX16" s="153"/>
      <c r="DY16" s="153"/>
      <c r="DZ16" s="153"/>
      <c r="EA16" s="153"/>
      <c r="EB16" s="153"/>
      <c r="EC16" s="153"/>
      <c r="ED16" s="153"/>
      <c r="EE16" s="153"/>
      <c r="EF16" s="153"/>
      <c r="EG16" s="153"/>
      <c r="EH16" s="153"/>
      <c r="EI16" s="153"/>
      <c r="EJ16" s="153"/>
      <c r="EK16" s="153"/>
      <c r="EL16" s="153"/>
      <c r="EM16" s="153"/>
      <c r="EN16" s="153"/>
      <c r="EO16" s="153"/>
      <c r="EP16" s="153"/>
      <c r="EQ16" s="153"/>
      <c r="ER16" s="153"/>
      <c r="ES16" s="153"/>
      <c r="ET16" s="153"/>
      <c r="EU16" s="153"/>
      <c r="EV16" s="153"/>
      <c r="EW16" s="153"/>
      <c r="EX16" s="153"/>
      <c r="EY16" s="153"/>
      <c r="EZ16" s="153"/>
      <c r="FA16" s="153"/>
      <c r="FB16" s="153"/>
      <c r="FC16" s="153"/>
      <c r="FD16" s="153"/>
      <c r="FE16" s="153"/>
      <c r="FF16" s="153"/>
      <c r="FG16" s="153"/>
      <c r="FH16" s="153"/>
      <c r="FI16" s="153"/>
      <c r="FJ16" s="153"/>
      <c r="FK16" s="153"/>
      <c r="FL16" s="153"/>
      <c r="FM16" s="153"/>
      <c r="FN16" s="153"/>
      <c r="FO16" s="153"/>
      <c r="FP16" s="153"/>
      <c r="FQ16" s="153"/>
      <c r="FR16" s="153"/>
      <c r="FS16" s="153"/>
      <c r="FT16" s="153"/>
      <c r="FU16" s="153"/>
      <c r="FV16" s="153"/>
      <c r="FW16" s="153"/>
      <c r="FX16" s="153"/>
      <c r="FY16" s="153"/>
      <c r="FZ16" s="153"/>
      <c r="GA16" s="153"/>
      <c r="GB16" s="153"/>
      <c r="GC16" s="153"/>
      <c r="GD16" s="153"/>
      <c r="GE16" s="153"/>
      <c r="GF16" s="153"/>
      <c r="GG16" s="153"/>
      <c r="GH16" s="153"/>
      <c r="GI16" s="153"/>
      <c r="GJ16" s="153"/>
      <c r="GK16" s="153"/>
      <c r="GL16" s="153"/>
      <c r="GM16" s="153"/>
      <c r="GN16" s="153"/>
      <c r="GO16" s="153"/>
      <c r="GP16" s="153"/>
      <c r="GQ16" s="153"/>
      <c r="GR16" s="153"/>
      <c r="GS16" s="153"/>
      <c r="GT16" s="153"/>
      <c r="GU16" s="153"/>
      <c r="GV16" s="153"/>
      <c r="GW16" s="153"/>
      <c r="GX16" s="153"/>
      <c r="GY16" s="153"/>
      <c r="GZ16" s="153"/>
      <c r="HA16" s="153"/>
      <c r="HB16" s="153"/>
      <c r="HC16" s="153"/>
      <c r="HD16" s="153"/>
      <c r="HE16" s="153"/>
      <c r="HF16" s="153"/>
      <c r="HG16" s="153"/>
      <c r="HH16" s="153"/>
      <c r="HI16" s="153"/>
      <c r="HJ16" s="153"/>
      <c r="HK16" s="153"/>
      <c r="HL16" s="153"/>
      <c r="HM16" s="153"/>
      <c r="HN16" s="153"/>
      <c r="HO16" s="153"/>
      <c r="HP16" s="153"/>
      <c r="HQ16" s="153"/>
      <c r="HR16" s="153"/>
      <c r="HS16" s="153"/>
      <c r="HT16" s="153"/>
      <c r="HU16" s="153"/>
      <c r="HV16" s="153"/>
      <c r="HW16" s="153"/>
      <c r="HX16" s="153"/>
      <c r="HY16" s="153"/>
      <c r="HZ16" s="153"/>
      <c r="IA16" s="153"/>
      <c r="IB16" s="153"/>
      <c r="IC16" s="153"/>
      <c r="ID16" s="153"/>
      <c r="IE16" s="153"/>
      <c r="IF16" s="153"/>
      <c r="IG16" s="153"/>
      <c r="IH16" s="153"/>
      <c r="II16" s="153"/>
      <c r="IJ16" s="153"/>
      <c r="IK16" s="153"/>
      <c r="IL16" s="153"/>
      <c r="IM16" s="153"/>
      <c r="IN16" s="153"/>
      <c r="IO16" s="153"/>
      <c r="IP16" s="153"/>
      <c r="IQ16" s="153"/>
      <c r="IR16" s="153"/>
      <c r="IS16" s="153"/>
      <c r="IT16" s="153"/>
      <c r="IU16" s="153"/>
      <c r="IV16" s="153"/>
      <c r="IW16" s="153"/>
    </row>
    <row r="17" spans="1:257" s="229" customFormat="1" ht="18" customHeight="1" x14ac:dyDescent="0.35">
      <c r="A17" s="236">
        <v>9</v>
      </c>
      <c r="B17" s="1047"/>
      <c r="C17" s="1048"/>
      <c r="D17" s="1056" t="s">
        <v>238</v>
      </c>
      <c r="E17" s="1057"/>
      <c r="F17" s="1057"/>
      <c r="G17" s="1058"/>
      <c r="H17" s="274"/>
      <c r="I17" s="1051">
        <v>262</v>
      </c>
      <c r="J17" s="1051">
        <v>40</v>
      </c>
      <c r="K17" s="1051">
        <f>30071-6168</f>
        <v>23903</v>
      </c>
      <c r="L17" s="1051"/>
      <c r="M17" s="1051"/>
      <c r="N17" s="1052"/>
      <c r="O17" s="1053"/>
      <c r="P17" s="258">
        <f>SUM(I17:O17)</f>
        <v>24205</v>
      </c>
      <c r="Q17" s="1059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  <c r="BI17" s="153"/>
      <c r="BJ17" s="153"/>
      <c r="BK17" s="153"/>
      <c r="BL17" s="153"/>
      <c r="BM17" s="153"/>
      <c r="BN17" s="153"/>
      <c r="BO17" s="153"/>
      <c r="BP17" s="153"/>
      <c r="BQ17" s="153"/>
      <c r="BR17" s="153"/>
      <c r="BS17" s="153"/>
      <c r="BT17" s="153"/>
      <c r="BU17" s="153"/>
      <c r="BV17" s="153"/>
      <c r="BW17" s="153"/>
      <c r="BX17" s="153"/>
      <c r="BY17" s="153"/>
      <c r="BZ17" s="153"/>
      <c r="CA17" s="153"/>
      <c r="CB17" s="153"/>
      <c r="CC17" s="153"/>
      <c r="CD17" s="153"/>
      <c r="CE17" s="153"/>
      <c r="CF17" s="153"/>
      <c r="CG17" s="153"/>
      <c r="CH17" s="153"/>
      <c r="CI17" s="153"/>
      <c r="CJ17" s="153"/>
      <c r="CK17" s="153"/>
      <c r="CL17" s="153"/>
      <c r="CM17" s="153"/>
      <c r="CN17" s="153"/>
      <c r="CO17" s="153"/>
      <c r="CP17" s="153"/>
      <c r="CQ17" s="153"/>
      <c r="CR17" s="153"/>
      <c r="CS17" s="153"/>
      <c r="CT17" s="153"/>
      <c r="CU17" s="153"/>
      <c r="CV17" s="153"/>
      <c r="CW17" s="153"/>
      <c r="CX17" s="153"/>
      <c r="CY17" s="153"/>
      <c r="CZ17" s="153"/>
      <c r="DA17" s="153"/>
      <c r="DB17" s="153"/>
      <c r="DC17" s="153"/>
      <c r="DD17" s="153"/>
      <c r="DE17" s="153"/>
      <c r="DF17" s="153"/>
      <c r="DG17" s="153"/>
      <c r="DH17" s="153"/>
      <c r="DI17" s="153"/>
      <c r="DJ17" s="153"/>
      <c r="DK17" s="153"/>
      <c r="DL17" s="153"/>
      <c r="DM17" s="153"/>
      <c r="DN17" s="153"/>
      <c r="DO17" s="153"/>
      <c r="DP17" s="153"/>
      <c r="DQ17" s="153"/>
      <c r="DR17" s="153"/>
      <c r="DS17" s="153"/>
      <c r="DT17" s="153"/>
      <c r="DU17" s="153"/>
      <c r="DV17" s="153"/>
      <c r="DW17" s="153"/>
      <c r="DX17" s="153"/>
      <c r="DY17" s="153"/>
      <c r="DZ17" s="153"/>
      <c r="EA17" s="153"/>
      <c r="EB17" s="153"/>
      <c r="EC17" s="153"/>
      <c r="ED17" s="153"/>
      <c r="EE17" s="153"/>
      <c r="EF17" s="153"/>
      <c r="EG17" s="153"/>
      <c r="EH17" s="153"/>
      <c r="EI17" s="153"/>
      <c r="EJ17" s="153"/>
      <c r="EK17" s="153"/>
      <c r="EL17" s="153"/>
      <c r="EM17" s="153"/>
      <c r="EN17" s="153"/>
      <c r="EO17" s="153"/>
      <c r="EP17" s="153"/>
      <c r="EQ17" s="153"/>
      <c r="ER17" s="153"/>
      <c r="ES17" s="153"/>
      <c r="ET17" s="153"/>
      <c r="EU17" s="153"/>
      <c r="EV17" s="153"/>
      <c r="EW17" s="153"/>
      <c r="EX17" s="153"/>
      <c r="EY17" s="153"/>
      <c r="EZ17" s="153"/>
      <c r="FA17" s="153"/>
      <c r="FB17" s="153"/>
      <c r="FC17" s="153"/>
      <c r="FD17" s="153"/>
      <c r="FE17" s="153"/>
      <c r="FF17" s="153"/>
      <c r="FG17" s="153"/>
      <c r="FH17" s="153"/>
      <c r="FI17" s="153"/>
      <c r="FJ17" s="153"/>
      <c r="FK17" s="153"/>
      <c r="FL17" s="153"/>
      <c r="FM17" s="153"/>
      <c r="FN17" s="153"/>
      <c r="FO17" s="153"/>
      <c r="FP17" s="153"/>
      <c r="FQ17" s="153"/>
      <c r="FR17" s="153"/>
      <c r="FS17" s="153"/>
      <c r="FT17" s="153"/>
      <c r="FU17" s="153"/>
      <c r="FV17" s="153"/>
      <c r="FW17" s="153"/>
      <c r="FX17" s="153"/>
      <c r="FY17" s="153"/>
      <c r="FZ17" s="153"/>
      <c r="GA17" s="153"/>
      <c r="GB17" s="153"/>
      <c r="GC17" s="153"/>
      <c r="GD17" s="153"/>
      <c r="GE17" s="153"/>
      <c r="GF17" s="153"/>
      <c r="GG17" s="153"/>
      <c r="GH17" s="153"/>
      <c r="GI17" s="153"/>
      <c r="GJ17" s="153"/>
      <c r="GK17" s="153"/>
      <c r="GL17" s="153"/>
      <c r="GM17" s="153"/>
      <c r="GN17" s="153"/>
      <c r="GO17" s="153"/>
      <c r="GP17" s="153"/>
      <c r="GQ17" s="153"/>
      <c r="GR17" s="153"/>
      <c r="GS17" s="153"/>
      <c r="GT17" s="153"/>
      <c r="GU17" s="153"/>
      <c r="GV17" s="153"/>
      <c r="GW17" s="153"/>
      <c r="GX17" s="153"/>
      <c r="GY17" s="153"/>
      <c r="GZ17" s="153"/>
      <c r="HA17" s="153"/>
      <c r="HB17" s="153"/>
      <c r="HC17" s="153"/>
      <c r="HD17" s="153"/>
      <c r="HE17" s="153"/>
      <c r="HF17" s="153"/>
      <c r="HG17" s="153"/>
      <c r="HH17" s="153"/>
      <c r="HI17" s="153"/>
      <c r="HJ17" s="153"/>
      <c r="HK17" s="153"/>
      <c r="HL17" s="153"/>
      <c r="HM17" s="153"/>
      <c r="HN17" s="153"/>
      <c r="HO17" s="153"/>
      <c r="HP17" s="153"/>
      <c r="HQ17" s="153"/>
      <c r="HR17" s="153"/>
      <c r="HS17" s="153"/>
      <c r="HT17" s="153"/>
      <c r="HU17" s="153"/>
      <c r="HV17" s="153"/>
      <c r="HW17" s="153"/>
      <c r="HX17" s="153"/>
      <c r="HY17" s="153"/>
      <c r="HZ17" s="153"/>
      <c r="IA17" s="153"/>
      <c r="IB17" s="153"/>
      <c r="IC17" s="153"/>
      <c r="ID17" s="153"/>
      <c r="IE17" s="153"/>
      <c r="IF17" s="153"/>
      <c r="IG17" s="153"/>
      <c r="IH17" s="153"/>
      <c r="II17" s="153"/>
      <c r="IJ17" s="153"/>
      <c r="IK17" s="153"/>
      <c r="IL17" s="153"/>
      <c r="IM17" s="153"/>
      <c r="IN17" s="153"/>
      <c r="IO17" s="153"/>
      <c r="IP17" s="153"/>
      <c r="IQ17" s="153"/>
      <c r="IR17" s="153"/>
      <c r="IS17" s="153"/>
      <c r="IT17" s="153"/>
      <c r="IU17" s="153"/>
      <c r="IV17" s="153"/>
      <c r="IW17" s="153"/>
    </row>
    <row r="18" spans="1:257" ht="22.5" customHeight="1" x14ac:dyDescent="0.35">
      <c r="A18" s="236">
        <v>10</v>
      </c>
      <c r="B18" s="1047"/>
      <c r="C18" s="1060">
        <v>19</v>
      </c>
      <c r="D18" s="155" t="s">
        <v>431</v>
      </c>
      <c r="E18" s="633">
        <f>F18+G18+P19+Q19+1597+14000</f>
        <v>81765</v>
      </c>
      <c r="F18" s="1049">
        <v>8682</v>
      </c>
      <c r="G18" s="1050">
        <v>16769</v>
      </c>
      <c r="H18" s="668" t="s">
        <v>24</v>
      </c>
      <c r="I18" s="1051"/>
      <c r="J18" s="1051"/>
      <c r="K18" s="1051"/>
      <c r="L18" s="1051"/>
      <c r="M18" s="1051"/>
      <c r="N18" s="1052"/>
      <c r="O18" s="1053"/>
      <c r="P18" s="1054"/>
      <c r="Q18" s="1055"/>
    </row>
    <row r="19" spans="1:257" s="229" customFormat="1" ht="18" customHeight="1" x14ac:dyDescent="0.35">
      <c r="A19" s="236">
        <v>11</v>
      </c>
      <c r="B19" s="1047"/>
      <c r="C19" s="1048"/>
      <c r="D19" s="1056" t="s">
        <v>238</v>
      </c>
      <c r="E19" s="1057"/>
      <c r="F19" s="1057"/>
      <c r="G19" s="1058"/>
      <c r="H19" s="274"/>
      <c r="I19" s="1051">
        <v>750</v>
      </c>
      <c r="J19" s="1051">
        <v>84</v>
      </c>
      <c r="K19" s="1051">
        <f>53883-14000</f>
        <v>39883</v>
      </c>
      <c r="L19" s="1051"/>
      <c r="M19" s="1051"/>
      <c r="N19" s="1052"/>
      <c r="O19" s="1053"/>
      <c r="P19" s="258">
        <f>SUM(I19:O19)</f>
        <v>40717</v>
      </c>
      <c r="Q19" s="1059"/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  <c r="BI19" s="153"/>
      <c r="BJ19" s="153"/>
      <c r="BK19" s="153"/>
      <c r="BL19" s="153"/>
      <c r="BM19" s="153"/>
      <c r="BN19" s="153"/>
      <c r="BO19" s="153"/>
      <c r="BP19" s="153"/>
      <c r="BQ19" s="153"/>
      <c r="BR19" s="153"/>
      <c r="BS19" s="153"/>
      <c r="BT19" s="153"/>
      <c r="BU19" s="153"/>
      <c r="BV19" s="153"/>
      <c r="BW19" s="153"/>
      <c r="BX19" s="153"/>
      <c r="BY19" s="153"/>
      <c r="BZ19" s="153"/>
      <c r="CA19" s="153"/>
      <c r="CB19" s="153"/>
      <c r="CC19" s="153"/>
      <c r="CD19" s="153"/>
      <c r="CE19" s="153"/>
      <c r="CF19" s="153"/>
      <c r="CG19" s="153"/>
      <c r="CH19" s="153"/>
      <c r="CI19" s="153"/>
      <c r="CJ19" s="153"/>
      <c r="CK19" s="153"/>
      <c r="CL19" s="153"/>
      <c r="CM19" s="153"/>
      <c r="CN19" s="153"/>
      <c r="CO19" s="153"/>
      <c r="CP19" s="153"/>
      <c r="CQ19" s="153"/>
      <c r="CR19" s="153"/>
      <c r="CS19" s="153"/>
      <c r="CT19" s="153"/>
      <c r="CU19" s="153"/>
      <c r="CV19" s="153"/>
      <c r="CW19" s="153"/>
      <c r="CX19" s="153"/>
      <c r="CY19" s="153"/>
      <c r="CZ19" s="153"/>
      <c r="DA19" s="153"/>
      <c r="DB19" s="153"/>
      <c r="DC19" s="153"/>
      <c r="DD19" s="153"/>
      <c r="DE19" s="153"/>
      <c r="DF19" s="153"/>
      <c r="DG19" s="153"/>
      <c r="DH19" s="153"/>
      <c r="DI19" s="153"/>
      <c r="DJ19" s="153"/>
      <c r="DK19" s="153"/>
      <c r="DL19" s="153"/>
      <c r="DM19" s="153"/>
      <c r="DN19" s="153"/>
      <c r="DO19" s="153"/>
      <c r="DP19" s="153"/>
      <c r="DQ19" s="153"/>
      <c r="DR19" s="153"/>
      <c r="DS19" s="153"/>
      <c r="DT19" s="153"/>
      <c r="DU19" s="153"/>
      <c r="DV19" s="153"/>
      <c r="DW19" s="153"/>
      <c r="DX19" s="153"/>
      <c r="DY19" s="153"/>
      <c r="DZ19" s="153"/>
      <c r="EA19" s="153"/>
      <c r="EB19" s="153"/>
      <c r="EC19" s="153"/>
      <c r="ED19" s="153"/>
      <c r="EE19" s="153"/>
      <c r="EF19" s="153"/>
      <c r="EG19" s="153"/>
      <c r="EH19" s="153"/>
      <c r="EI19" s="153"/>
      <c r="EJ19" s="153"/>
      <c r="EK19" s="153"/>
      <c r="EL19" s="153"/>
      <c r="EM19" s="153"/>
      <c r="EN19" s="153"/>
      <c r="EO19" s="153"/>
      <c r="EP19" s="153"/>
      <c r="EQ19" s="153"/>
      <c r="ER19" s="153"/>
      <c r="ES19" s="153"/>
      <c r="ET19" s="153"/>
      <c r="EU19" s="153"/>
      <c r="EV19" s="153"/>
      <c r="EW19" s="153"/>
      <c r="EX19" s="153"/>
      <c r="EY19" s="153"/>
      <c r="EZ19" s="153"/>
      <c r="FA19" s="153"/>
      <c r="FB19" s="153"/>
      <c r="FC19" s="153"/>
      <c r="FD19" s="153"/>
      <c r="FE19" s="153"/>
      <c r="FF19" s="153"/>
      <c r="FG19" s="153"/>
      <c r="FH19" s="153"/>
      <c r="FI19" s="153"/>
      <c r="FJ19" s="153"/>
      <c r="FK19" s="153"/>
      <c r="FL19" s="153"/>
      <c r="FM19" s="153"/>
      <c r="FN19" s="153"/>
      <c r="FO19" s="153"/>
      <c r="FP19" s="153"/>
      <c r="FQ19" s="153"/>
      <c r="FR19" s="153"/>
      <c r="FS19" s="153"/>
      <c r="FT19" s="153"/>
      <c r="FU19" s="153"/>
      <c r="FV19" s="153"/>
      <c r="FW19" s="153"/>
      <c r="FX19" s="153"/>
      <c r="FY19" s="153"/>
      <c r="FZ19" s="153"/>
      <c r="GA19" s="153"/>
      <c r="GB19" s="153"/>
      <c r="GC19" s="153"/>
      <c r="GD19" s="153"/>
      <c r="GE19" s="153"/>
      <c r="GF19" s="153"/>
      <c r="GG19" s="153"/>
      <c r="GH19" s="153"/>
      <c r="GI19" s="153"/>
      <c r="GJ19" s="153"/>
      <c r="GK19" s="153"/>
      <c r="GL19" s="153"/>
      <c r="GM19" s="153"/>
      <c r="GN19" s="153"/>
      <c r="GO19" s="153"/>
      <c r="GP19" s="153"/>
      <c r="GQ19" s="153"/>
      <c r="GR19" s="153"/>
      <c r="GS19" s="153"/>
      <c r="GT19" s="153"/>
      <c r="GU19" s="153"/>
      <c r="GV19" s="153"/>
      <c r="GW19" s="153"/>
      <c r="GX19" s="153"/>
      <c r="GY19" s="153"/>
      <c r="GZ19" s="153"/>
      <c r="HA19" s="153"/>
      <c r="HB19" s="153"/>
      <c r="HC19" s="153"/>
      <c r="HD19" s="153"/>
      <c r="HE19" s="153"/>
      <c r="HF19" s="153"/>
      <c r="HG19" s="153"/>
      <c r="HH19" s="153"/>
      <c r="HI19" s="153"/>
      <c r="HJ19" s="153"/>
      <c r="HK19" s="153"/>
      <c r="HL19" s="153"/>
      <c r="HM19" s="153"/>
      <c r="HN19" s="153"/>
      <c r="HO19" s="153"/>
      <c r="HP19" s="153"/>
      <c r="HQ19" s="153"/>
      <c r="HR19" s="153"/>
      <c r="HS19" s="153"/>
      <c r="HT19" s="153"/>
      <c r="HU19" s="153"/>
      <c r="HV19" s="153"/>
      <c r="HW19" s="153"/>
      <c r="HX19" s="153"/>
      <c r="HY19" s="153"/>
      <c r="HZ19" s="153"/>
      <c r="IA19" s="153"/>
      <c r="IB19" s="153"/>
      <c r="IC19" s="153"/>
      <c r="ID19" s="153"/>
      <c r="IE19" s="153"/>
      <c r="IF19" s="153"/>
      <c r="IG19" s="153"/>
      <c r="IH19" s="153"/>
      <c r="II19" s="153"/>
      <c r="IJ19" s="153"/>
      <c r="IK19" s="153"/>
      <c r="IL19" s="153"/>
      <c r="IM19" s="153"/>
      <c r="IN19" s="153"/>
      <c r="IO19" s="153"/>
      <c r="IP19" s="153"/>
      <c r="IQ19" s="153"/>
      <c r="IR19" s="153"/>
      <c r="IS19" s="153"/>
      <c r="IT19" s="153"/>
      <c r="IU19" s="153"/>
      <c r="IV19" s="153"/>
      <c r="IW19" s="153"/>
    </row>
    <row r="20" spans="1:257" ht="22.5" customHeight="1" x14ac:dyDescent="0.35">
      <c r="A20" s="236">
        <v>12</v>
      </c>
      <c r="B20" s="1047"/>
      <c r="C20" s="1060">
        <v>20</v>
      </c>
      <c r="D20" s="155" t="s">
        <v>432</v>
      </c>
      <c r="E20" s="633">
        <f>F20+G20+P21+Q21+325+4598</f>
        <v>10220</v>
      </c>
      <c r="F20" s="1057"/>
      <c r="G20" s="1050">
        <v>3712</v>
      </c>
      <c r="H20" s="668" t="s">
        <v>24</v>
      </c>
      <c r="I20" s="1051"/>
      <c r="J20" s="1051"/>
      <c r="K20" s="1051"/>
      <c r="L20" s="1051"/>
      <c r="M20" s="1051"/>
      <c r="N20" s="1052"/>
      <c r="O20" s="1053"/>
      <c r="P20" s="1054"/>
      <c r="Q20" s="1055"/>
    </row>
    <row r="21" spans="1:257" s="229" customFormat="1" ht="18" customHeight="1" x14ac:dyDescent="0.35">
      <c r="A21" s="236">
        <v>13</v>
      </c>
      <c r="B21" s="1047"/>
      <c r="C21" s="1048"/>
      <c r="D21" s="1056" t="s">
        <v>238</v>
      </c>
      <c r="E21" s="1057"/>
      <c r="F21" s="1057"/>
      <c r="G21" s="1058"/>
      <c r="H21" s="274"/>
      <c r="I21" s="1051"/>
      <c r="J21" s="1051"/>
      <c r="K21" s="1051">
        <f>6183-4598</f>
        <v>1585</v>
      </c>
      <c r="L21" s="1051"/>
      <c r="M21" s="1051"/>
      <c r="N21" s="1052"/>
      <c r="O21" s="1053"/>
      <c r="P21" s="258">
        <f>SUM(I21:O21)</f>
        <v>1585</v>
      </c>
      <c r="Q21" s="1059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  <c r="BI21" s="153"/>
      <c r="BJ21" s="153"/>
      <c r="BK21" s="153"/>
      <c r="BL21" s="153"/>
      <c r="BM21" s="153"/>
      <c r="BN21" s="153"/>
      <c r="BO21" s="153"/>
      <c r="BP21" s="153"/>
      <c r="BQ21" s="153"/>
      <c r="BR21" s="153"/>
      <c r="BS21" s="153"/>
      <c r="BT21" s="153"/>
      <c r="BU21" s="153"/>
      <c r="BV21" s="153"/>
      <c r="BW21" s="153"/>
      <c r="BX21" s="153"/>
      <c r="BY21" s="153"/>
      <c r="BZ21" s="153"/>
      <c r="CA21" s="153"/>
      <c r="CB21" s="153"/>
      <c r="CC21" s="153"/>
      <c r="CD21" s="153"/>
      <c r="CE21" s="153"/>
      <c r="CF21" s="153"/>
      <c r="CG21" s="153"/>
      <c r="CH21" s="153"/>
      <c r="CI21" s="153"/>
      <c r="CJ21" s="153"/>
      <c r="CK21" s="153"/>
      <c r="CL21" s="153"/>
      <c r="CM21" s="153"/>
      <c r="CN21" s="153"/>
      <c r="CO21" s="153"/>
      <c r="CP21" s="153"/>
      <c r="CQ21" s="153"/>
      <c r="CR21" s="153"/>
      <c r="CS21" s="153"/>
      <c r="CT21" s="153"/>
      <c r="CU21" s="153"/>
      <c r="CV21" s="153"/>
      <c r="CW21" s="153"/>
      <c r="CX21" s="153"/>
      <c r="CY21" s="153"/>
      <c r="CZ21" s="153"/>
      <c r="DA21" s="153"/>
      <c r="DB21" s="153"/>
      <c r="DC21" s="153"/>
      <c r="DD21" s="153"/>
      <c r="DE21" s="153"/>
      <c r="DF21" s="153"/>
      <c r="DG21" s="153"/>
      <c r="DH21" s="153"/>
      <c r="DI21" s="153"/>
      <c r="DJ21" s="153"/>
      <c r="DK21" s="153"/>
      <c r="DL21" s="153"/>
      <c r="DM21" s="153"/>
      <c r="DN21" s="153"/>
      <c r="DO21" s="153"/>
      <c r="DP21" s="153"/>
      <c r="DQ21" s="153"/>
      <c r="DR21" s="153"/>
      <c r="DS21" s="153"/>
      <c r="DT21" s="153"/>
      <c r="DU21" s="153"/>
      <c r="DV21" s="153"/>
      <c r="DW21" s="153"/>
      <c r="DX21" s="153"/>
      <c r="DY21" s="153"/>
      <c r="DZ21" s="153"/>
      <c r="EA21" s="153"/>
      <c r="EB21" s="153"/>
      <c r="EC21" s="153"/>
      <c r="ED21" s="153"/>
      <c r="EE21" s="153"/>
      <c r="EF21" s="153"/>
      <c r="EG21" s="153"/>
      <c r="EH21" s="153"/>
      <c r="EI21" s="153"/>
      <c r="EJ21" s="153"/>
      <c r="EK21" s="153"/>
      <c r="EL21" s="153"/>
      <c r="EM21" s="153"/>
      <c r="EN21" s="153"/>
      <c r="EO21" s="153"/>
      <c r="EP21" s="153"/>
      <c r="EQ21" s="153"/>
      <c r="ER21" s="153"/>
      <c r="ES21" s="153"/>
      <c r="ET21" s="153"/>
      <c r="EU21" s="153"/>
      <c r="EV21" s="153"/>
      <c r="EW21" s="153"/>
      <c r="EX21" s="153"/>
      <c r="EY21" s="153"/>
      <c r="EZ21" s="153"/>
      <c r="FA21" s="153"/>
      <c r="FB21" s="153"/>
      <c r="FC21" s="153"/>
      <c r="FD21" s="153"/>
      <c r="FE21" s="153"/>
      <c r="FF21" s="153"/>
      <c r="FG21" s="153"/>
      <c r="FH21" s="153"/>
      <c r="FI21" s="153"/>
      <c r="FJ21" s="153"/>
      <c r="FK21" s="153"/>
      <c r="FL21" s="153"/>
      <c r="FM21" s="153"/>
      <c r="FN21" s="153"/>
      <c r="FO21" s="153"/>
      <c r="FP21" s="153"/>
      <c r="FQ21" s="153"/>
      <c r="FR21" s="153"/>
      <c r="FS21" s="153"/>
      <c r="FT21" s="153"/>
      <c r="FU21" s="153"/>
      <c r="FV21" s="153"/>
      <c r="FW21" s="153"/>
      <c r="FX21" s="153"/>
      <c r="FY21" s="153"/>
      <c r="FZ21" s="153"/>
      <c r="GA21" s="153"/>
      <c r="GB21" s="153"/>
      <c r="GC21" s="153"/>
      <c r="GD21" s="153"/>
      <c r="GE21" s="153"/>
      <c r="GF21" s="153"/>
      <c r="GG21" s="153"/>
      <c r="GH21" s="153"/>
      <c r="GI21" s="153"/>
      <c r="GJ21" s="153"/>
      <c r="GK21" s="153"/>
      <c r="GL21" s="153"/>
      <c r="GM21" s="153"/>
      <c r="GN21" s="153"/>
      <c r="GO21" s="153"/>
      <c r="GP21" s="153"/>
      <c r="GQ21" s="153"/>
      <c r="GR21" s="153"/>
      <c r="GS21" s="153"/>
      <c r="GT21" s="153"/>
      <c r="GU21" s="153"/>
      <c r="GV21" s="153"/>
      <c r="GW21" s="153"/>
      <c r="GX21" s="153"/>
      <c r="GY21" s="153"/>
      <c r="GZ21" s="153"/>
      <c r="HA21" s="153"/>
      <c r="HB21" s="153"/>
      <c r="HC21" s="153"/>
      <c r="HD21" s="153"/>
      <c r="HE21" s="153"/>
      <c r="HF21" s="153"/>
      <c r="HG21" s="153"/>
      <c r="HH21" s="153"/>
      <c r="HI21" s="153"/>
      <c r="HJ21" s="153"/>
      <c r="HK21" s="153"/>
      <c r="HL21" s="153"/>
      <c r="HM21" s="153"/>
      <c r="HN21" s="153"/>
      <c r="HO21" s="153"/>
      <c r="HP21" s="153"/>
      <c r="HQ21" s="153"/>
      <c r="HR21" s="153"/>
      <c r="HS21" s="153"/>
      <c r="HT21" s="153"/>
      <c r="HU21" s="153"/>
      <c r="HV21" s="153"/>
      <c r="HW21" s="153"/>
      <c r="HX21" s="153"/>
      <c r="HY21" s="153"/>
      <c r="HZ21" s="153"/>
      <c r="IA21" s="153"/>
      <c r="IB21" s="153"/>
      <c r="IC21" s="153"/>
      <c r="ID21" s="153"/>
      <c r="IE21" s="153"/>
      <c r="IF21" s="153"/>
      <c r="IG21" s="153"/>
      <c r="IH21" s="153"/>
      <c r="II21" s="153"/>
      <c r="IJ21" s="153"/>
      <c r="IK21" s="153"/>
      <c r="IL21" s="153"/>
      <c r="IM21" s="153"/>
      <c r="IN21" s="153"/>
      <c r="IO21" s="153"/>
      <c r="IP21" s="153"/>
      <c r="IQ21" s="153"/>
      <c r="IR21" s="153"/>
      <c r="IS21" s="153"/>
      <c r="IT21" s="153"/>
      <c r="IU21" s="153"/>
      <c r="IV21" s="153"/>
      <c r="IW21" s="153"/>
    </row>
    <row r="22" spans="1:257" ht="33" customHeight="1" x14ac:dyDescent="0.35">
      <c r="A22" s="236">
        <v>14</v>
      </c>
      <c r="B22" s="1047"/>
      <c r="C22" s="1048">
        <v>23</v>
      </c>
      <c r="D22" s="791" t="s">
        <v>502</v>
      </c>
      <c r="E22" s="633">
        <f>F22+G22+P23+Q23</f>
        <v>227212</v>
      </c>
      <c r="F22" s="1057"/>
      <c r="G22" s="1058"/>
      <c r="H22" s="668" t="s">
        <v>24</v>
      </c>
      <c r="I22" s="1051"/>
      <c r="J22" s="1051"/>
      <c r="K22" s="1051"/>
      <c r="L22" s="1051"/>
      <c r="M22" s="1051"/>
      <c r="N22" s="1052"/>
      <c r="O22" s="1053"/>
      <c r="P22" s="1054"/>
      <c r="Q22" s="1055"/>
    </row>
    <row r="23" spans="1:257" ht="18" customHeight="1" x14ac:dyDescent="0.35">
      <c r="A23" s="236">
        <v>15</v>
      </c>
      <c r="B23" s="1047"/>
      <c r="C23" s="1048"/>
      <c r="D23" s="1056" t="s">
        <v>238</v>
      </c>
      <c r="E23" s="1057"/>
      <c r="F23" s="1057"/>
      <c r="G23" s="1058"/>
      <c r="H23" s="263"/>
      <c r="I23" s="321"/>
      <c r="J23" s="321"/>
      <c r="K23" s="321">
        <v>1800</v>
      </c>
      <c r="L23" s="321"/>
      <c r="M23" s="321">
        <v>225412</v>
      </c>
      <c r="N23" s="790"/>
      <c r="O23" s="1037"/>
      <c r="P23" s="258">
        <f>SUM(I23:O23)</f>
        <v>227212</v>
      </c>
      <c r="Q23" s="1061"/>
    </row>
    <row r="24" spans="1:257" ht="22.5" customHeight="1" x14ac:dyDescent="0.35">
      <c r="A24" s="236">
        <v>16</v>
      </c>
      <c r="B24" s="1045"/>
      <c r="C24" s="166">
        <v>24</v>
      </c>
      <c r="D24" s="1062" t="s">
        <v>503</v>
      </c>
      <c r="E24" s="633">
        <f>F24+G24+P25+Q25</f>
        <v>5350</v>
      </c>
      <c r="F24" s="633"/>
      <c r="G24" s="634">
        <v>1431</v>
      </c>
      <c r="H24" s="262" t="s">
        <v>24</v>
      </c>
      <c r="I24" s="789"/>
      <c r="J24" s="1063"/>
      <c r="K24" s="1063"/>
      <c r="L24" s="1063"/>
      <c r="M24" s="1063"/>
      <c r="N24" s="1064"/>
      <c r="O24" s="1065"/>
      <c r="P24" s="1066"/>
      <c r="Q24" s="230"/>
    </row>
    <row r="25" spans="1:257" ht="18" customHeight="1" x14ac:dyDescent="0.35">
      <c r="A25" s="236">
        <v>17</v>
      </c>
      <c r="B25" s="1045"/>
      <c r="C25" s="166"/>
      <c r="D25" s="260" t="s">
        <v>238</v>
      </c>
      <c r="E25" s="161"/>
      <c r="F25" s="161"/>
      <c r="G25" s="1046"/>
      <c r="H25" s="263"/>
      <c r="I25" s="1067"/>
      <c r="J25" s="1068"/>
      <c r="K25" s="1041">
        <v>3919</v>
      </c>
      <c r="L25" s="1041"/>
      <c r="M25" s="1041"/>
      <c r="N25" s="1042"/>
      <c r="O25" s="1043"/>
      <c r="P25" s="258">
        <f>SUM(I25:O25)</f>
        <v>3919</v>
      </c>
      <c r="Q25" s="231"/>
    </row>
    <row r="26" spans="1:257" ht="22.5" customHeight="1" x14ac:dyDescent="0.35">
      <c r="A26" s="236">
        <v>18</v>
      </c>
      <c r="B26" s="1045"/>
      <c r="C26" s="166">
        <v>25</v>
      </c>
      <c r="D26" s="1062" t="s">
        <v>504</v>
      </c>
      <c r="E26" s="633">
        <f>F26+G26+P27+Q27+931+10844</f>
        <v>72000</v>
      </c>
      <c r="F26" s="633"/>
      <c r="G26" s="634">
        <v>4502</v>
      </c>
      <c r="H26" s="263" t="s">
        <v>24</v>
      </c>
      <c r="I26" s="321"/>
      <c r="J26" s="1041"/>
      <c r="K26" s="1041"/>
      <c r="L26" s="1041"/>
      <c r="M26" s="1041"/>
      <c r="N26" s="1042"/>
      <c r="O26" s="1043"/>
      <c r="P26" s="1044"/>
      <c r="Q26" s="231"/>
    </row>
    <row r="27" spans="1:257" ht="18" customHeight="1" x14ac:dyDescent="0.35">
      <c r="A27" s="236">
        <v>19</v>
      </c>
      <c r="B27" s="1045"/>
      <c r="C27" s="166"/>
      <c r="D27" s="260" t="s">
        <v>238</v>
      </c>
      <c r="E27" s="161"/>
      <c r="F27" s="161"/>
      <c r="G27" s="1046"/>
      <c r="H27" s="263"/>
      <c r="I27" s="321">
        <v>95</v>
      </c>
      <c r="J27" s="1041">
        <v>34</v>
      </c>
      <c r="K27" s="1041">
        <f>66438-10844</f>
        <v>55594</v>
      </c>
      <c r="L27" s="1041"/>
      <c r="M27" s="1041"/>
      <c r="N27" s="1041"/>
      <c r="O27" s="1069"/>
      <c r="P27" s="258">
        <f>SUM(I27:O27)</f>
        <v>55723</v>
      </c>
      <c r="Q27" s="1059"/>
    </row>
    <row r="28" spans="1:257" s="229" customFormat="1" ht="22.5" customHeight="1" x14ac:dyDescent="0.35">
      <c r="A28" s="236">
        <v>20</v>
      </c>
      <c r="B28" s="1047"/>
      <c r="C28" s="1060">
        <v>27</v>
      </c>
      <c r="D28" s="1070" t="s">
        <v>505</v>
      </c>
      <c r="E28" s="633">
        <f>F28+G28+P29+Q29+273+8040</f>
        <v>61500</v>
      </c>
      <c r="F28" s="1057"/>
      <c r="G28" s="1050">
        <v>2617</v>
      </c>
      <c r="H28" s="668" t="s">
        <v>24</v>
      </c>
      <c r="I28" s="1051"/>
      <c r="J28" s="1051"/>
      <c r="K28" s="1051"/>
      <c r="L28" s="1051"/>
      <c r="M28" s="1051"/>
      <c r="N28" s="1052"/>
      <c r="O28" s="1053"/>
      <c r="P28" s="1054"/>
      <c r="Q28" s="1055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  <c r="BI28" s="153"/>
      <c r="BJ28" s="153"/>
      <c r="BK28" s="153"/>
      <c r="BL28" s="153"/>
      <c r="BM28" s="153"/>
      <c r="BN28" s="153"/>
      <c r="BO28" s="153"/>
      <c r="BP28" s="153"/>
      <c r="BQ28" s="153"/>
      <c r="BR28" s="153"/>
      <c r="BS28" s="153"/>
      <c r="BT28" s="153"/>
      <c r="BU28" s="153"/>
      <c r="BV28" s="153"/>
      <c r="BW28" s="153"/>
      <c r="BX28" s="153"/>
      <c r="BY28" s="153"/>
      <c r="BZ28" s="153"/>
      <c r="CA28" s="153"/>
      <c r="CB28" s="153"/>
      <c r="CC28" s="153"/>
      <c r="CD28" s="153"/>
      <c r="CE28" s="153"/>
      <c r="CF28" s="153"/>
      <c r="CG28" s="153"/>
      <c r="CH28" s="153"/>
      <c r="CI28" s="153"/>
      <c r="CJ28" s="153"/>
      <c r="CK28" s="153"/>
      <c r="CL28" s="153"/>
      <c r="CM28" s="153"/>
      <c r="CN28" s="153"/>
      <c r="CO28" s="153"/>
      <c r="CP28" s="153"/>
      <c r="CQ28" s="153"/>
      <c r="CR28" s="153"/>
      <c r="CS28" s="153"/>
      <c r="CT28" s="153"/>
      <c r="CU28" s="153"/>
      <c r="CV28" s="153"/>
      <c r="CW28" s="153"/>
      <c r="CX28" s="153"/>
      <c r="CY28" s="153"/>
      <c r="CZ28" s="153"/>
      <c r="DA28" s="153"/>
      <c r="DB28" s="153"/>
      <c r="DC28" s="153"/>
      <c r="DD28" s="153"/>
      <c r="DE28" s="153"/>
      <c r="DF28" s="153"/>
      <c r="DG28" s="153"/>
      <c r="DH28" s="153"/>
      <c r="DI28" s="153"/>
      <c r="DJ28" s="153"/>
      <c r="DK28" s="153"/>
      <c r="DL28" s="153"/>
      <c r="DM28" s="153"/>
      <c r="DN28" s="153"/>
      <c r="DO28" s="153"/>
      <c r="DP28" s="153"/>
      <c r="DQ28" s="153"/>
      <c r="DR28" s="153"/>
      <c r="DS28" s="153"/>
      <c r="DT28" s="153"/>
      <c r="DU28" s="153"/>
      <c r="DV28" s="153"/>
      <c r="DW28" s="153"/>
      <c r="DX28" s="153"/>
      <c r="DY28" s="153"/>
      <c r="DZ28" s="153"/>
      <c r="EA28" s="153"/>
      <c r="EB28" s="153"/>
      <c r="EC28" s="153"/>
      <c r="ED28" s="153"/>
      <c r="EE28" s="153"/>
      <c r="EF28" s="153"/>
      <c r="EG28" s="153"/>
      <c r="EH28" s="153"/>
      <c r="EI28" s="153"/>
      <c r="EJ28" s="153"/>
      <c r="EK28" s="153"/>
      <c r="EL28" s="153"/>
      <c r="EM28" s="153"/>
      <c r="EN28" s="153"/>
      <c r="EO28" s="153"/>
      <c r="EP28" s="153"/>
      <c r="EQ28" s="153"/>
      <c r="ER28" s="153"/>
      <c r="ES28" s="153"/>
      <c r="ET28" s="153"/>
      <c r="EU28" s="153"/>
      <c r="EV28" s="153"/>
      <c r="EW28" s="153"/>
      <c r="EX28" s="153"/>
      <c r="EY28" s="153"/>
      <c r="EZ28" s="153"/>
      <c r="FA28" s="153"/>
      <c r="FB28" s="153"/>
      <c r="FC28" s="153"/>
      <c r="FD28" s="153"/>
      <c r="FE28" s="153"/>
      <c r="FF28" s="153"/>
      <c r="FG28" s="153"/>
      <c r="FH28" s="153"/>
      <c r="FI28" s="153"/>
      <c r="FJ28" s="153"/>
      <c r="FK28" s="153"/>
      <c r="FL28" s="153"/>
      <c r="FM28" s="153"/>
      <c r="FN28" s="153"/>
      <c r="FO28" s="153"/>
      <c r="FP28" s="153"/>
      <c r="FQ28" s="153"/>
      <c r="FR28" s="153"/>
      <c r="FS28" s="153"/>
      <c r="FT28" s="153"/>
      <c r="FU28" s="153"/>
      <c r="FV28" s="153"/>
      <c r="FW28" s="153"/>
      <c r="FX28" s="153"/>
      <c r="FY28" s="153"/>
      <c r="FZ28" s="153"/>
      <c r="GA28" s="153"/>
      <c r="GB28" s="153"/>
      <c r="GC28" s="153"/>
      <c r="GD28" s="153"/>
      <c r="GE28" s="153"/>
      <c r="GF28" s="153"/>
      <c r="GG28" s="153"/>
      <c r="GH28" s="153"/>
      <c r="GI28" s="153"/>
      <c r="GJ28" s="153"/>
      <c r="GK28" s="153"/>
      <c r="GL28" s="153"/>
      <c r="GM28" s="153"/>
      <c r="GN28" s="153"/>
      <c r="GO28" s="153"/>
      <c r="GP28" s="153"/>
      <c r="GQ28" s="153"/>
      <c r="GR28" s="153"/>
      <c r="GS28" s="153"/>
      <c r="GT28" s="153"/>
      <c r="GU28" s="153"/>
      <c r="GV28" s="153"/>
      <c r="GW28" s="153"/>
      <c r="GX28" s="153"/>
      <c r="GY28" s="153"/>
      <c r="GZ28" s="153"/>
      <c r="HA28" s="153"/>
      <c r="HB28" s="153"/>
      <c r="HC28" s="153"/>
      <c r="HD28" s="153"/>
      <c r="HE28" s="153"/>
      <c r="HF28" s="153"/>
      <c r="HG28" s="153"/>
      <c r="HH28" s="153"/>
      <c r="HI28" s="153"/>
      <c r="HJ28" s="153"/>
      <c r="HK28" s="153"/>
      <c r="HL28" s="153"/>
      <c r="HM28" s="153"/>
      <c r="HN28" s="153"/>
      <c r="HO28" s="153"/>
      <c r="HP28" s="153"/>
      <c r="HQ28" s="153"/>
      <c r="HR28" s="153"/>
      <c r="HS28" s="153"/>
      <c r="HT28" s="153"/>
      <c r="HU28" s="153"/>
      <c r="HV28" s="153"/>
      <c r="HW28" s="153"/>
      <c r="HX28" s="153"/>
      <c r="HY28" s="153"/>
      <c r="HZ28" s="153"/>
      <c r="IA28" s="153"/>
      <c r="IB28" s="153"/>
      <c r="IC28" s="153"/>
      <c r="ID28" s="153"/>
      <c r="IE28" s="153"/>
      <c r="IF28" s="153"/>
      <c r="IG28" s="153"/>
      <c r="IH28" s="153"/>
      <c r="II28" s="153"/>
      <c r="IJ28" s="153"/>
      <c r="IK28" s="153"/>
      <c r="IL28" s="153"/>
      <c r="IM28" s="153"/>
      <c r="IN28" s="153"/>
      <c r="IO28" s="153"/>
      <c r="IP28" s="153"/>
      <c r="IQ28" s="153"/>
      <c r="IR28" s="153"/>
      <c r="IS28" s="153"/>
      <c r="IT28" s="153"/>
      <c r="IU28" s="153"/>
      <c r="IV28" s="153"/>
      <c r="IW28" s="153"/>
    </row>
    <row r="29" spans="1:257" s="229" customFormat="1" ht="18" customHeight="1" x14ac:dyDescent="0.35">
      <c r="A29" s="236">
        <v>21</v>
      </c>
      <c r="B29" s="1047"/>
      <c r="C29" s="1048"/>
      <c r="D29" s="1056" t="s">
        <v>238</v>
      </c>
      <c r="E29" s="1057"/>
      <c r="F29" s="1057"/>
      <c r="G29" s="1058"/>
      <c r="H29" s="274"/>
      <c r="I29" s="1051">
        <v>970</v>
      </c>
      <c r="J29" s="1051">
        <v>151</v>
      </c>
      <c r="K29" s="1051">
        <f>57489-8040</f>
        <v>49449</v>
      </c>
      <c r="L29" s="1051"/>
      <c r="M29" s="1051"/>
      <c r="N29" s="1052"/>
      <c r="O29" s="1053"/>
      <c r="P29" s="258">
        <f>SUM(I29:O29)</f>
        <v>50570</v>
      </c>
      <c r="Q29" s="1059"/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  <c r="BI29" s="153"/>
      <c r="BJ29" s="153"/>
      <c r="BK29" s="153"/>
      <c r="BL29" s="153"/>
      <c r="BM29" s="153"/>
      <c r="BN29" s="153"/>
      <c r="BO29" s="153"/>
      <c r="BP29" s="153"/>
      <c r="BQ29" s="153"/>
      <c r="BR29" s="153"/>
      <c r="BS29" s="153"/>
      <c r="BT29" s="153"/>
      <c r="BU29" s="153"/>
      <c r="BV29" s="153"/>
      <c r="BW29" s="153"/>
      <c r="BX29" s="153"/>
      <c r="BY29" s="153"/>
      <c r="BZ29" s="153"/>
      <c r="CA29" s="153"/>
      <c r="CB29" s="153"/>
      <c r="CC29" s="153"/>
      <c r="CD29" s="153"/>
      <c r="CE29" s="153"/>
      <c r="CF29" s="153"/>
      <c r="CG29" s="153"/>
      <c r="CH29" s="153"/>
      <c r="CI29" s="153"/>
      <c r="CJ29" s="153"/>
      <c r="CK29" s="153"/>
      <c r="CL29" s="153"/>
      <c r="CM29" s="153"/>
      <c r="CN29" s="153"/>
      <c r="CO29" s="153"/>
      <c r="CP29" s="153"/>
      <c r="CQ29" s="153"/>
      <c r="CR29" s="153"/>
      <c r="CS29" s="153"/>
      <c r="CT29" s="153"/>
      <c r="CU29" s="153"/>
      <c r="CV29" s="153"/>
      <c r="CW29" s="153"/>
      <c r="CX29" s="153"/>
      <c r="CY29" s="153"/>
      <c r="CZ29" s="153"/>
      <c r="DA29" s="153"/>
      <c r="DB29" s="153"/>
      <c r="DC29" s="153"/>
      <c r="DD29" s="153"/>
      <c r="DE29" s="153"/>
      <c r="DF29" s="153"/>
      <c r="DG29" s="153"/>
      <c r="DH29" s="153"/>
      <c r="DI29" s="153"/>
      <c r="DJ29" s="153"/>
      <c r="DK29" s="153"/>
      <c r="DL29" s="153"/>
      <c r="DM29" s="153"/>
      <c r="DN29" s="153"/>
      <c r="DO29" s="153"/>
      <c r="DP29" s="153"/>
      <c r="DQ29" s="153"/>
      <c r="DR29" s="153"/>
      <c r="DS29" s="153"/>
      <c r="DT29" s="153"/>
      <c r="DU29" s="153"/>
      <c r="DV29" s="153"/>
      <c r="DW29" s="153"/>
      <c r="DX29" s="153"/>
      <c r="DY29" s="153"/>
      <c r="DZ29" s="153"/>
      <c r="EA29" s="153"/>
      <c r="EB29" s="153"/>
      <c r="EC29" s="153"/>
      <c r="ED29" s="153"/>
      <c r="EE29" s="153"/>
      <c r="EF29" s="153"/>
      <c r="EG29" s="153"/>
      <c r="EH29" s="153"/>
      <c r="EI29" s="153"/>
      <c r="EJ29" s="153"/>
      <c r="EK29" s="153"/>
      <c r="EL29" s="153"/>
      <c r="EM29" s="153"/>
      <c r="EN29" s="153"/>
      <c r="EO29" s="153"/>
      <c r="EP29" s="153"/>
      <c r="EQ29" s="153"/>
      <c r="ER29" s="153"/>
      <c r="ES29" s="153"/>
      <c r="ET29" s="153"/>
      <c r="EU29" s="153"/>
      <c r="EV29" s="153"/>
      <c r="EW29" s="153"/>
      <c r="EX29" s="153"/>
      <c r="EY29" s="153"/>
      <c r="EZ29" s="153"/>
      <c r="FA29" s="153"/>
      <c r="FB29" s="153"/>
      <c r="FC29" s="153"/>
      <c r="FD29" s="153"/>
      <c r="FE29" s="153"/>
      <c r="FF29" s="153"/>
      <c r="FG29" s="153"/>
      <c r="FH29" s="153"/>
      <c r="FI29" s="153"/>
      <c r="FJ29" s="153"/>
      <c r="FK29" s="153"/>
      <c r="FL29" s="153"/>
      <c r="FM29" s="153"/>
      <c r="FN29" s="153"/>
      <c r="FO29" s="153"/>
      <c r="FP29" s="153"/>
      <c r="FQ29" s="153"/>
      <c r="FR29" s="153"/>
      <c r="FS29" s="153"/>
      <c r="FT29" s="153"/>
      <c r="FU29" s="153"/>
      <c r="FV29" s="153"/>
      <c r="FW29" s="153"/>
      <c r="FX29" s="153"/>
      <c r="FY29" s="153"/>
      <c r="FZ29" s="153"/>
      <c r="GA29" s="153"/>
      <c r="GB29" s="153"/>
      <c r="GC29" s="153"/>
      <c r="GD29" s="153"/>
      <c r="GE29" s="153"/>
      <c r="GF29" s="153"/>
      <c r="GG29" s="153"/>
      <c r="GH29" s="153"/>
      <c r="GI29" s="153"/>
      <c r="GJ29" s="153"/>
      <c r="GK29" s="153"/>
      <c r="GL29" s="153"/>
      <c r="GM29" s="153"/>
      <c r="GN29" s="153"/>
      <c r="GO29" s="153"/>
      <c r="GP29" s="153"/>
      <c r="GQ29" s="153"/>
      <c r="GR29" s="153"/>
      <c r="GS29" s="153"/>
      <c r="GT29" s="153"/>
      <c r="GU29" s="153"/>
      <c r="GV29" s="153"/>
      <c r="GW29" s="153"/>
      <c r="GX29" s="153"/>
      <c r="GY29" s="153"/>
      <c r="GZ29" s="153"/>
      <c r="HA29" s="153"/>
      <c r="HB29" s="153"/>
      <c r="HC29" s="153"/>
      <c r="HD29" s="153"/>
      <c r="HE29" s="153"/>
      <c r="HF29" s="153"/>
      <c r="HG29" s="153"/>
      <c r="HH29" s="153"/>
      <c r="HI29" s="153"/>
      <c r="HJ29" s="153"/>
      <c r="HK29" s="153"/>
      <c r="HL29" s="153"/>
      <c r="HM29" s="153"/>
      <c r="HN29" s="153"/>
      <c r="HO29" s="153"/>
      <c r="HP29" s="153"/>
      <c r="HQ29" s="153"/>
      <c r="HR29" s="153"/>
      <c r="HS29" s="153"/>
      <c r="HT29" s="153"/>
      <c r="HU29" s="153"/>
      <c r="HV29" s="153"/>
      <c r="HW29" s="153"/>
      <c r="HX29" s="153"/>
      <c r="HY29" s="153"/>
      <c r="HZ29" s="153"/>
      <c r="IA29" s="153"/>
      <c r="IB29" s="153"/>
      <c r="IC29" s="153"/>
      <c r="ID29" s="153"/>
      <c r="IE29" s="153"/>
      <c r="IF29" s="153"/>
      <c r="IG29" s="153"/>
      <c r="IH29" s="153"/>
      <c r="II29" s="153"/>
      <c r="IJ29" s="153"/>
      <c r="IK29" s="153"/>
      <c r="IL29" s="153"/>
      <c r="IM29" s="153"/>
      <c r="IN29" s="153"/>
      <c r="IO29" s="153"/>
      <c r="IP29" s="153"/>
      <c r="IQ29" s="153"/>
      <c r="IR29" s="153"/>
      <c r="IS29" s="153"/>
      <c r="IT29" s="153"/>
      <c r="IU29" s="153"/>
      <c r="IV29" s="153"/>
      <c r="IW29" s="153"/>
    </row>
    <row r="30" spans="1:257" s="229" customFormat="1" ht="22.5" customHeight="1" x14ac:dyDescent="0.35">
      <c r="A30" s="236">
        <v>22</v>
      </c>
      <c r="B30" s="1047"/>
      <c r="C30" s="1060">
        <v>28</v>
      </c>
      <c r="D30" s="1062" t="s">
        <v>506</v>
      </c>
      <c r="E30" s="633">
        <f>F30+G30+P31+Q31</f>
        <v>650</v>
      </c>
      <c r="F30" s="1057"/>
      <c r="G30" s="1050"/>
      <c r="H30" s="668" t="s">
        <v>24</v>
      </c>
      <c r="I30" s="1051"/>
      <c r="J30" s="1051"/>
      <c r="K30" s="1051"/>
      <c r="L30" s="1051"/>
      <c r="M30" s="1051"/>
      <c r="N30" s="1052"/>
      <c r="O30" s="1053"/>
      <c r="P30" s="1054"/>
      <c r="Q30" s="1055"/>
      <c r="R30" s="153"/>
      <c r="S30" s="153"/>
      <c r="T30" s="153"/>
      <c r="U30" s="153"/>
      <c r="V30" s="153"/>
      <c r="W30" s="153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  <c r="BI30" s="153"/>
      <c r="BJ30" s="153"/>
      <c r="BK30" s="153"/>
      <c r="BL30" s="153"/>
      <c r="BM30" s="153"/>
      <c r="BN30" s="153"/>
      <c r="BO30" s="153"/>
      <c r="BP30" s="153"/>
      <c r="BQ30" s="153"/>
      <c r="BR30" s="153"/>
      <c r="BS30" s="153"/>
      <c r="BT30" s="153"/>
      <c r="BU30" s="153"/>
      <c r="BV30" s="153"/>
      <c r="BW30" s="153"/>
      <c r="BX30" s="153"/>
      <c r="BY30" s="153"/>
      <c r="BZ30" s="153"/>
      <c r="CA30" s="153"/>
      <c r="CB30" s="153"/>
      <c r="CC30" s="153"/>
      <c r="CD30" s="153"/>
      <c r="CE30" s="153"/>
      <c r="CF30" s="153"/>
      <c r="CG30" s="153"/>
      <c r="CH30" s="153"/>
      <c r="CI30" s="153"/>
      <c r="CJ30" s="153"/>
      <c r="CK30" s="153"/>
      <c r="CL30" s="153"/>
      <c r="CM30" s="153"/>
      <c r="CN30" s="153"/>
      <c r="CO30" s="153"/>
      <c r="CP30" s="153"/>
      <c r="CQ30" s="153"/>
      <c r="CR30" s="153"/>
      <c r="CS30" s="153"/>
      <c r="CT30" s="153"/>
      <c r="CU30" s="153"/>
      <c r="CV30" s="153"/>
      <c r="CW30" s="153"/>
      <c r="CX30" s="153"/>
      <c r="CY30" s="153"/>
      <c r="CZ30" s="153"/>
      <c r="DA30" s="153"/>
      <c r="DB30" s="153"/>
      <c r="DC30" s="153"/>
      <c r="DD30" s="153"/>
      <c r="DE30" s="153"/>
      <c r="DF30" s="153"/>
      <c r="DG30" s="153"/>
      <c r="DH30" s="153"/>
      <c r="DI30" s="153"/>
      <c r="DJ30" s="153"/>
      <c r="DK30" s="153"/>
      <c r="DL30" s="153"/>
      <c r="DM30" s="153"/>
      <c r="DN30" s="153"/>
      <c r="DO30" s="153"/>
      <c r="DP30" s="153"/>
      <c r="DQ30" s="153"/>
      <c r="DR30" s="153"/>
      <c r="DS30" s="153"/>
      <c r="DT30" s="153"/>
      <c r="DU30" s="153"/>
      <c r="DV30" s="153"/>
      <c r="DW30" s="153"/>
      <c r="DX30" s="153"/>
      <c r="DY30" s="153"/>
      <c r="DZ30" s="153"/>
      <c r="EA30" s="153"/>
      <c r="EB30" s="153"/>
      <c r="EC30" s="153"/>
      <c r="ED30" s="153"/>
      <c r="EE30" s="153"/>
      <c r="EF30" s="153"/>
      <c r="EG30" s="153"/>
      <c r="EH30" s="153"/>
      <c r="EI30" s="153"/>
      <c r="EJ30" s="153"/>
      <c r="EK30" s="153"/>
      <c r="EL30" s="153"/>
      <c r="EM30" s="153"/>
      <c r="EN30" s="153"/>
      <c r="EO30" s="153"/>
      <c r="EP30" s="153"/>
      <c r="EQ30" s="153"/>
      <c r="ER30" s="153"/>
      <c r="ES30" s="153"/>
      <c r="ET30" s="153"/>
      <c r="EU30" s="153"/>
      <c r="EV30" s="153"/>
      <c r="EW30" s="153"/>
      <c r="EX30" s="153"/>
      <c r="EY30" s="153"/>
      <c r="EZ30" s="153"/>
      <c r="FA30" s="153"/>
      <c r="FB30" s="153"/>
      <c r="FC30" s="153"/>
      <c r="FD30" s="153"/>
      <c r="FE30" s="153"/>
      <c r="FF30" s="153"/>
      <c r="FG30" s="153"/>
      <c r="FH30" s="153"/>
      <c r="FI30" s="153"/>
      <c r="FJ30" s="153"/>
      <c r="FK30" s="153"/>
      <c r="FL30" s="153"/>
      <c r="FM30" s="153"/>
      <c r="FN30" s="153"/>
      <c r="FO30" s="153"/>
      <c r="FP30" s="153"/>
      <c r="FQ30" s="153"/>
      <c r="FR30" s="153"/>
      <c r="FS30" s="153"/>
      <c r="FT30" s="153"/>
      <c r="FU30" s="153"/>
      <c r="FV30" s="153"/>
      <c r="FW30" s="153"/>
      <c r="FX30" s="153"/>
      <c r="FY30" s="153"/>
      <c r="FZ30" s="153"/>
      <c r="GA30" s="153"/>
      <c r="GB30" s="153"/>
      <c r="GC30" s="153"/>
      <c r="GD30" s="153"/>
      <c r="GE30" s="153"/>
      <c r="GF30" s="153"/>
      <c r="GG30" s="153"/>
      <c r="GH30" s="153"/>
      <c r="GI30" s="153"/>
      <c r="GJ30" s="153"/>
      <c r="GK30" s="153"/>
      <c r="GL30" s="153"/>
      <c r="GM30" s="153"/>
      <c r="GN30" s="153"/>
      <c r="GO30" s="153"/>
      <c r="GP30" s="153"/>
      <c r="GQ30" s="153"/>
      <c r="GR30" s="153"/>
      <c r="GS30" s="153"/>
      <c r="GT30" s="153"/>
      <c r="GU30" s="153"/>
      <c r="GV30" s="153"/>
      <c r="GW30" s="153"/>
      <c r="GX30" s="153"/>
      <c r="GY30" s="153"/>
      <c r="GZ30" s="153"/>
      <c r="HA30" s="153"/>
      <c r="HB30" s="153"/>
      <c r="HC30" s="153"/>
      <c r="HD30" s="153"/>
      <c r="HE30" s="153"/>
      <c r="HF30" s="153"/>
      <c r="HG30" s="153"/>
      <c r="HH30" s="153"/>
      <c r="HI30" s="153"/>
      <c r="HJ30" s="153"/>
      <c r="HK30" s="153"/>
      <c r="HL30" s="153"/>
      <c r="HM30" s="153"/>
      <c r="HN30" s="153"/>
      <c r="HO30" s="153"/>
      <c r="HP30" s="153"/>
      <c r="HQ30" s="153"/>
      <c r="HR30" s="153"/>
      <c r="HS30" s="153"/>
      <c r="HT30" s="153"/>
      <c r="HU30" s="153"/>
      <c r="HV30" s="153"/>
      <c r="HW30" s="153"/>
      <c r="HX30" s="153"/>
      <c r="HY30" s="153"/>
      <c r="HZ30" s="153"/>
      <c r="IA30" s="153"/>
      <c r="IB30" s="153"/>
      <c r="IC30" s="153"/>
      <c r="ID30" s="153"/>
      <c r="IE30" s="153"/>
      <c r="IF30" s="153"/>
      <c r="IG30" s="153"/>
      <c r="IH30" s="153"/>
      <c r="II30" s="153"/>
      <c r="IJ30" s="153"/>
      <c r="IK30" s="153"/>
      <c r="IL30" s="153"/>
      <c r="IM30" s="153"/>
      <c r="IN30" s="153"/>
      <c r="IO30" s="153"/>
      <c r="IP30" s="153"/>
      <c r="IQ30" s="153"/>
      <c r="IR30" s="153"/>
      <c r="IS30" s="153"/>
      <c r="IT30" s="153"/>
      <c r="IU30" s="153"/>
      <c r="IV30" s="153"/>
      <c r="IW30" s="153"/>
    </row>
    <row r="31" spans="1:257" s="229" customFormat="1" ht="18" customHeight="1" x14ac:dyDescent="0.35">
      <c r="A31" s="236">
        <v>23</v>
      </c>
      <c r="B31" s="1047"/>
      <c r="C31" s="1048"/>
      <c r="D31" s="1056" t="s">
        <v>238</v>
      </c>
      <c r="E31" s="1057"/>
      <c r="F31" s="1057"/>
      <c r="G31" s="1058"/>
      <c r="H31" s="274"/>
      <c r="I31" s="1051"/>
      <c r="J31" s="1051"/>
      <c r="K31" s="1051">
        <v>650</v>
      </c>
      <c r="L31" s="1051"/>
      <c r="M31" s="1051"/>
      <c r="N31" s="1052"/>
      <c r="O31" s="1053"/>
      <c r="P31" s="258">
        <f>SUM(I31:O31)</f>
        <v>650</v>
      </c>
      <c r="Q31" s="1059"/>
      <c r="R31" s="153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  <c r="BI31" s="153"/>
      <c r="BJ31" s="153"/>
      <c r="BK31" s="153"/>
      <c r="BL31" s="153"/>
      <c r="BM31" s="153"/>
      <c r="BN31" s="153"/>
      <c r="BO31" s="153"/>
      <c r="BP31" s="153"/>
      <c r="BQ31" s="153"/>
      <c r="BR31" s="153"/>
      <c r="BS31" s="153"/>
      <c r="BT31" s="153"/>
      <c r="BU31" s="153"/>
      <c r="BV31" s="153"/>
      <c r="BW31" s="153"/>
      <c r="BX31" s="153"/>
      <c r="BY31" s="153"/>
      <c r="BZ31" s="153"/>
      <c r="CA31" s="153"/>
      <c r="CB31" s="153"/>
      <c r="CC31" s="153"/>
      <c r="CD31" s="153"/>
      <c r="CE31" s="153"/>
      <c r="CF31" s="153"/>
      <c r="CG31" s="153"/>
      <c r="CH31" s="153"/>
      <c r="CI31" s="153"/>
      <c r="CJ31" s="153"/>
      <c r="CK31" s="153"/>
      <c r="CL31" s="153"/>
      <c r="CM31" s="153"/>
      <c r="CN31" s="153"/>
      <c r="CO31" s="153"/>
      <c r="CP31" s="153"/>
      <c r="CQ31" s="153"/>
      <c r="CR31" s="153"/>
      <c r="CS31" s="153"/>
      <c r="CT31" s="153"/>
      <c r="CU31" s="153"/>
      <c r="CV31" s="153"/>
      <c r="CW31" s="153"/>
      <c r="CX31" s="153"/>
      <c r="CY31" s="153"/>
      <c r="CZ31" s="153"/>
      <c r="DA31" s="153"/>
      <c r="DB31" s="153"/>
      <c r="DC31" s="153"/>
      <c r="DD31" s="153"/>
      <c r="DE31" s="153"/>
      <c r="DF31" s="153"/>
      <c r="DG31" s="153"/>
      <c r="DH31" s="153"/>
      <c r="DI31" s="153"/>
      <c r="DJ31" s="153"/>
      <c r="DK31" s="153"/>
      <c r="DL31" s="153"/>
      <c r="DM31" s="153"/>
      <c r="DN31" s="153"/>
      <c r="DO31" s="153"/>
      <c r="DP31" s="153"/>
      <c r="DQ31" s="153"/>
      <c r="DR31" s="153"/>
      <c r="DS31" s="153"/>
      <c r="DT31" s="153"/>
      <c r="DU31" s="153"/>
      <c r="DV31" s="153"/>
      <c r="DW31" s="153"/>
      <c r="DX31" s="153"/>
      <c r="DY31" s="153"/>
      <c r="DZ31" s="153"/>
      <c r="EA31" s="153"/>
      <c r="EB31" s="153"/>
      <c r="EC31" s="153"/>
      <c r="ED31" s="153"/>
      <c r="EE31" s="153"/>
      <c r="EF31" s="153"/>
      <c r="EG31" s="153"/>
      <c r="EH31" s="153"/>
      <c r="EI31" s="153"/>
      <c r="EJ31" s="153"/>
      <c r="EK31" s="153"/>
      <c r="EL31" s="153"/>
      <c r="EM31" s="153"/>
      <c r="EN31" s="153"/>
      <c r="EO31" s="153"/>
      <c r="EP31" s="153"/>
      <c r="EQ31" s="153"/>
      <c r="ER31" s="153"/>
      <c r="ES31" s="153"/>
      <c r="ET31" s="153"/>
      <c r="EU31" s="153"/>
      <c r="EV31" s="153"/>
      <c r="EW31" s="153"/>
      <c r="EX31" s="153"/>
      <c r="EY31" s="153"/>
      <c r="EZ31" s="153"/>
      <c r="FA31" s="153"/>
      <c r="FB31" s="153"/>
      <c r="FC31" s="153"/>
      <c r="FD31" s="153"/>
      <c r="FE31" s="153"/>
      <c r="FF31" s="153"/>
      <c r="FG31" s="153"/>
      <c r="FH31" s="153"/>
      <c r="FI31" s="153"/>
      <c r="FJ31" s="153"/>
      <c r="FK31" s="153"/>
      <c r="FL31" s="153"/>
      <c r="FM31" s="153"/>
      <c r="FN31" s="153"/>
      <c r="FO31" s="153"/>
      <c r="FP31" s="153"/>
      <c r="FQ31" s="153"/>
      <c r="FR31" s="153"/>
      <c r="FS31" s="153"/>
      <c r="FT31" s="153"/>
      <c r="FU31" s="153"/>
      <c r="FV31" s="153"/>
      <c r="FW31" s="153"/>
      <c r="FX31" s="153"/>
      <c r="FY31" s="153"/>
      <c r="FZ31" s="153"/>
      <c r="GA31" s="153"/>
      <c r="GB31" s="153"/>
      <c r="GC31" s="153"/>
      <c r="GD31" s="153"/>
      <c r="GE31" s="153"/>
      <c r="GF31" s="153"/>
      <c r="GG31" s="153"/>
      <c r="GH31" s="153"/>
      <c r="GI31" s="153"/>
      <c r="GJ31" s="153"/>
      <c r="GK31" s="153"/>
      <c r="GL31" s="153"/>
      <c r="GM31" s="153"/>
      <c r="GN31" s="153"/>
      <c r="GO31" s="153"/>
      <c r="GP31" s="153"/>
      <c r="GQ31" s="153"/>
      <c r="GR31" s="153"/>
      <c r="GS31" s="153"/>
      <c r="GT31" s="153"/>
      <c r="GU31" s="153"/>
      <c r="GV31" s="153"/>
      <c r="GW31" s="153"/>
      <c r="GX31" s="153"/>
      <c r="GY31" s="153"/>
      <c r="GZ31" s="153"/>
      <c r="HA31" s="153"/>
      <c r="HB31" s="153"/>
      <c r="HC31" s="153"/>
      <c r="HD31" s="153"/>
      <c r="HE31" s="153"/>
      <c r="HF31" s="153"/>
      <c r="HG31" s="153"/>
      <c r="HH31" s="153"/>
      <c r="HI31" s="153"/>
      <c r="HJ31" s="153"/>
      <c r="HK31" s="153"/>
      <c r="HL31" s="153"/>
      <c r="HM31" s="153"/>
      <c r="HN31" s="153"/>
      <c r="HO31" s="153"/>
      <c r="HP31" s="153"/>
      <c r="HQ31" s="153"/>
      <c r="HR31" s="153"/>
      <c r="HS31" s="153"/>
      <c r="HT31" s="153"/>
      <c r="HU31" s="153"/>
      <c r="HV31" s="153"/>
      <c r="HW31" s="153"/>
      <c r="HX31" s="153"/>
      <c r="HY31" s="153"/>
      <c r="HZ31" s="153"/>
      <c r="IA31" s="153"/>
      <c r="IB31" s="153"/>
      <c r="IC31" s="153"/>
      <c r="ID31" s="153"/>
      <c r="IE31" s="153"/>
      <c r="IF31" s="153"/>
      <c r="IG31" s="153"/>
      <c r="IH31" s="153"/>
      <c r="II31" s="153"/>
      <c r="IJ31" s="153"/>
      <c r="IK31" s="153"/>
      <c r="IL31" s="153"/>
      <c r="IM31" s="153"/>
      <c r="IN31" s="153"/>
      <c r="IO31" s="153"/>
      <c r="IP31" s="153"/>
      <c r="IQ31" s="153"/>
      <c r="IR31" s="153"/>
      <c r="IS31" s="153"/>
      <c r="IT31" s="153"/>
      <c r="IU31" s="153"/>
      <c r="IV31" s="153"/>
      <c r="IW31" s="153"/>
    </row>
    <row r="32" spans="1:257" s="229" customFormat="1" ht="22.5" customHeight="1" x14ac:dyDescent="0.35">
      <c r="A32" s="236">
        <v>24</v>
      </c>
      <c r="B32" s="1047"/>
      <c r="C32" s="1060">
        <v>29</v>
      </c>
      <c r="D32" s="1062" t="s">
        <v>507</v>
      </c>
      <c r="E32" s="633">
        <f>F32+G32+P33+Q33</f>
        <v>4596</v>
      </c>
      <c r="F32" s="1057"/>
      <c r="G32" s="1050">
        <v>1389</v>
      </c>
      <c r="H32" s="668" t="s">
        <v>24</v>
      </c>
      <c r="I32" s="1051"/>
      <c r="J32" s="1051"/>
      <c r="K32" s="1051"/>
      <c r="L32" s="1051"/>
      <c r="M32" s="1051"/>
      <c r="N32" s="1052"/>
      <c r="O32" s="1053"/>
      <c r="P32" s="1054"/>
      <c r="Q32" s="1055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  <c r="BI32" s="153"/>
      <c r="BJ32" s="153"/>
      <c r="BK32" s="153"/>
      <c r="BL32" s="153"/>
      <c r="BM32" s="153"/>
      <c r="BN32" s="153"/>
      <c r="BO32" s="153"/>
      <c r="BP32" s="153"/>
      <c r="BQ32" s="153"/>
      <c r="BR32" s="153"/>
      <c r="BS32" s="153"/>
      <c r="BT32" s="153"/>
      <c r="BU32" s="153"/>
      <c r="BV32" s="153"/>
      <c r="BW32" s="153"/>
      <c r="BX32" s="153"/>
      <c r="BY32" s="153"/>
      <c r="BZ32" s="153"/>
      <c r="CA32" s="153"/>
      <c r="CB32" s="153"/>
      <c r="CC32" s="153"/>
      <c r="CD32" s="153"/>
      <c r="CE32" s="153"/>
      <c r="CF32" s="153"/>
      <c r="CG32" s="153"/>
      <c r="CH32" s="153"/>
      <c r="CI32" s="153"/>
      <c r="CJ32" s="153"/>
      <c r="CK32" s="153"/>
      <c r="CL32" s="153"/>
      <c r="CM32" s="153"/>
      <c r="CN32" s="153"/>
      <c r="CO32" s="153"/>
      <c r="CP32" s="153"/>
      <c r="CQ32" s="153"/>
      <c r="CR32" s="153"/>
      <c r="CS32" s="153"/>
      <c r="CT32" s="153"/>
      <c r="CU32" s="153"/>
      <c r="CV32" s="153"/>
      <c r="CW32" s="153"/>
      <c r="CX32" s="153"/>
      <c r="CY32" s="153"/>
      <c r="CZ32" s="153"/>
      <c r="DA32" s="153"/>
      <c r="DB32" s="153"/>
      <c r="DC32" s="153"/>
      <c r="DD32" s="153"/>
      <c r="DE32" s="153"/>
      <c r="DF32" s="153"/>
      <c r="DG32" s="153"/>
      <c r="DH32" s="153"/>
      <c r="DI32" s="153"/>
      <c r="DJ32" s="153"/>
      <c r="DK32" s="153"/>
      <c r="DL32" s="153"/>
      <c r="DM32" s="153"/>
      <c r="DN32" s="153"/>
      <c r="DO32" s="153"/>
      <c r="DP32" s="153"/>
      <c r="DQ32" s="153"/>
      <c r="DR32" s="153"/>
      <c r="DS32" s="153"/>
      <c r="DT32" s="153"/>
      <c r="DU32" s="153"/>
      <c r="DV32" s="153"/>
      <c r="DW32" s="153"/>
      <c r="DX32" s="153"/>
      <c r="DY32" s="153"/>
      <c r="DZ32" s="153"/>
      <c r="EA32" s="153"/>
      <c r="EB32" s="153"/>
      <c r="EC32" s="153"/>
      <c r="ED32" s="153"/>
      <c r="EE32" s="153"/>
      <c r="EF32" s="153"/>
      <c r="EG32" s="153"/>
      <c r="EH32" s="153"/>
      <c r="EI32" s="153"/>
      <c r="EJ32" s="153"/>
      <c r="EK32" s="153"/>
      <c r="EL32" s="153"/>
      <c r="EM32" s="153"/>
      <c r="EN32" s="153"/>
      <c r="EO32" s="153"/>
      <c r="EP32" s="153"/>
      <c r="EQ32" s="153"/>
      <c r="ER32" s="153"/>
      <c r="ES32" s="153"/>
      <c r="ET32" s="153"/>
      <c r="EU32" s="153"/>
      <c r="EV32" s="153"/>
      <c r="EW32" s="153"/>
      <c r="EX32" s="153"/>
      <c r="EY32" s="153"/>
      <c r="EZ32" s="153"/>
      <c r="FA32" s="153"/>
      <c r="FB32" s="153"/>
      <c r="FC32" s="153"/>
      <c r="FD32" s="153"/>
      <c r="FE32" s="153"/>
      <c r="FF32" s="153"/>
      <c r="FG32" s="153"/>
      <c r="FH32" s="153"/>
      <c r="FI32" s="153"/>
      <c r="FJ32" s="153"/>
      <c r="FK32" s="153"/>
      <c r="FL32" s="153"/>
      <c r="FM32" s="153"/>
      <c r="FN32" s="153"/>
      <c r="FO32" s="153"/>
      <c r="FP32" s="153"/>
      <c r="FQ32" s="153"/>
      <c r="FR32" s="153"/>
      <c r="FS32" s="153"/>
      <c r="FT32" s="153"/>
      <c r="FU32" s="153"/>
      <c r="FV32" s="153"/>
      <c r="FW32" s="153"/>
      <c r="FX32" s="153"/>
      <c r="FY32" s="153"/>
      <c r="FZ32" s="153"/>
      <c r="GA32" s="153"/>
      <c r="GB32" s="153"/>
      <c r="GC32" s="153"/>
      <c r="GD32" s="153"/>
      <c r="GE32" s="153"/>
      <c r="GF32" s="153"/>
      <c r="GG32" s="153"/>
      <c r="GH32" s="153"/>
      <c r="GI32" s="153"/>
      <c r="GJ32" s="153"/>
      <c r="GK32" s="153"/>
      <c r="GL32" s="153"/>
      <c r="GM32" s="153"/>
      <c r="GN32" s="153"/>
      <c r="GO32" s="153"/>
      <c r="GP32" s="153"/>
      <c r="GQ32" s="153"/>
      <c r="GR32" s="153"/>
      <c r="GS32" s="153"/>
      <c r="GT32" s="153"/>
      <c r="GU32" s="153"/>
      <c r="GV32" s="153"/>
      <c r="GW32" s="153"/>
      <c r="GX32" s="153"/>
      <c r="GY32" s="153"/>
      <c r="GZ32" s="153"/>
      <c r="HA32" s="153"/>
      <c r="HB32" s="153"/>
      <c r="HC32" s="153"/>
      <c r="HD32" s="153"/>
      <c r="HE32" s="153"/>
      <c r="HF32" s="153"/>
      <c r="HG32" s="153"/>
      <c r="HH32" s="153"/>
      <c r="HI32" s="153"/>
      <c r="HJ32" s="153"/>
      <c r="HK32" s="153"/>
      <c r="HL32" s="153"/>
      <c r="HM32" s="153"/>
      <c r="HN32" s="153"/>
      <c r="HO32" s="153"/>
      <c r="HP32" s="153"/>
      <c r="HQ32" s="153"/>
      <c r="HR32" s="153"/>
      <c r="HS32" s="153"/>
      <c r="HT32" s="153"/>
      <c r="HU32" s="153"/>
      <c r="HV32" s="153"/>
      <c r="HW32" s="153"/>
      <c r="HX32" s="153"/>
      <c r="HY32" s="153"/>
      <c r="HZ32" s="153"/>
      <c r="IA32" s="153"/>
      <c r="IB32" s="153"/>
      <c r="IC32" s="153"/>
      <c r="ID32" s="153"/>
      <c r="IE32" s="153"/>
      <c r="IF32" s="153"/>
      <c r="IG32" s="153"/>
      <c r="IH32" s="153"/>
      <c r="II32" s="153"/>
      <c r="IJ32" s="153"/>
      <c r="IK32" s="153"/>
      <c r="IL32" s="153"/>
      <c r="IM32" s="153"/>
      <c r="IN32" s="153"/>
      <c r="IO32" s="153"/>
      <c r="IP32" s="153"/>
      <c r="IQ32" s="153"/>
      <c r="IR32" s="153"/>
      <c r="IS32" s="153"/>
      <c r="IT32" s="153"/>
      <c r="IU32" s="153"/>
      <c r="IV32" s="153"/>
      <c r="IW32" s="153"/>
    </row>
    <row r="33" spans="1:257" s="229" customFormat="1" ht="18" customHeight="1" x14ac:dyDescent="0.35">
      <c r="A33" s="236">
        <v>25</v>
      </c>
      <c r="B33" s="1071"/>
      <c r="C33" s="154"/>
      <c r="D33" s="260" t="s">
        <v>238</v>
      </c>
      <c r="E33" s="161"/>
      <c r="F33" s="161"/>
      <c r="G33" s="801"/>
      <c r="H33" s="263"/>
      <c r="I33" s="321"/>
      <c r="J33" s="321"/>
      <c r="K33" s="321">
        <v>3207</v>
      </c>
      <c r="L33" s="321"/>
      <c r="M33" s="321"/>
      <c r="N33" s="790"/>
      <c r="O33" s="1037"/>
      <c r="P33" s="258">
        <f>SUM(I33:O33)</f>
        <v>3207</v>
      </c>
      <c r="Q33" s="1059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  <c r="BI33" s="153"/>
      <c r="BJ33" s="153"/>
      <c r="BK33" s="153"/>
      <c r="BL33" s="153"/>
      <c r="BM33" s="153"/>
      <c r="BN33" s="153"/>
      <c r="BO33" s="153"/>
      <c r="BP33" s="153"/>
      <c r="BQ33" s="153"/>
      <c r="BR33" s="153"/>
      <c r="BS33" s="153"/>
      <c r="BT33" s="153"/>
      <c r="BU33" s="153"/>
      <c r="BV33" s="153"/>
      <c r="BW33" s="153"/>
      <c r="BX33" s="153"/>
      <c r="BY33" s="153"/>
      <c r="BZ33" s="153"/>
      <c r="CA33" s="153"/>
      <c r="CB33" s="153"/>
      <c r="CC33" s="153"/>
      <c r="CD33" s="153"/>
      <c r="CE33" s="153"/>
      <c r="CF33" s="153"/>
      <c r="CG33" s="153"/>
      <c r="CH33" s="153"/>
      <c r="CI33" s="153"/>
      <c r="CJ33" s="153"/>
      <c r="CK33" s="153"/>
      <c r="CL33" s="153"/>
      <c r="CM33" s="153"/>
      <c r="CN33" s="153"/>
      <c r="CO33" s="153"/>
      <c r="CP33" s="153"/>
      <c r="CQ33" s="153"/>
      <c r="CR33" s="153"/>
      <c r="CS33" s="153"/>
      <c r="CT33" s="153"/>
      <c r="CU33" s="153"/>
      <c r="CV33" s="153"/>
      <c r="CW33" s="153"/>
      <c r="CX33" s="153"/>
      <c r="CY33" s="153"/>
      <c r="CZ33" s="153"/>
      <c r="DA33" s="153"/>
      <c r="DB33" s="153"/>
      <c r="DC33" s="153"/>
      <c r="DD33" s="153"/>
      <c r="DE33" s="153"/>
      <c r="DF33" s="153"/>
      <c r="DG33" s="153"/>
      <c r="DH33" s="153"/>
      <c r="DI33" s="153"/>
      <c r="DJ33" s="153"/>
      <c r="DK33" s="153"/>
      <c r="DL33" s="153"/>
      <c r="DM33" s="153"/>
      <c r="DN33" s="153"/>
      <c r="DO33" s="153"/>
      <c r="DP33" s="153"/>
      <c r="DQ33" s="153"/>
      <c r="DR33" s="153"/>
      <c r="DS33" s="153"/>
      <c r="DT33" s="153"/>
      <c r="DU33" s="153"/>
      <c r="DV33" s="153"/>
      <c r="DW33" s="153"/>
      <c r="DX33" s="153"/>
      <c r="DY33" s="153"/>
      <c r="DZ33" s="153"/>
      <c r="EA33" s="153"/>
      <c r="EB33" s="153"/>
      <c r="EC33" s="153"/>
      <c r="ED33" s="153"/>
      <c r="EE33" s="153"/>
      <c r="EF33" s="153"/>
      <c r="EG33" s="153"/>
      <c r="EH33" s="153"/>
      <c r="EI33" s="153"/>
      <c r="EJ33" s="153"/>
      <c r="EK33" s="153"/>
      <c r="EL33" s="153"/>
      <c r="EM33" s="153"/>
      <c r="EN33" s="153"/>
      <c r="EO33" s="153"/>
      <c r="EP33" s="153"/>
      <c r="EQ33" s="153"/>
      <c r="ER33" s="153"/>
      <c r="ES33" s="153"/>
      <c r="ET33" s="153"/>
      <c r="EU33" s="153"/>
      <c r="EV33" s="153"/>
      <c r="EW33" s="153"/>
      <c r="EX33" s="153"/>
      <c r="EY33" s="153"/>
      <c r="EZ33" s="153"/>
      <c r="FA33" s="153"/>
      <c r="FB33" s="153"/>
      <c r="FC33" s="153"/>
      <c r="FD33" s="153"/>
      <c r="FE33" s="153"/>
      <c r="FF33" s="153"/>
      <c r="FG33" s="153"/>
      <c r="FH33" s="153"/>
      <c r="FI33" s="153"/>
      <c r="FJ33" s="153"/>
      <c r="FK33" s="153"/>
      <c r="FL33" s="153"/>
      <c r="FM33" s="153"/>
      <c r="FN33" s="153"/>
      <c r="FO33" s="153"/>
      <c r="FP33" s="153"/>
      <c r="FQ33" s="153"/>
      <c r="FR33" s="153"/>
      <c r="FS33" s="153"/>
      <c r="FT33" s="153"/>
      <c r="FU33" s="153"/>
      <c r="FV33" s="153"/>
      <c r="FW33" s="153"/>
      <c r="FX33" s="153"/>
      <c r="FY33" s="153"/>
      <c r="FZ33" s="153"/>
      <c r="GA33" s="153"/>
      <c r="GB33" s="153"/>
      <c r="GC33" s="153"/>
      <c r="GD33" s="153"/>
      <c r="GE33" s="153"/>
      <c r="GF33" s="153"/>
      <c r="GG33" s="153"/>
      <c r="GH33" s="153"/>
      <c r="GI33" s="153"/>
      <c r="GJ33" s="153"/>
      <c r="GK33" s="153"/>
      <c r="GL33" s="153"/>
      <c r="GM33" s="153"/>
      <c r="GN33" s="153"/>
      <c r="GO33" s="153"/>
      <c r="GP33" s="153"/>
      <c r="GQ33" s="153"/>
      <c r="GR33" s="153"/>
      <c r="GS33" s="153"/>
      <c r="GT33" s="153"/>
      <c r="GU33" s="153"/>
      <c r="GV33" s="153"/>
      <c r="GW33" s="153"/>
      <c r="GX33" s="153"/>
      <c r="GY33" s="153"/>
      <c r="GZ33" s="153"/>
      <c r="HA33" s="153"/>
      <c r="HB33" s="153"/>
      <c r="HC33" s="153"/>
      <c r="HD33" s="153"/>
      <c r="HE33" s="153"/>
      <c r="HF33" s="153"/>
      <c r="HG33" s="153"/>
      <c r="HH33" s="153"/>
      <c r="HI33" s="153"/>
      <c r="HJ33" s="153"/>
      <c r="HK33" s="153"/>
      <c r="HL33" s="153"/>
      <c r="HM33" s="153"/>
      <c r="HN33" s="153"/>
      <c r="HO33" s="153"/>
      <c r="HP33" s="153"/>
      <c r="HQ33" s="153"/>
      <c r="HR33" s="153"/>
      <c r="HS33" s="153"/>
      <c r="HT33" s="153"/>
      <c r="HU33" s="153"/>
      <c r="HV33" s="153"/>
      <c r="HW33" s="153"/>
      <c r="HX33" s="153"/>
      <c r="HY33" s="153"/>
      <c r="HZ33" s="153"/>
      <c r="IA33" s="153"/>
      <c r="IB33" s="153"/>
      <c r="IC33" s="153"/>
      <c r="ID33" s="153"/>
      <c r="IE33" s="153"/>
      <c r="IF33" s="153"/>
      <c r="IG33" s="153"/>
      <c r="IH33" s="153"/>
      <c r="II33" s="153"/>
      <c r="IJ33" s="153"/>
      <c r="IK33" s="153"/>
      <c r="IL33" s="153"/>
      <c r="IM33" s="153"/>
      <c r="IN33" s="153"/>
      <c r="IO33" s="153"/>
      <c r="IP33" s="153"/>
      <c r="IQ33" s="153"/>
      <c r="IR33" s="153"/>
      <c r="IS33" s="153"/>
      <c r="IT33" s="153"/>
      <c r="IU33" s="153"/>
      <c r="IV33" s="153"/>
      <c r="IW33" s="153"/>
    </row>
    <row r="34" spans="1:257" s="229" customFormat="1" ht="22.35" customHeight="1" x14ac:dyDescent="0.35">
      <c r="A34" s="236">
        <v>26</v>
      </c>
      <c r="B34" s="234"/>
      <c r="C34" s="166">
        <v>30</v>
      </c>
      <c r="D34" s="1072" t="s">
        <v>322</v>
      </c>
      <c r="E34" s="633">
        <f>F34+G34+P35+Q35</f>
        <v>9280000</v>
      </c>
      <c r="F34" s="803">
        <f>324476+484396+427002+450929+50000+2832016+35972+102334</f>
        <v>4707125</v>
      </c>
      <c r="G34" s="634">
        <v>96316</v>
      </c>
      <c r="H34" s="668" t="s">
        <v>24</v>
      </c>
      <c r="I34" s="321"/>
      <c r="J34" s="321"/>
      <c r="K34" s="321"/>
      <c r="L34" s="321"/>
      <c r="M34" s="321"/>
      <c r="N34" s="790"/>
      <c r="O34" s="1037"/>
      <c r="P34" s="258"/>
      <c r="Q34" s="802"/>
      <c r="R34" s="153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  <c r="BI34" s="153"/>
      <c r="BJ34" s="153"/>
      <c r="BK34" s="153"/>
      <c r="BL34" s="153"/>
      <c r="BM34" s="153"/>
      <c r="BN34" s="153"/>
      <c r="BO34" s="153"/>
      <c r="BP34" s="153"/>
      <c r="BQ34" s="153"/>
      <c r="BR34" s="153"/>
      <c r="BS34" s="153"/>
      <c r="BT34" s="153"/>
      <c r="BU34" s="153"/>
      <c r="BV34" s="153"/>
      <c r="BW34" s="153"/>
      <c r="BX34" s="153"/>
      <c r="BY34" s="153"/>
      <c r="BZ34" s="153"/>
      <c r="CA34" s="153"/>
      <c r="CB34" s="153"/>
      <c r="CC34" s="153"/>
      <c r="CD34" s="153"/>
      <c r="CE34" s="153"/>
      <c r="CF34" s="153"/>
      <c r="CG34" s="153"/>
      <c r="CH34" s="153"/>
      <c r="CI34" s="153"/>
      <c r="CJ34" s="153"/>
      <c r="CK34" s="153"/>
      <c r="CL34" s="153"/>
      <c r="CM34" s="153"/>
      <c r="CN34" s="153"/>
      <c r="CO34" s="153"/>
      <c r="CP34" s="153"/>
      <c r="CQ34" s="153"/>
      <c r="CR34" s="153"/>
      <c r="CS34" s="153"/>
      <c r="CT34" s="153"/>
      <c r="CU34" s="153"/>
      <c r="CV34" s="153"/>
      <c r="CW34" s="153"/>
      <c r="CX34" s="153"/>
      <c r="CY34" s="153"/>
      <c r="CZ34" s="153"/>
      <c r="DA34" s="153"/>
      <c r="DB34" s="153"/>
      <c r="DC34" s="153"/>
      <c r="DD34" s="153"/>
      <c r="DE34" s="153"/>
      <c r="DF34" s="153"/>
      <c r="DG34" s="153"/>
      <c r="DH34" s="153"/>
      <c r="DI34" s="153"/>
      <c r="DJ34" s="153"/>
      <c r="DK34" s="153"/>
      <c r="DL34" s="153"/>
      <c r="DM34" s="153"/>
      <c r="DN34" s="153"/>
      <c r="DO34" s="153"/>
      <c r="DP34" s="153"/>
      <c r="DQ34" s="153"/>
      <c r="DR34" s="153"/>
      <c r="DS34" s="153"/>
      <c r="DT34" s="153"/>
      <c r="DU34" s="153"/>
      <c r="DV34" s="153"/>
      <c r="DW34" s="153"/>
      <c r="DX34" s="153"/>
      <c r="DY34" s="153"/>
      <c r="DZ34" s="153"/>
      <c r="EA34" s="153"/>
      <c r="EB34" s="153"/>
      <c r="EC34" s="153"/>
      <c r="ED34" s="153"/>
      <c r="EE34" s="153"/>
      <c r="EF34" s="153"/>
      <c r="EG34" s="153"/>
      <c r="EH34" s="153"/>
      <c r="EI34" s="153"/>
      <c r="EJ34" s="153"/>
      <c r="EK34" s="153"/>
      <c r="EL34" s="153"/>
      <c r="EM34" s="153"/>
      <c r="EN34" s="153"/>
      <c r="EO34" s="153"/>
      <c r="EP34" s="153"/>
      <c r="EQ34" s="153"/>
      <c r="ER34" s="153"/>
      <c r="ES34" s="153"/>
      <c r="ET34" s="153"/>
      <c r="EU34" s="153"/>
      <c r="EV34" s="153"/>
      <c r="EW34" s="153"/>
      <c r="EX34" s="153"/>
      <c r="EY34" s="153"/>
      <c r="EZ34" s="153"/>
      <c r="FA34" s="153"/>
      <c r="FB34" s="153"/>
      <c r="FC34" s="153"/>
      <c r="FD34" s="153"/>
      <c r="FE34" s="153"/>
      <c r="FF34" s="153"/>
      <c r="FG34" s="153"/>
      <c r="FH34" s="153"/>
      <c r="FI34" s="153"/>
      <c r="FJ34" s="153"/>
      <c r="FK34" s="153"/>
      <c r="FL34" s="153"/>
      <c r="FM34" s="153"/>
      <c r="FN34" s="153"/>
      <c r="FO34" s="153"/>
      <c r="FP34" s="153"/>
      <c r="FQ34" s="153"/>
      <c r="FR34" s="153"/>
      <c r="FS34" s="153"/>
      <c r="FT34" s="153"/>
      <c r="FU34" s="153"/>
      <c r="FV34" s="153"/>
      <c r="FW34" s="153"/>
      <c r="FX34" s="153"/>
      <c r="FY34" s="153"/>
      <c r="FZ34" s="153"/>
      <c r="GA34" s="153"/>
      <c r="GB34" s="153"/>
      <c r="GC34" s="153"/>
      <c r="GD34" s="153"/>
      <c r="GE34" s="153"/>
      <c r="GF34" s="153"/>
      <c r="GG34" s="153"/>
      <c r="GH34" s="153"/>
      <c r="GI34" s="153"/>
      <c r="GJ34" s="153"/>
      <c r="GK34" s="153"/>
      <c r="GL34" s="153"/>
      <c r="GM34" s="153"/>
      <c r="GN34" s="153"/>
      <c r="GO34" s="153"/>
      <c r="GP34" s="153"/>
      <c r="GQ34" s="153"/>
      <c r="GR34" s="153"/>
      <c r="GS34" s="153"/>
      <c r="GT34" s="153"/>
      <c r="GU34" s="153"/>
      <c r="GV34" s="153"/>
      <c r="GW34" s="153"/>
      <c r="GX34" s="153"/>
      <c r="GY34" s="153"/>
      <c r="GZ34" s="153"/>
      <c r="HA34" s="153"/>
      <c r="HB34" s="153"/>
      <c r="HC34" s="153"/>
      <c r="HD34" s="153"/>
      <c r="HE34" s="153"/>
      <c r="HF34" s="153"/>
      <c r="HG34" s="153"/>
      <c r="HH34" s="153"/>
      <c r="HI34" s="153"/>
      <c r="HJ34" s="153"/>
      <c r="HK34" s="153"/>
      <c r="HL34" s="153"/>
      <c r="HM34" s="153"/>
      <c r="HN34" s="153"/>
      <c r="HO34" s="153"/>
      <c r="HP34" s="153"/>
      <c r="HQ34" s="153"/>
      <c r="HR34" s="153"/>
      <c r="HS34" s="153"/>
      <c r="HT34" s="153"/>
      <c r="HU34" s="153"/>
      <c r="HV34" s="153"/>
      <c r="HW34" s="153"/>
      <c r="HX34" s="153"/>
      <c r="HY34" s="153"/>
      <c r="HZ34" s="153"/>
      <c r="IA34" s="153"/>
      <c r="IB34" s="153"/>
      <c r="IC34" s="153"/>
      <c r="ID34" s="153"/>
      <c r="IE34" s="153"/>
      <c r="IF34" s="153"/>
      <c r="IG34" s="153"/>
      <c r="IH34" s="153"/>
      <c r="II34" s="153"/>
      <c r="IJ34" s="153"/>
      <c r="IK34" s="153"/>
      <c r="IL34" s="153"/>
      <c r="IM34" s="153"/>
      <c r="IN34" s="153"/>
      <c r="IO34" s="153"/>
      <c r="IP34" s="153"/>
      <c r="IQ34" s="153"/>
      <c r="IR34" s="153"/>
      <c r="IS34" s="153"/>
      <c r="IT34" s="153"/>
      <c r="IU34" s="153"/>
      <c r="IV34" s="153"/>
      <c r="IW34" s="153"/>
    </row>
    <row r="35" spans="1:257" s="229" customFormat="1" ht="18" customHeight="1" x14ac:dyDescent="0.35">
      <c r="A35" s="236">
        <v>27</v>
      </c>
      <c r="B35" s="234"/>
      <c r="C35" s="154"/>
      <c r="D35" s="1073" t="s">
        <v>238</v>
      </c>
      <c r="E35" s="633"/>
      <c r="F35" s="803"/>
      <c r="G35" s="634"/>
      <c r="H35" s="263"/>
      <c r="I35" s="321"/>
      <c r="J35" s="321"/>
      <c r="K35" s="259">
        <v>8138</v>
      </c>
      <c r="L35" s="259"/>
      <c r="M35" s="259">
        <v>4468421</v>
      </c>
      <c r="N35" s="790"/>
      <c r="O35" s="1037"/>
      <c r="P35" s="258">
        <f>SUM(I35:O35)</f>
        <v>4476559</v>
      </c>
      <c r="Q35" s="802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  <c r="BI35" s="153"/>
      <c r="BJ35" s="153"/>
      <c r="BK35" s="153"/>
      <c r="BL35" s="153"/>
      <c r="BM35" s="153"/>
      <c r="BN35" s="153"/>
      <c r="BO35" s="153"/>
      <c r="BP35" s="153"/>
      <c r="BQ35" s="153"/>
      <c r="BR35" s="153"/>
      <c r="BS35" s="153"/>
      <c r="BT35" s="153"/>
      <c r="BU35" s="153"/>
      <c r="BV35" s="153"/>
      <c r="BW35" s="153"/>
      <c r="BX35" s="153"/>
      <c r="BY35" s="153"/>
      <c r="BZ35" s="153"/>
      <c r="CA35" s="153"/>
      <c r="CB35" s="153"/>
      <c r="CC35" s="153"/>
      <c r="CD35" s="153"/>
      <c r="CE35" s="153"/>
      <c r="CF35" s="153"/>
      <c r="CG35" s="153"/>
      <c r="CH35" s="153"/>
      <c r="CI35" s="153"/>
      <c r="CJ35" s="153"/>
      <c r="CK35" s="153"/>
      <c r="CL35" s="153"/>
      <c r="CM35" s="153"/>
      <c r="CN35" s="153"/>
      <c r="CO35" s="153"/>
      <c r="CP35" s="153"/>
      <c r="CQ35" s="153"/>
      <c r="CR35" s="153"/>
      <c r="CS35" s="153"/>
      <c r="CT35" s="153"/>
      <c r="CU35" s="153"/>
      <c r="CV35" s="153"/>
      <c r="CW35" s="153"/>
      <c r="CX35" s="153"/>
      <c r="CY35" s="153"/>
      <c r="CZ35" s="153"/>
      <c r="DA35" s="153"/>
      <c r="DB35" s="153"/>
      <c r="DC35" s="153"/>
      <c r="DD35" s="153"/>
      <c r="DE35" s="153"/>
      <c r="DF35" s="153"/>
      <c r="DG35" s="153"/>
      <c r="DH35" s="153"/>
      <c r="DI35" s="153"/>
      <c r="DJ35" s="153"/>
      <c r="DK35" s="153"/>
      <c r="DL35" s="153"/>
      <c r="DM35" s="153"/>
      <c r="DN35" s="153"/>
      <c r="DO35" s="153"/>
      <c r="DP35" s="153"/>
      <c r="DQ35" s="153"/>
      <c r="DR35" s="153"/>
      <c r="DS35" s="153"/>
      <c r="DT35" s="153"/>
      <c r="DU35" s="153"/>
      <c r="DV35" s="153"/>
      <c r="DW35" s="153"/>
      <c r="DX35" s="153"/>
      <c r="DY35" s="153"/>
      <c r="DZ35" s="153"/>
      <c r="EA35" s="153"/>
      <c r="EB35" s="153"/>
      <c r="EC35" s="153"/>
      <c r="ED35" s="153"/>
      <c r="EE35" s="153"/>
      <c r="EF35" s="153"/>
      <c r="EG35" s="153"/>
      <c r="EH35" s="153"/>
      <c r="EI35" s="153"/>
      <c r="EJ35" s="153"/>
      <c r="EK35" s="153"/>
      <c r="EL35" s="153"/>
      <c r="EM35" s="153"/>
      <c r="EN35" s="153"/>
      <c r="EO35" s="153"/>
      <c r="EP35" s="153"/>
      <c r="EQ35" s="153"/>
      <c r="ER35" s="153"/>
      <c r="ES35" s="153"/>
      <c r="ET35" s="153"/>
      <c r="EU35" s="153"/>
      <c r="EV35" s="153"/>
      <c r="EW35" s="153"/>
      <c r="EX35" s="153"/>
      <c r="EY35" s="153"/>
      <c r="EZ35" s="153"/>
      <c r="FA35" s="153"/>
      <c r="FB35" s="153"/>
      <c r="FC35" s="153"/>
      <c r="FD35" s="153"/>
      <c r="FE35" s="153"/>
      <c r="FF35" s="153"/>
      <c r="FG35" s="153"/>
      <c r="FH35" s="153"/>
      <c r="FI35" s="153"/>
      <c r="FJ35" s="153"/>
      <c r="FK35" s="153"/>
      <c r="FL35" s="153"/>
      <c r="FM35" s="153"/>
      <c r="FN35" s="153"/>
      <c r="FO35" s="153"/>
      <c r="FP35" s="153"/>
      <c r="FQ35" s="153"/>
      <c r="FR35" s="153"/>
      <c r="FS35" s="153"/>
      <c r="FT35" s="153"/>
      <c r="FU35" s="153"/>
      <c r="FV35" s="153"/>
      <c r="FW35" s="153"/>
      <c r="FX35" s="153"/>
      <c r="FY35" s="153"/>
      <c r="FZ35" s="153"/>
      <c r="GA35" s="153"/>
      <c r="GB35" s="153"/>
      <c r="GC35" s="153"/>
      <c r="GD35" s="153"/>
      <c r="GE35" s="153"/>
      <c r="GF35" s="153"/>
      <c r="GG35" s="153"/>
      <c r="GH35" s="153"/>
      <c r="GI35" s="153"/>
      <c r="GJ35" s="153"/>
      <c r="GK35" s="153"/>
      <c r="GL35" s="153"/>
      <c r="GM35" s="153"/>
      <c r="GN35" s="153"/>
      <c r="GO35" s="153"/>
      <c r="GP35" s="153"/>
      <c r="GQ35" s="153"/>
      <c r="GR35" s="153"/>
      <c r="GS35" s="153"/>
      <c r="GT35" s="153"/>
      <c r="GU35" s="153"/>
      <c r="GV35" s="153"/>
      <c r="GW35" s="153"/>
      <c r="GX35" s="153"/>
      <c r="GY35" s="153"/>
      <c r="GZ35" s="153"/>
      <c r="HA35" s="153"/>
      <c r="HB35" s="153"/>
      <c r="HC35" s="153"/>
      <c r="HD35" s="153"/>
      <c r="HE35" s="153"/>
      <c r="HF35" s="153"/>
      <c r="HG35" s="153"/>
      <c r="HH35" s="153"/>
      <c r="HI35" s="153"/>
      <c r="HJ35" s="153"/>
      <c r="HK35" s="153"/>
      <c r="HL35" s="153"/>
      <c r="HM35" s="153"/>
      <c r="HN35" s="153"/>
      <c r="HO35" s="153"/>
      <c r="HP35" s="153"/>
      <c r="HQ35" s="153"/>
      <c r="HR35" s="153"/>
      <c r="HS35" s="153"/>
      <c r="HT35" s="153"/>
      <c r="HU35" s="153"/>
      <c r="HV35" s="153"/>
      <c r="HW35" s="153"/>
      <c r="HX35" s="153"/>
      <c r="HY35" s="153"/>
      <c r="HZ35" s="153"/>
      <c r="IA35" s="153"/>
      <c r="IB35" s="153"/>
      <c r="IC35" s="153"/>
      <c r="ID35" s="153"/>
      <c r="IE35" s="153"/>
      <c r="IF35" s="153"/>
      <c r="IG35" s="153"/>
      <c r="IH35" s="153"/>
      <c r="II35" s="153"/>
      <c r="IJ35" s="153"/>
      <c r="IK35" s="153"/>
      <c r="IL35" s="153"/>
      <c r="IM35" s="153"/>
      <c r="IN35" s="153"/>
      <c r="IO35" s="153"/>
      <c r="IP35" s="153"/>
      <c r="IQ35" s="153"/>
      <c r="IR35" s="153"/>
      <c r="IS35" s="153"/>
      <c r="IT35" s="153"/>
      <c r="IU35" s="153"/>
      <c r="IV35" s="153"/>
      <c r="IW35" s="153"/>
    </row>
    <row r="36" spans="1:257" s="229" customFormat="1" ht="33.75" x14ac:dyDescent="0.35">
      <c r="A36" s="236">
        <v>28</v>
      </c>
      <c r="B36" s="234"/>
      <c r="C36" s="154">
        <v>35</v>
      </c>
      <c r="D36" s="155" t="s">
        <v>501</v>
      </c>
      <c r="E36" s="633">
        <f>F36+G36+P37+Q37</f>
        <v>19296</v>
      </c>
      <c r="F36" s="633"/>
      <c r="G36" s="804">
        <v>7357</v>
      </c>
      <c r="H36" s="668" t="s">
        <v>24</v>
      </c>
      <c r="I36" s="321"/>
      <c r="J36" s="321"/>
      <c r="K36" s="321"/>
      <c r="L36" s="321"/>
      <c r="M36" s="321"/>
      <c r="N36" s="790"/>
      <c r="O36" s="1037"/>
      <c r="P36" s="258"/>
      <c r="Q36" s="802"/>
      <c r="R36" s="153"/>
      <c r="S36" s="153"/>
      <c r="T36" s="153"/>
      <c r="U36" s="153"/>
      <c r="V36" s="153"/>
      <c r="W36" s="153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  <c r="BI36" s="153"/>
      <c r="BJ36" s="153"/>
      <c r="BK36" s="153"/>
      <c r="BL36" s="153"/>
      <c r="BM36" s="153"/>
      <c r="BN36" s="153"/>
      <c r="BO36" s="153"/>
      <c r="BP36" s="153"/>
      <c r="BQ36" s="153"/>
      <c r="BR36" s="153"/>
      <c r="BS36" s="153"/>
      <c r="BT36" s="153"/>
      <c r="BU36" s="153"/>
      <c r="BV36" s="153"/>
      <c r="BW36" s="153"/>
      <c r="BX36" s="153"/>
      <c r="BY36" s="153"/>
      <c r="BZ36" s="153"/>
      <c r="CA36" s="153"/>
      <c r="CB36" s="153"/>
      <c r="CC36" s="153"/>
      <c r="CD36" s="153"/>
      <c r="CE36" s="153"/>
      <c r="CF36" s="153"/>
      <c r="CG36" s="153"/>
      <c r="CH36" s="153"/>
      <c r="CI36" s="153"/>
      <c r="CJ36" s="153"/>
      <c r="CK36" s="153"/>
      <c r="CL36" s="153"/>
      <c r="CM36" s="153"/>
      <c r="CN36" s="153"/>
      <c r="CO36" s="153"/>
      <c r="CP36" s="153"/>
      <c r="CQ36" s="153"/>
      <c r="CR36" s="153"/>
      <c r="CS36" s="153"/>
      <c r="CT36" s="153"/>
      <c r="CU36" s="153"/>
      <c r="CV36" s="153"/>
      <c r="CW36" s="153"/>
      <c r="CX36" s="153"/>
      <c r="CY36" s="153"/>
      <c r="CZ36" s="153"/>
      <c r="DA36" s="153"/>
      <c r="DB36" s="153"/>
      <c r="DC36" s="153"/>
      <c r="DD36" s="153"/>
      <c r="DE36" s="153"/>
      <c r="DF36" s="153"/>
      <c r="DG36" s="153"/>
      <c r="DH36" s="153"/>
      <c r="DI36" s="153"/>
      <c r="DJ36" s="153"/>
      <c r="DK36" s="153"/>
      <c r="DL36" s="153"/>
      <c r="DM36" s="153"/>
      <c r="DN36" s="153"/>
      <c r="DO36" s="153"/>
      <c r="DP36" s="153"/>
      <c r="DQ36" s="153"/>
      <c r="DR36" s="153"/>
      <c r="DS36" s="153"/>
      <c r="DT36" s="153"/>
      <c r="DU36" s="153"/>
      <c r="DV36" s="153"/>
      <c r="DW36" s="153"/>
      <c r="DX36" s="153"/>
      <c r="DY36" s="153"/>
      <c r="DZ36" s="153"/>
      <c r="EA36" s="153"/>
      <c r="EB36" s="153"/>
      <c r="EC36" s="153"/>
      <c r="ED36" s="153"/>
      <c r="EE36" s="153"/>
      <c r="EF36" s="153"/>
      <c r="EG36" s="153"/>
      <c r="EH36" s="153"/>
      <c r="EI36" s="153"/>
      <c r="EJ36" s="153"/>
      <c r="EK36" s="153"/>
      <c r="EL36" s="153"/>
      <c r="EM36" s="153"/>
      <c r="EN36" s="153"/>
      <c r="EO36" s="153"/>
      <c r="EP36" s="153"/>
      <c r="EQ36" s="153"/>
      <c r="ER36" s="153"/>
      <c r="ES36" s="153"/>
      <c r="ET36" s="153"/>
      <c r="EU36" s="153"/>
      <c r="EV36" s="153"/>
      <c r="EW36" s="153"/>
      <c r="EX36" s="153"/>
      <c r="EY36" s="153"/>
      <c r="EZ36" s="153"/>
      <c r="FA36" s="153"/>
      <c r="FB36" s="153"/>
      <c r="FC36" s="153"/>
      <c r="FD36" s="153"/>
      <c r="FE36" s="153"/>
      <c r="FF36" s="153"/>
      <c r="FG36" s="153"/>
      <c r="FH36" s="153"/>
      <c r="FI36" s="153"/>
      <c r="FJ36" s="153"/>
      <c r="FK36" s="153"/>
      <c r="FL36" s="153"/>
      <c r="FM36" s="153"/>
      <c r="FN36" s="153"/>
      <c r="FO36" s="153"/>
      <c r="FP36" s="153"/>
      <c r="FQ36" s="153"/>
      <c r="FR36" s="153"/>
      <c r="FS36" s="153"/>
      <c r="FT36" s="153"/>
      <c r="FU36" s="153"/>
      <c r="FV36" s="153"/>
      <c r="FW36" s="153"/>
      <c r="FX36" s="153"/>
      <c r="FY36" s="153"/>
      <c r="FZ36" s="153"/>
      <c r="GA36" s="153"/>
      <c r="GB36" s="153"/>
      <c r="GC36" s="153"/>
      <c r="GD36" s="153"/>
      <c r="GE36" s="153"/>
      <c r="GF36" s="153"/>
      <c r="GG36" s="153"/>
      <c r="GH36" s="153"/>
      <c r="GI36" s="153"/>
      <c r="GJ36" s="153"/>
      <c r="GK36" s="153"/>
      <c r="GL36" s="153"/>
      <c r="GM36" s="153"/>
      <c r="GN36" s="153"/>
      <c r="GO36" s="153"/>
      <c r="GP36" s="153"/>
      <c r="GQ36" s="153"/>
      <c r="GR36" s="153"/>
      <c r="GS36" s="153"/>
      <c r="GT36" s="153"/>
      <c r="GU36" s="153"/>
      <c r="GV36" s="153"/>
      <c r="GW36" s="153"/>
      <c r="GX36" s="153"/>
      <c r="GY36" s="153"/>
      <c r="GZ36" s="153"/>
      <c r="HA36" s="153"/>
      <c r="HB36" s="153"/>
      <c r="HC36" s="153"/>
      <c r="HD36" s="153"/>
      <c r="HE36" s="153"/>
      <c r="HF36" s="153"/>
      <c r="HG36" s="153"/>
      <c r="HH36" s="153"/>
      <c r="HI36" s="153"/>
      <c r="HJ36" s="153"/>
      <c r="HK36" s="153"/>
      <c r="HL36" s="153"/>
      <c r="HM36" s="153"/>
      <c r="HN36" s="153"/>
      <c r="HO36" s="153"/>
      <c r="HP36" s="153"/>
      <c r="HQ36" s="153"/>
      <c r="HR36" s="153"/>
      <c r="HS36" s="153"/>
      <c r="HT36" s="153"/>
      <c r="HU36" s="153"/>
      <c r="HV36" s="153"/>
      <c r="HW36" s="153"/>
      <c r="HX36" s="153"/>
      <c r="HY36" s="153"/>
      <c r="HZ36" s="153"/>
      <c r="IA36" s="153"/>
      <c r="IB36" s="153"/>
      <c r="IC36" s="153"/>
      <c r="ID36" s="153"/>
      <c r="IE36" s="153"/>
      <c r="IF36" s="153"/>
      <c r="IG36" s="153"/>
      <c r="IH36" s="153"/>
      <c r="II36" s="153"/>
      <c r="IJ36" s="153"/>
      <c r="IK36" s="153"/>
      <c r="IL36" s="153"/>
      <c r="IM36" s="153"/>
      <c r="IN36" s="153"/>
      <c r="IO36" s="153"/>
      <c r="IP36" s="153"/>
      <c r="IQ36" s="153"/>
      <c r="IR36" s="153"/>
      <c r="IS36" s="153"/>
      <c r="IT36" s="153"/>
      <c r="IU36" s="153"/>
      <c r="IV36" s="153"/>
      <c r="IW36" s="153"/>
    </row>
    <row r="37" spans="1:257" s="229" customFormat="1" ht="18" customHeight="1" x14ac:dyDescent="0.35">
      <c r="A37" s="236">
        <v>29</v>
      </c>
      <c r="B37" s="234"/>
      <c r="C37" s="154"/>
      <c r="D37" s="260" t="s">
        <v>238</v>
      </c>
      <c r="E37" s="161"/>
      <c r="F37" s="161"/>
      <c r="G37" s="801"/>
      <c r="H37" s="263"/>
      <c r="I37" s="321"/>
      <c r="J37" s="321"/>
      <c r="K37" s="321">
        <v>11939</v>
      </c>
      <c r="L37" s="321"/>
      <c r="M37" s="321"/>
      <c r="N37" s="790"/>
      <c r="O37" s="1037"/>
      <c r="P37" s="258">
        <f>SUM(I37:O37)</f>
        <v>11939</v>
      </c>
      <c r="Q37" s="802"/>
      <c r="R37" s="153"/>
      <c r="S37" s="153"/>
      <c r="T37" s="153"/>
      <c r="U37" s="153"/>
      <c r="V37" s="153"/>
      <c r="W37" s="153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  <c r="BI37" s="153"/>
      <c r="BJ37" s="153"/>
      <c r="BK37" s="153"/>
      <c r="BL37" s="153"/>
      <c r="BM37" s="153"/>
      <c r="BN37" s="153"/>
      <c r="BO37" s="153"/>
      <c r="BP37" s="153"/>
      <c r="BQ37" s="153"/>
      <c r="BR37" s="153"/>
      <c r="BS37" s="153"/>
      <c r="BT37" s="153"/>
      <c r="BU37" s="153"/>
      <c r="BV37" s="153"/>
      <c r="BW37" s="153"/>
      <c r="BX37" s="153"/>
      <c r="BY37" s="153"/>
      <c r="BZ37" s="153"/>
      <c r="CA37" s="153"/>
      <c r="CB37" s="153"/>
      <c r="CC37" s="153"/>
      <c r="CD37" s="153"/>
      <c r="CE37" s="153"/>
      <c r="CF37" s="153"/>
      <c r="CG37" s="153"/>
      <c r="CH37" s="153"/>
      <c r="CI37" s="153"/>
      <c r="CJ37" s="153"/>
      <c r="CK37" s="153"/>
      <c r="CL37" s="153"/>
      <c r="CM37" s="153"/>
      <c r="CN37" s="153"/>
      <c r="CO37" s="153"/>
      <c r="CP37" s="153"/>
      <c r="CQ37" s="153"/>
      <c r="CR37" s="153"/>
      <c r="CS37" s="153"/>
      <c r="CT37" s="153"/>
      <c r="CU37" s="153"/>
      <c r="CV37" s="153"/>
      <c r="CW37" s="153"/>
      <c r="CX37" s="153"/>
      <c r="CY37" s="153"/>
      <c r="CZ37" s="153"/>
      <c r="DA37" s="153"/>
      <c r="DB37" s="153"/>
      <c r="DC37" s="153"/>
      <c r="DD37" s="153"/>
      <c r="DE37" s="153"/>
      <c r="DF37" s="153"/>
      <c r="DG37" s="153"/>
      <c r="DH37" s="153"/>
      <c r="DI37" s="153"/>
      <c r="DJ37" s="153"/>
      <c r="DK37" s="153"/>
      <c r="DL37" s="153"/>
      <c r="DM37" s="153"/>
      <c r="DN37" s="153"/>
      <c r="DO37" s="153"/>
      <c r="DP37" s="153"/>
      <c r="DQ37" s="153"/>
      <c r="DR37" s="153"/>
      <c r="DS37" s="153"/>
      <c r="DT37" s="153"/>
      <c r="DU37" s="153"/>
      <c r="DV37" s="153"/>
      <c r="DW37" s="153"/>
      <c r="DX37" s="153"/>
      <c r="DY37" s="153"/>
      <c r="DZ37" s="153"/>
      <c r="EA37" s="153"/>
      <c r="EB37" s="153"/>
      <c r="EC37" s="153"/>
      <c r="ED37" s="153"/>
      <c r="EE37" s="153"/>
      <c r="EF37" s="153"/>
      <c r="EG37" s="153"/>
      <c r="EH37" s="153"/>
      <c r="EI37" s="153"/>
      <c r="EJ37" s="153"/>
      <c r="EK37" s="153"/>
      <c r="EL37" s="153"/>
      <c r="EM37" s="153"/>
      <c r="EN37" s="153"/>
      <c r="EO37" s="153"/>
      <c r="EP37" s="153"/>
      <c r="EQ37" s="153"/>
      <c r="ER37" s="153"/>
      <c r="ES37" s="153"/>
      <c r="ET37" s="153"/>
      <c r="EU37" s="153"/>
      <c r="EV37" s="153"/>
      <c r="EW37" s="153"/>
      <c r="EX37" s="153"/>
      <c r="EY37" s="153"/>
      <c r="EZ37" s="153"/>
      <c r="FA37" s="153"/>
      <c r="FB37" s="153"/>
      <c r="FC37" s="153"/>
      <c r="FD37" s="153"/>
      <c r="FE37" s="153"/>
      <c r="FF37" s="153"/>
      <c r="FG37" s="153"/>
      <c r="FH37" s="153"/>
      <c r="FI37" s="153"/>
      <c r="FJ37" s="153"/>
      <c r="FK37" s="153"/>
      <c r="FL37" s="153"/>
      <c r="FM37" s="153"/>
      <c r="FN37" s="153"/>
      <c r="FO37" s="153"/>
      <c r="FP37" s="153"/>
      <c r="FQ37" s="153"/>
      <c r="FR37" s="153"/>
      <c r="FS37" s="153"/>
      <c r="FT37" s="153"/>
      <c r="FU37" s="153"/>
      <c r="FV37" s="153"/>
      <c r="FW37" s="153"/>
      <c r="FX37" s="153"/>
      <c r="FY37" s="153"/>
      <c r="FZ37" s="153"/>
      <c r="GA37" s="153"/>
      <c r="GB37" s="153"/>
      <c r="GC37" s="153"/>
      <c r="GD37" s="153"/>
      <c r="GE37" s="153"/>
      <c r="GF37" s="153"/>
      <c r="GG37" s="153"/>
      <c r="GH37" s="153"/>
      <c r="GI37" s="153"/>
      <c r="GJ37" s="153"/>
      <c r="GK37" s="153"/>
      <c r="GL37" s="153"/>
      <c r="GM37" s="153"/>
      <c r="GN37" s="153"/>
      <c r="GO37" s="153"/>
      <c r="GP37" s="153"/>
      <c r="GQ37" s="153"/>
      <c r="GR37" s="153"/>
      <c r="GS37" s="153"/>
      <c r="GT37" s="153"/>
      <c r="GU37" s="153"/>
      <c r="GV37" s="153"/>
      <c r="GW37" s="153"/>
      <c r="GX37" s="153"/>
      <c r="GY37" s="153"/>
      <c r="GZ37" s="153"/>
      <c r="HA37" s="153"/>
      <c r="HB37" s="153"/>
      <c r="HC37" s="153"/>
      <c r="HD37" s="153"/>
      <c r="HE37" s="153"/>
      <c r="HF37" s="153"/>
      <c r="HG37" s="153"/>
      <c r="HH37" s="153"/>
      <c r="HI37" s="153"/>
      <c r="HJ37" s="153"/>
      <c r="HK37" s="153"/>
      <c r="HL37" s="153"/>
      <c r="HM37" s="153"/>
      <c r="HN37" s="153"/>
      <c r="HO37" s="153"/>
      <c r="HP37" s="153"/>
      <c r="HQ37" s="153"/>
      <c r="HR37" s="153"/>
      <c r="HS37" s="153"/>
      <c r="HT37" s="153"/>
      <c r="HU37" s="153"/>
      <c r="HV37" s="153"/>
      <c r="HW37" s="153"/>
      <c r="HX37" s="153"/>
      <c r="HY37" s="153"/>
      <c r="HZ37" s="153"/>
      <c r="IA37" s="153"/>
      <c r="IB37" s="153"/>
      <c r="IC37" s="153"/>
      <c r="ID37" s="153"/>
      <c r="IE37" s="153"/>
      <c r="IF37" s="153"/>
      <c r="IG37" s="153"/>
      <c r="IH37" s="153"/>
      <c r="II37" s="153"/>
      <c r="IJ37" s="153"/>
      <c r="IK37" s="153"/>
      <c r="IL37" s="153"/>
      <c r="IM37" s="153"/>
      <c r="IN37" s="153"/>
      <c r="IO37" s="153"/>
      <c r="IP37" s="153"/>
      <c r="IQ37" s="153"/>
      <c r="IR37" s="153"/>
      <c r="IS37" s="153"/>
      <c r="IT37" s="153"/>
      <c r="IU37" s="153"/>
      <c r="IV37" s="153"/>
      <c r="IW37" s="153"/>
    </row>
    <row r="38" spans="1:257" s="229" customFormat="1" ht="22.35" customHeight="1" x14ac:dyDescent="0.35">
      <c r="A38" s="236">
        <v>30</v>
      </c>
      <c r="B38" s="228"/>
      <c r="C38" s="1026">
        <v>36</v>
      </c>
      <c r="D38" s="155" t="s">
        <v>623</v>
      </c>
      <c r="E38" s="1027">
        <f>F38+G38+P39+Q39</f>
        <v>5000</v>
      </c>
      <c r="F38" s="1028"/>
      <c r="G38" s="1029"/>
      <c r="H38" s="1030" t="s">
        <v>24</v>
      </c>
      <c r="I38" s="789"/>
      <c r="J38" s="789"/>
      <c r="K38" s="1031"/>
      <c r="L38" s="1031"/>
      <c r="M38" s="1031"/>
      <c r="N38" s="1032"/>
      <c r="O38" s="1038"/>
      <c r="P38" s="1033"/>
      <c r="Q38" s="1034"/>
      <c r="R38" s="153"/>
      <c r="S38" s="153"/>
      <c r="T38" s="153"/>
      <c r="U38" s="153"/>
      <c r="V38" s="153"/>
      <c r="W38" s="153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  <c r="BI38" s="153"/>
      <c r="BJ38" s="153"/>
      <c r="BK38" s="153"/>
      <c r="BL38" s="153"/>
      <c r="BM38" s="153"/>
      <c r="BN38" s="153"/>
      <c r="BO38" s="153"/>
      <c r="BP38" s="153"/>
      <c r="BQ38" s="153"/>
      <c r="BR38" s="153"/>
      <c r="BS38" s="153"/>
      <c r="BT38" s="153"/>
      <c r="BU38" s="153"/>
      <c r="BV38" s="153"/>
      <c r="BW38" s="153"/>
      <c r="BX38" s="153"/>
      <c r="BY38" s="153"/>
      <c r="BZ38" s="153"/>
      <c r="CA38" s="153"/>
      <c r="CB38" s="153"/>
      <c r="CC38" s="153"/>
      <c r="CD38" s="153"/>
      <c r="CE38" s="153"/>
      <c r="CF38" s="153"/>
      <c r="CG38" s="153"/>
      <c r="CH38" s="153"/>
      <c r="CI38" s="153"/>
      <c r="CJ38" s="153"/>
      <c r="CK38" s="153"/>
      <c r="CL38" s="153"/>
      <c r="CM38" s="153"/>
      <c r="CN38" s="153"/>
      <c r="CO38" s="153"/>
      <c r="CP38" s="153"/>
      <c r="CQ38" s="153"/>
      <c r="CR38" s="153"/>
      <c r="CS38" s="153"/>
      <c r="CT38" s="153"/>
      <c r="CU38" s="153"/>
      <c r="CV38" s="153"/>
      <c r="CW38" s="153"/>
      <c r="CX38" s="153"/>
      <c r="CY38" s="153"/>
      <c r="CZ38" s="153"/>
      <c r="DA38" s="153"/>
      <c r="DB38" s="153"/>
      <c r="DC38" s="153"/>
      <c r="DD38" s="153"/>
      <c r="DE38" s="153"/>
      <c r="DF38" s="153"/>
      <c r="DG38" s="153"/>
      <c r="DH38" s="153"/>
      <c r="DI38" s="153"/>
      <c r="DJ38" s="153"/>
      <c r="DK38" s="153"/>
      <c r="DL38" s="153"/>
      <c r="DM38" s="153"/>
      <c r="DN38" s="153"/>
      <c r="DO38" s="153"/>
      <c r="DP38" s="153"/>
      <c r="DQ38" s="153"/>
      <c r="DR38" s="153"/>
      <c r="DS38" s="153"/>
      <c r="DT38" s="153"/>
      <c r="DU38" s="153"/>
      <c r="DV38" s="153"/>
      <c r="DW38" s="153"/>
      <c r="DX38" s="153"/>
      <c r="DY38" s="153"/>
      <c r="DZ38" s="153"/>
      <c r="EA38" s="153"/>
      <c r="EB38" s="153"/>
      <c r="EC38" s="153"/>
      <c r="ED38" s="153"/>
      <c r="EE38" s="153"/>
      <c r="EF38" s="153"/>
      <c r="EG38" s="153"/>
      <c r="EH38" s="153"/>
      <c r="EI38" s="153"/>
      <c r="EJ38" s="153"/>
      <c r="EK38" s="153"/>
      <c r="EL38" s="153"/>
      <c r="EM38" s="153"/>
      <c r="EN38" s="153"/>
      <c r="EO38" s="153"/>
      <c r="EP38" s="153"/>
      <c r="EQ38" s="153"/>
      <c r="ER38" s="153"/>
      <c r="ES38" s="153"/>
      <c r="ET38" s="153"/>
      <c r="EU38" s="153"/>
      <c r="EV38" s="153"/>
      <c r="EW38" s="153"/>
      <c r="EX38" s="153"/>
      <c r="EY38" s="153"/>
      <c r="EZ38" s="153"/>
      <c r="FA38" s="153"/>
      <c r="FB38" s="153"/>
      <c r="FC38" s="153"/>
      <c r="FD38" s="153"/>
      <c r="FE38" s="153"/>
      <c r="FF38" s="153"/>
      <c r="FG38" s="153"/>
      <c r="FH38" s="153"/>
      <c r="FI38" s="153"/>
      <c r="FJ38" s="153"/>
      <c r="FK38" s="153"/>
      <c r="FL38" s="153"/>
      <c r="FM38" s="153"/>
      <c r="FN38" s="153"/>
      <c r="FO38" s="153"/>
      <c r="FP38" s="153"/>
      <c r="FQ38" s="153"/>
      <c r="FR38" s="153"/>
      <c r="FS38" s="153"/>
      <c r="FT38" s="153"/>
      <c r="FU38" s="153"/>
      <c r="FV38" s="153"/>
      <c r="FW38" s="153"/>
      <c r="FX38" s="153"/>
      <c r="FY38" s="153"/>
      <c r="FZ38" s="153"/>
      <c r="GA38" s="153"/>
      <c r="GB38" s="153"/>
      <c r="GC38" s="153"/>
      <c r="GD38" s="153"/>
      <c r="GE38" s="153"/>
      <c r="GF38" s="153"/>
      <c r="GG38" s="153"/>
      <c r="GH38" s="153"/>
      <c r="GI38" s="153"/>
      <c r="GJ38" s="153"/>
      <c r="GK38" s="153"/>
      <c r="GL38" s="153"/>
      <c r="GM38" s="153"/>
      <c r="GN38" s="153"/>
      <c r="GO38" s="153"/>
      <c r="GP38" s="153"/>
      <c r="GQ38" s="153"/>
      <c r="GR38" s="153"/>
      <c r="GS38" s="153"/>
      <c r="GT38" s="153"/>
      <c r="GU38" s="153"/>
      <c r="GV38" s="153"/>
      <c r="GW38" s="153"/>
      <c r="GX38" s="153"/>
      <c r="GY38" s="153"/>
      <c r="GZ38" s="153"/>
      <c r="HA38" s="153"/>
      <c r="HB38" s="153"/>
      <c r="HC38" s="153"/>
      <c r="HD38" s="153"/>
      <c r="HE38" s="153"/>
      <c r="HF38" s="153"/>
      <c r="HG38" s="153"/>
      <c r="HH38" s="153"/>
      <c r="HI38" s="153"/>
      <c r="HJ38" s="153"/>
      <c r="HK38" s="153"/>
      <c r="HL38" s="153"/>
      <c r="HM38" s="153"/>
      <c r="HN38" s="153"/>
      <c r="HO38" s="153"/>
      <c r="HP38" s="153"/>
      <c r="HQ38" s="153"/>
      <c r="HR38" s="153"/>
      <c r="HS38" s="153"/>
      <c r="HT38" s="153"/>
      <c r="HU38" s="153"/>
      <c r="HV38" s="153"/>
      <c r="HW38" s="153"/>
      <c r="HX38" s="153"/>
      <c r="HY38" s="153"/>
      <c r="HZ38" s="153"/>
      <c r="IA38" s="153"/>
      <c r="IB38" s="153"/>
      <c r="IC38" s="153"/>
      <c r="ID38" s="153"/>
      <c r="IE38" s="153"/>
      <c r="IF38" s="153"/>
      <c r="IG38" s="153"/>
      <c r="IH38" s="153"/>
      <c r="II38" s="153"/>
      <c r="IJ38" s="153"/>
      <c r="IK38" s="153"/>
      <c r="IL38" s="153"/>
      <c r="IM38" s="153"/>
      <c r="IN38" s="153"/>
      <c r="IO38" s="153"/>
      <c r="IP38" s="153"/>
      <c r="IQ38" s="153"/>
      <c r="IR38" s="153"/>
      <c r="IS38" s="153"/>
      <c r="IT38" s="153"/>
      <c r="IU38" s="153"/>
      <c r="IV38" s="153"/>
      <c r="IW38" s="153"/>
    </row>
    <row r="39" spans="1:257" s="229" customFormat="1" ht="18" customHeight="1" x14ac:dyDescent="0.35">
      <c r="A39" s="236">
        <v>31</v>
      </c>
      <c r="B39" s="234"/>
      <c r="C39" s="154"/>
      <c r="D39" s="260" t="s">
        <v>238</v>
      </c>
      <c r="E39" s="633"/>
      <c r="F39" s="803"/>
      <c r="G39" s="634"/>
      <c r="H39" s="263"/>
      <c r="I39" s="321"/>
      <c r="J39" s="321"/>
      <c r="K39" s="321">
        <v>5000</v>
      </c>
      <c r="L39" s="321"/>
      <c r="M39" s="321"/>
      <c r="N39" s="790"/>
      <c r="O39" s="1037"/>
      <c r="P39" s="258">
        <f>SUM(I39:O39)</f>
        <v>5000</v>
      </c>
      <c r="Q39" s="802"/>
      <c r="R39" s="153"/>
      <c r="S39" s="153"/>
      <c r="T39" s="153"/>
      <c r="U39" s="153"/>
      <c r="V39" s="153"/>
      <c r="W39" s="153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  <c r="BI39" s="153"/>
      <c r="BJ39" s="153"/>
      <c r="BK39" s="153"/>
      <c r="BL39" s="153"/>
      <c r="BM39" s="153"/>
      <c r="BN39" s="153"/>
      <c r="BO39" s="153"/>
      <c r="BP39" s="153"/>
      <c r="BQ39" s="153"/>
      <c r="BR39" s="153"/>
      <c r="BS39" s="153"/>
      <c r="BT39" s="153"/>
      <c r="BU39" s="153"/>
      <c r="BV39" s="153"/>
      <c r="BW39" s="153"/>
      <c r="BX39" s="153"/>
      <c r="BY39" s="153"/>
      <c r="BZ39" s="153"/>
      <c r="CA39" s="153"/>
      <c r="CB39" s="153"/>
      <c r="CC39" s="153"/>
      <c r="CD39" s="153"/>
      <c r="CE39" s="153"/>
      <c r="CF39" s="153"/>
      <c r="CG39" s="153"/>
      <c r="CH39" s="153"/>
      <c r="CI39" s="153"/>
      <c r="CJ39" s="153"/>
      <c r="CK39" s="153"/>
      <c r="CL39" s="153"/>
      <c r="CM39" s="153"/>
      <c r="CN39" s="153"/>
      <c r="CO39" s="153"/>
      <c r="CP39" s="153"/>
      <c r="CQ39" s="153"/>
      <c r="CR39" s="153"/>
      <c r="CS39" s="153"/>
      <c r="CT39" s="153"/>
      <c r="CU39" s="153"/>
      <c r="CV39" s="153"/>
      <c r="CW39" s="153"/>
      <c r="CX39" s="153"/>
      <c r="CY39" s="153"/>
      <c r="CZ39" s="153"/>
      <c r="DA39" s="153"/>
      <c r="DB39" s="153"/>
      <c r="DC39" s="153"/>
      <c r="DD39" s="153"/>
      <c r="DE39" s="153"/>
      <c r="DF39" s="153"/>
      <c r="DG39" s="153"/>
      <c r="DH39" s="153"/>
      <c r="DI39" s="153"/>
      <c r="DJ39" s="153"/>
      <c r="DK39" s="153"/>
      <c r="DL39" s="153"/>
      <c r="DM39" s="153"/>
      <c r="DN39" s="153"/>
      <c r="DO39" s="153"/>
      <c r="DP39" s="153"/>
      <c r="DQ39" s="153"/>
      <c r="DR39" s="153"/>
      <c r="DS39" s="153"/>
      <c r="DT39" s="153"/>
      <c r="DU39" s="153"/>
      <c r="DV39" s="153"/>
      <c r="DW39" s="153"/>
      <c r="DX39" s="153"/>
      <c r="DY39" s="153"/>
      <c r="DZ39" s="153"/>
      <c r="EA39" s="153"/>
      <c r="EB39" s="153"/>
      <c r="EC39" s="153"/>
      <c r="ED39" s="153"/>
      <c r="EE39" s="153"/>
      <c r="EF39" s="153"/>
      <c r="EG39" s="153"/>
      <c r="EH39" s="153"/>
      <c r="EI39" s="153"/>
      <c r="EJ39" s="153"/>
      <c r="EK39" s="153"/>
      <c r="EL39" s="153"/>
      <c r="EM39" s="153"/>
      <c r="EN39" s="153"/>
      <c r="EO39" s="153"/>
      <c r="EP39" s="153"/>
      <c r="EQ39" s="153"/>
      <c r="ER39" s="153"/>
      <c r="ES39" s="153"/>
      <c r="ET39" s="153"/>
      <c r="EU39" s="153"/>
      <c r="EV39" s="153"/>
      <c r="EW39" s="153"/>
      <c r="EX39" s="153"/>
      <c r="EY39" s="153"/>
      <c r="EZ39" s="153"/>
      <c r="FA39" s="153"/>
      <c r="FB39" s="153"/>
      <c r="FC39" s="153"/>
      <c r="FD39" s="153"/>
      <c r="FE39" s="153"/>
      <c r="FF39" s="153"/>
      <c r="FG39" s="153"/>
      <c r="FH39" s="153"/>
      <c r="FI39" s="153"/>
      <c r="FJ39" s="153"/>
      <c r="FK39" s="153"/>
      <c r="FL39" s="153"/>
      <c r="FM39" s="153"/>
      <c r="FN39" s="153"/>
      <c r="FO39" s="153"/>
      <c r="FP39" s="153"/>
      <c r="FQ39" s="153"/>
      <c r="FR39" s="153"/>
      <c r="FS39" s="153"/>
      <c r="FT39" s="153"/>
      <c r="FU39" s="153"/>
      <c r="FV39" s="153"/>
      <c r="FW39" s="153"/>
      <c r="FX39" s="153"/>
      <c r="FY39" s="153"/>
      <c r="FZ39" s="153"/>
      <c r="GA39" s="153"/>
      <c r="GB39" s="153"/>
      <c r="GC39" s="153"/>
      <c r="GD39" s="153"/>
      <c r="GE39" s="153"/>
      <c r="GF39" s="153"/>
      <c r="GG39" s="153"/>
      <c r="GH39" s="153"/>
      <c r="GI39" s="153"/>
      <c r="GJ39" s="153"/>
      <c r="GK39" s="153"/>
      <c r="GL39" s="153"/>
      <c r="GM39" s="153"/>
      <c r="GN39" s="153"/>
      <c r="GO39" s="153"/>
      <c r="GP39" s="153"/>
      <c r="GQ39" s="153"/>
      <c r="GR39" s="153"/>
      <c r="GS39" s="153"/>
      <c r="GT39" s="153"/>
      <c r="GU39" s="153"/>
      <c r="GV39" s="153"/>
      <c r="GW39" s="153"/>
      <c r="GX39" s="153"/>
      <c r="GY39" s="153"/>
      <c r="GZ39" s="153"/>
      <c r="HA39" s="153"/>
      <c r="HB39" s="153"/>
      <c r="HC39" s="153"/>
      <c r="HD39" s="153"/>
      <c r="HE39" s="153"/>
      <c r="HF39" s="153"/>
      <c r="HG39" s="153"/>
      <c r="HH39" s="153"/>
      <c r="HI39" s="153"/>
      <c r="HJ39" s="153"/>
      <c r="HK39" s="153"/>
      <c r="HL39" s="153"/>
      <c r="HM39" s="153"/>
      <c r="HN39" s="153"/>
      <c r="HO39" s="153"/>
      <c r="HP39" s="153"/>
      <c r="HQ39" s="153"/>
      <c r="HR39" s="153"/>
      <c r="HS39" s="153"/>
      <c r="HT39" s="153"/>
      <c r="HU39" s="153"/>
      <c r="HV39" s="153"/>
      <c r="HW39" s="153"/>
      <c r="HX39" s="153"/>
      <c r="HY39" s="153"/>
      <c r="HZ39" s="153"/>
      <c r="IA39" s="153"/>
      <c r="IB39" s="153"/>
      <c r="IC39" s="153"/>
      <c r="ID39" s="153"/>
      <c r="IE39" s="153"/>
      <c r="IF39" s="153"/>
      <c r="IG39" s="153"/>
      <c r="IH39" s="153"/>
      <c r="II39" s="153"/>
      <c r="IJ39" s="153"/>
      <c r="IK39" s="153"/>
      <c r="IL39" s="153"/>
      <c r="IM39" s="153"/>
      <c r="IN39" s="153"/>
      <c r="IO39" s="153"/>
      <c r="IP39" s="153"/>
      <c r="IQ39" s="153"/>
      <c r="IR39" s="153"/>
      <c r="IS39" s="153"/>
      <c r="IT39" s="153"/>
      <c r="IU39" s="153"/>
      <c r="IV39" s="153"/>
      <c r="IW39" s="153"/>
    </row>
    <row r="40" spans="1:257" s="229" customFormat="1" ht="33.75" x14ac:dyDescent="0.35">
      <c r="A40" s="236">
        <v>32</v>
      </c>
      <c r="B40" s="234"/>
      <c r="C40" s="154">
        <v>37</v>
      </c>
      <c r="D40" s="155" t="s">
        <v>624</v>
      </c>
      <c r="E40" s="633">
        <f>F40+G40+P41+Q41</f>
        <v>39000</v>
      </c>
      <c r="F40" s="803"/>
      <c r="G40" s="634"/>
      <c r="H40" s="668" t="s">
        <v>24</v>
      </c>
      <c r="I40" s="321"/>
      <c r="J40" s="321"/>
      <c r="K40" s="321"/>
      <c r="L40" s="321"/>
      <c r="M40" s="321"/>
      <c r="N40" s="790"/>
      <c r="O40" s="1037"/>
      <c r="P40" s="258"/>
      <c r="Q40" s="802"/>
      <c r="R40" s="153"/>
      <c r="S40" s="153"/>
      <c r="T40" s="153"/>
      <c r="U40" s="153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  <c r="BI40" s="153"/>
      <c r="BJ40" s="153"/>
      <c r="BK40" s="153"/>
      <c r="BL40" s="153"/>
      <c r="BM40" s="153"/>
      <c r="BN40" s="153"/>
      <c r="BO40" s="153"/>
      <c r="BP40" s="153"/>
      <c r="BQ40" s="153"/>
      <c r="BR40" s="153"/>
      <c r="BS40" s="153"/>
      <c r="BT40" s="153"/>
      <c r="BU40" s="153"/>
      <c r="BV40" s="153"/>
      <c r="BW40" s="153"/>
      <c r="BX40" s="153"/>
      <c r="BY40" s="153"/>
      <c r="BZ40" s="153"/>
      <c r="CA40" s="153"/>
      <c r="CB40" s="153"/>
      <c r="CC40" s="153"/>
      <c r="CD40" s="153"/>
      <c r="CE40" s="153"/>
      <c r="CF40" s="153"/>
      <c r="CG40" s="153"/>
      <c r="CH40" s="153"/>
      <c r="CI40" s="153"/>
      <c r="CJ40" s="153"/>
      <c r="CK40" s="153"/>
      <c r="CL40" s="153"/>
      <c r="CM40" s="153"/>
      <c r="CN40" s="153"/>
      <c r="CO40" s="153"/>
      <c r="CP40" s="153"/>
      <c r="CQ40" s="153"/>
      <c r="CR40" s="153"/>
      <c r="CS40" s="153"/>
      <c r="CT40" s="153"/>
      <c r="CU40" s="153"/>
      <c r="CV40" s="153"/>
      <c r="CW40" s="153"/>
      <c r="CX40" s="153"/>
      <c r="CY40" s="153"/>
      <c r="CZ40" s="153"/>
      <c r="DA40" s="153"/>
      <c r="DB40" s="153"/>
      <c r="DC40" s="153"/>
      <c r="DD40" s="153"/>
      <c r="DE40" s="153"/>
      <c r="DF40" s="153"/>
      <c r="DG40" s="153"/>
      <c r="DH40" s="153"/>
      <c r="DI40" s="153"/>
      <c r="DJ40" s="153"/>
      <c r="DK40" s="153"/>
      <c r="DL40" s="153"/>
      <c r="DM40" s="153"/>
      <c r="DN40" s="153"/>
      <c r="DO40" s="153"/>
      <c r="DP40" s="153"/>
      <c r="DQ40" s="153"/>
      <c r="DR40" s="153"/>
      <c r="DS40" s="153"/>
      <c r="DT40" s="153"/>
      <c r="DU40" s="153"/>
      <c r="DV40" s="153"/>
      <c r="DW40" s="153"/>
      <c r="DX40" s="153"/>
      <c r="DY40" s="153"/>
      <c r="DZ40" s="153"/>
      <c r="EA40" s="153"/>
      <c r="EB40" s="153"/>
      <c r="EC40" s="153"/>
      <c r="ED40" s="153"/>
      <c r="EE40" s="153"/>
      <c r="EF40" s="153"/>
      <c r="EG40" s="153"/>
      <c r="EH40" s="153"/>
      <c r="EI40" s="153"/>
      <c r="EJ40" s="153"/>
      <c r="EK40" s="153"/>
      <c r="EL40" s="153"/>
      <c r="EM40" s="153"/>
      <c r="EN40" s="153"/>
      <c r="EO40" s="153"/>
      <c r="EP40" s="153"/>
      <c r="EQ40" s="153"/>
      <c r="ER40" s="153"/>
      <c r="ES40" s="153"/>
      <c r="ET40" s="153"/>
      <c r="EU40" s="153"/>
      <c r="EV40" s="153"/>
      <c r="EW40" s="153"/>
      <c r="EX40" s="153"/>
      <c r="EY40" s="153"/>
      <c r="EZ40" s="153"/>
      <c r="FA40" s="153"/>
      <c r="FB40" s="153"/>
      <c r="FC40" s="153"/>
      <c r="FD40" s="153"/>
      <c r="FE40" s="153"/>
      <c r="FF40" s="153"/>
      <c r="FG40" s="153"/>
      <c r="FH40" s="153"/>
      <c r="FI40" s="153"/>
      <c r="FJ40" s="153"/>
      <c r="FK40" s="153"/>
      <c r="FL40" s="153"/>
      <c r="FM40" s="153"/>
      <c r="FN40" s="153"/>
      <c r="FO40" s="153"/>
      <c r="FP40" s="153"/>
      <c r="FQ40" s="153"/>
      <c r="FR40" s="153"/>
      <c r="FS40" s="153"/>
      <c r="FT40" s="153"/>
      <c r="FU40" s="153"/>
      <c r="FV40" s="153"/>
      <c r="FW40" s="153"/>
      <c r="FX40" s="153"/>
      <c r="FY40" s="153"/>
      <c r="FZ40" s="153"/>
      <c r="GA40" s="153"/>
      <c r="GB40" s="153"/>
      <c r="GC40" s="153"/>
      <c r="GD40" s="153"/>
      <c r="GE40" s="153"/>
      <c r="GF40" s="153"/>
      <c r="GG40" s="153"/>
      <c r="GH40" s="153"/>
      <c r="GI40" s="153"/>
      <c r="GJ40" s="153"/>
      <c r="GK40" s="153"/>
      <c r="GL40" s="153"/>
      <c r="GM40" s="153"/>
      <c r="GN40" s="153"/>
      <c r="GO40" s="153"/>
      <c r="GP40" s="153"/>
      <c r="GQ40" s="153"/>
      <c r="GR40" s="153"/>
      <c r="GS40" s="153"/>
      <c r="GT40" s="153"/>
      <c r="GU40" s="153"/>
      <c r="GV40" s="153"/>
      <c r="GW40" s="153"/>
      <c r="GX40" s="153"/>
      <c r="GY40" s="153"/>
      <c r="GZ40" s="153"/>
      <c r="HA40" s="153"/>
      <c r="HB40" s="153"/>
      <c r="HC40" s="153"/>
      <c r="HD40" s="153"/>
      <c r="HE40" s="153"/>
      <c r="HF40" s="153"/>
      <c r="HG40" s="153"/>
      <c r="HH40" s="153"/>
      <c r="HI40" s="153"/>
      <c r="HJ40" s="153"/>
      <c r="HK40" s="153"/>
      <c r="HL40" s="153"/>
      <c r="HM40" s="153"/>
      <c r="HN40" s="153"/>
      <c r="HO40" s="153"/>
      <c r="HP40" s="153"/>
      <c r="HQ40" s="153"/>
      <c r="HR40" s="153"/>
      <c r="HS40" s="153"/>
      <c r="HT40" s="153"/>
      <c r="HU40" s="153"/>
      <c r="HV40" s="153"/>
      <c r="HW40" s="153"/>
      <c r="HX40" s="153"/>
      <c r="HY40" s="153"/>
      <c r="HZ40" s="153"/>
      <c r="IA40" s="153"/>
      <c r="IB40" s="153"/>
      <c r="IC40" s="153"/>
      <c r="ID40" s="153"/>
      <c r="IE40" s="153"/>
      <c r="IF40" s="153"/>
      <c r="IG40" s="153"/>
      <c r="IH40" s="153"/>
      <c r="II40" s="153"/>
      <c r="IJ40" s="153"/>
      <c r="IK40" s="153"/>
      <c r="IL40" s="153"/>
      <c r="IM40" s="153"/>
      <c r="IN40" s="153"/>
      <c r="IO40" s="153"/>
      <c r="IP40" s="153"/>
      <c r="IQ40" s="153"/>
      <c r="IR40" s="153"/>
      <c r="IS40" s="153"/>
      <c r="IT40" s="153"/>
      <c r="IU40" s="153"/>
      <c r="IV40" s="153"/>
      <c r="IW40" s="153"/>
    </row>
    <row r="41" spans="1:257" s="229" customFormat="1" ht="18" customHeight="1" x14ac:dyDescent="0.35">
      <c r="A41" s="236">
        <v>33</v>
      </c>
      <c r="B41" s="234"/>
      <c r="C41" s="154"/>
      <c r="D41" s="260" t="s">
        <v>238</v>
      </c>
      <c r="E41" s="633"/>
      <c r="F41" s="803"/>
      <c r="G41" s="634"/>
      <c r="H41" s="263"/>
      <c r="I41" s="321"/>
      <c r="J41" s="321"/>
      <c r="K41" s="259"/>
      <c r="L41" s="259"/>
      <c r="M41" s="259"/>
      <c r="N41" s="790"/>
      <c r="O41" s="1039">
        <v>39000</v>
      </c>
      <c r="P41" s="258">
        <f>SUM(I41:O41)</f>
        <v>39000</v>
      </c>
      <c r="Q41" s="802"/>
      <c r="R41" s="153"/>
      <c r="S41" s="153"/>
      <c r="T41" s="153"/>
      <c r="U41" s="153"/>
      <c r="V41" s="153"/>
      <c r="W41" s="153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  <c r="BI41" s="153"/>
      <c r="BJ41" s="153"/>
      <c r="BK41" s="153"/>
      <c r="BL41" s="153"/>
      <c r="BM41" s="153"/>
      <c r="BN41" s="153"/>
      <c r="BO41" s="153"/>
      <c r="BP41" s="153"/>
      <c r="BQ41" s="153"/>
      <c r="BR41" s="153"/>
      <c r="BS41" s="153"/>
      <c r="BT41" s="153"/>
      <c r="BU41" s="153"/>
      <c r="BV41" s="153"/>
      <c r="BW41" s="153"/>
      <c r="BX41" s="153"/>
      <c r="BY41" s="153"/>
      <c r="BZ41" s="153"/>
      <c r="CA41" s="153"/>
      <c r="CB41" s="153"/>
      <c r="CC41" s="153"/>
      <c r="CD41" s="153"/>
      <c r="CE41" s="153"/>
      <c r="CF41" s="153"/>
      <c r="CG41" s="153"/>
      <c r="CH41" s="153"/>
      <c r="CI41" s="153"/>
      <c r="CJ41" s="153"/>
      <c r="CK41" s="153"/>
      <c r="CL41" s="153"/>
      <c r="CM41" s="153"/>
      <c r="CN41" s="153"/>
      <c r="CO41" s="153"/>
      <c r="CP41" s="153"/>
      <c r="CQ41" s="153"/>
      <c r="CR41" s="153"/>
      <c r="CS41" s="153"/>
      <c r="CT41" s="153"/>
      <c r="CU41" s="153"/>
      <c r="CV41" s="153"/>
      <c r="CW41" s="153"/>
      <c r="CX41" s="153"/>
      <c r="CY41" s="153"/>
      <c r="CZ41" s="153"/>
      <c r="DA41" s="153"/>
      <c r="DB41" s="153"/>
      <c r="DC41" s="153"/>
      <c r="DD41" s="153"/>
      <c r="DE41" s="153"/>
      <c r="DF41" s="153"/>
      <c r="DG41" s="153"/>
      <c r="DH41" s="153"/>
      <c r="DI41" s="153"/>
      <c r="DJ41" s="153"/>
      <c r="DK41" s="153"/>
      <c r="DL41" s="153"/>
      <c r="DM41" s="153"/>
      <c r="DN41" s="153"/>
      <c r="DO41" s="153"/>
      <c r="DP41" s="153"/>
      <c r="DQ41" s="153"/>
      <c r="DR41" s="153"/>
      <c r="DS41" s="153"/>
      <c r="DT41" s="153"/>
      <c r="DU41" s="153"/>
      <c r="DV41" s="153"/>
      <c r="DW41" s="153"/>
      <c r="DX41" s="153"/>
      <c r="DY41" s="153"/>
      <c r="DZ41" s="153"/>
      <c r="EA41" s="153"/>
      <c r="EB41" s="153"/>
      <c r="EC41" s="153"/>
      <c r="ED41" s="153"/>
      <c r="EE41" s="153"/>
      <c r="EF41" s="153"/>
      <c r="EG41" s="153"/>
      <c r="EH41" s="153"/>
      <c r="EI41" s="153"/>
      <c r="EJ41" s="153"/>
      <c r="EK41" s="153"/>
      <c r="EL41" s="153"/>
      <c r="EM41" s="153"/>
      <c r="EN41" s="153"/>
      <c r="EO41" s="153"/>
      <c r="EP41" s="153"/>
      <c r="EQ41" s="153"/>
      <c r="ER41" s="153"/>
      <c r="ES41" s="153"/>
      <c r="ET41" s="153"/>
      <c r="EU41" s="153"/>
      <c r="EV41" s="153"/>
      <c r="EW41" s="153"/>
      <c r="EX41" s="153"/>
      <c r="EY41" s="153"/>
      <c r="EZ41" s="153"/>
      <c r="FA41" s="153"/>
      <c r="FB41" s="153"/>
      <c r="FC41" s="153"/>
      <c r="FD41" s="153"/>
      <c r="FE41" s="153"/>
      <c r="FF41" s="153"/>
      <c r="FG41" s="153"/>
      <c r="FH41" s="153"/>
      <c r="FI41" s="153"/>
      <c r="FJ41" s="153"/>
      <c r="FK41" s="153"/>
      <c r="FL41" s="153"/>
      <c r="FM41" s="153"/>
      <c r="FN41" s="153"/>
      <c r="FO41" s="153"/>
      <c r="FP41" s="153"/>
      <c r="FQ41" s="153"/>
      <c r="FR41" s="153"/>
      <c r="FS41" s="153"/>
      <c r="FT41" s="153"/>
      <c r="FU41" s="153"/>
      <c r="FV41" s="153"/>
      <c r="FW41" s="153"/>
      <c r="FX41" s="153"/>
      <c r="FY41" s="153"/>
      <c r="FZ41" s="153"/>
      <c r="GA41" s="153"/>
      <c r="GB41" s="153"/>
      <c r="GC41" s="153"/>
      <c r="GD41" s="153"/>
      <c r="GE41" s="153"/>
      <c r="GF41" s="153"/>
      <c r="GG41" s="153"/>
      <c r="GH41" s="153"/>
      <c r="GI41" s="153"/>
      <c r="GJ41" s="153"/>
      <c r="GK41" s="153"/>
      <c r="GL41" s="153"/>
      <c r="GM41" s="153"/>
      <c r="GN41" s="153"/>
      <c r="GO41" s="153"/>
      <c r="GP41" s="153"/>
      <c r="GQ41" s="153"/>
      <c r="GR41" s="153"/>
      <c r="GS41" s="153"/>
      <c r="GT41" s="153"/>
      <c r="GU41" s="153"/>
      <c r="GV41" s="153"/>
      <c r="GW41" s="153"/>
      <c r="GX41" s="153"/>
      <c r="GY41" s="153"/>
      <c r="GZ41" s="153"/>
      <c r="HA41" s="153"/>
      <c r="HB41" s="153"/>
      <c r="HC41" s="153"/>
      <c r="HD41" s="153"/>
      <c r="HE41" s="153"/>
      <c r="HF41" s="153"/>
      <c r="HG41" s="153"/>
      <c r="HH41" s="153"/>
      <c r="HI41" s="153"/>
      <c r="HJ41" s="153"/>
      <c r="HK41" s="153"/>
      <c r="HL41" s="153"/>
      <c r="HM41" s="153"/>
      <c r="HN41" s="153"/>
      <c r="HO41" s="153"/>
      <c r="HP41" s="153"/>
      <c r="HQ41" s="153"/>
      <c r="HR41" s="153"/>
      <c r="HS41" s="153"/>
      <c r="HT41" s="153"/>
      <c r="HU41" s="153"/>
      <c r="HV41" s="153"/>
      <c r="HW41" s="153"/>
      <c r="HX41" s="153"/>
      <c r="HY41" s="153"/>
      <c r="HZ41" s="153"/>
      <c r="IA41" s="153"/>
      <c r="IB41" s="153"/>
      <c r="IC41" s="153"/>
      <c r="ID41" s="153"/>
      <c r="IE41" s="153"/>
      <c r="IF41" s="153"/>
      <c r="IG41" s="153"/>
      <c r="IH41" s="153"/>
      <c r="II41" s="153"/>
      <c r="IJ41" s="153"/>
      <c r="IK41" s="153"/>
      <c r="IL41" s="153"/>
      <c r="IM41" s="153"/>
      <c r="IN41" s="153"/>
      <c r="IO41" s="153"/>
      <c r="IP41" s="153"/>
      <c r="IQ41" s="153"/>
      <c r="IR41" s="153"/>
      <c r="IS41" s="153"/>
      <c r="IT41" s="153"/>
      <c r="IU41" s="153"/>
      <c r="IV41" s="153"/>
      <c r="IW41" s="153"/>
    </row>
    <row r="42" spans="1:257" s="229" customFormat="1" ht="36" customHeight="1" x14ac:dyDescent="0.35">
      <c r="A42" s="236">
        <v>34</v>
      </c>
      <c r="B42" s="234"/>
      <c r="C42" s="154">
        <v>38</v>
      </c>
      <c r="D42" s="155" t="s">
        <v>625</v>
      </c>
      <c r="E42" s="633">
        <f>F42+G42+P43+Q43</f>
        <v>26102</v>
      </c>
      <c r="F42" s="803"/>
      <c r="G42" s="634"/>
      <c r="H42" s="668" t="s">
        <v>24</v>
      </c>
      <c r="I42" s="321"/>
      <c r="J42" s="321"/>
      <c r="K42" s="321"/>
      <c r="L42" s="321"/>
      <c r="M42" s="321"/>
      <c r="N42" s="790"/>
      <c r="O42" s="1037"/>
      <c r="P42" s="258"/>
      <c r="Q42" s="802"/>
      <c r="R42" s="153"/>
      <c r="S42" s="153"/>
      <c r="T42" s="153"/>
      <c r="U42" s="153"/>
      <c r="V42" s="153"/>
      <c r="W42" s="153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  <c r="BI42" s="153"/>
      <c r="BJ42" s="153"/>
      <c r="BK42" s="153"/>
      <c r="BL42" s="153"/>
      <c r="BM42" s="153"/>
      <c r="BN42" s="153"/>
      <c r="BO42" s="153"/>
      <c r="BP42" s="153"/>
      <c r="BQ42" s="153"/>
      <c r="BR42" s="153"/>
      <c r="BS42" s="153"/>
      <c r="BT42" s="153"/>
      <c r="BU42" s="153"/>
      <c r="BV42" s="153"/>
      <c r="BW42" s="153"/>
      <c r="BX42" s="153"/>
      <c r="BY42" s="153"/>
      <c r="BZ42" s="153"/>
      <c r="CA42" s="153"/>
      <c r="CB42" s="153"/>
      <c r="CC42" s="153"/>
      <c r="CD42" s="153"/>
      <c r="CE42" s="153"/>
      <c r="CF42" s="153"/>
      <c r="CG42" s="153"/>
      <c r="CH42" s="153"/>
      <c r="CI42" s="153"/>
      <c r="CJ42" s="153"/>
      <c r="CK42" s="153"/>
      <c r="CL42" s="153"/>
      <c r="CM42" s="153"/>
      <c r="CN42" s="153"/>
      <c r="CO42" s="153"/>
      <c r="CP42" s="153"/>
      <c r="CQ42" s="153"/>
      <c r="CR42" s="153"/>
      <c r="CS42" s="153"/>
      <c r="CT42" s="153"/>
      <c r="CU42" s="153"/>
      <c r="CV42" s="153"/>
      <c r="CW42" s="153"/>
      <c r="CX42" s="153"/>
      <c r="CY42" s="153"/>
      <c r="CZ42" s="153"/>
      <c r="DA42" s="153"/>
      <c r="DB42" s="153"/>
      <c r="DC42" s="153"/>
      <c r="DD42" s="153"/>
      <c r="DE42" s="153"/>
      <c r="DF42" s="153"/>
      <c r="DG42" s="153"/>
      <c r="DH42" s="153"/>
      <c r="DI42" s="153"/>
      <c r="DJ42" s="153"/>
      <c r="DK42" s="153"/>
      <c r="DL42" s="153"/>
      <c r="DM42" s="153"/>
      <c r="DN42" s="153"/>
      <c r="DO42" s="153"/>
      <c r="DP42" s="153"/>
      <c r="DQ42" s="153"/>
      <c r="DR42" s="153"/>
      <c r="DS42" s="153"/>
      <c r="DT42" s="153"/>
      <c r="DU42" s="153"/>
      <c r="DV42" s="153"/>
      <c r="DW42" s="153"/>
      <c r="DX42" s="153"/>
      <c r="DY42" s="153"/>
      <c r="DZ42" s="153"/>
      <c r="EA42" s="153"/>
      <c r="EB42" s="153"/>
      <c r="EC42" s="153"/>
      <c r="ED42" s="153"/>
      <c r="EE42" s="153"/>
      <c r="EF42" s="153"/>
      <c r="EG42" s="153"/>
      <c r="EH42" s="153"/>
      <c r="EI42" s="153"/>
      <c r="EJ42" s="153"/>
      <c r="EK42" s="153"/>
      <c r="EL42" s="153"/>
      <c r="EM42" s="153"/>
      <c r="EN42" s="153"/>
      <c r="EO42" s="153"/>
      <c r="EP42" s="153"/>
      <c r="EQ42" s="153"/>
      <c r="ER42" s="153"/>
      <c r="ES42" s="153"/>
      <c r="ET42" s="153"/>
      <c r="EU42" s="153"/>
      <c r="EV42" s="153"/>
      <c r="EW42" s="153"/>
      <c r="EX42" s="153"/>
      <c r="EY42" s="153"/>
      <c r="EZ42" s="153"/>
      <c r="FA42" s="153"/>
      <c r="FB42" s="153"/>
      <c r="FC42" s="153"/>
      <c r="FD42" s="153"/>
      <c r="FE42" s="153"/>
      <c r="FF42" s="153"/>
      <c r="FG42" s="153"/>
      <c r="FH42" s="153"/>
      <c r="FI42" s="153"/>
      <c r="FJ42" s="153"/>
      <c r="FK42" s="153"/>
      <c r="FL42" s="153"/>
      <c r="FM42" s="153"/>
      <c r="FN42" s="153"/>
      <c r="FO42" s="153"/>
      <c r="FP42" s="153"/>
      <c r="FQ42" s="153"/>
      <c r="FR42" s="153"/>
      <c r="FS42" s="153"/>
      <c r="FT42" s="153"/>
      <c r="FU42" s="153"/>
      <c r="FV42" s="153"/>
      <c r="FW42" s="153"/>
      <c r="FX42" s="153"/>
      <c r="FY42" s="153"/>
      <c r="FZ42" s="153"/>
      <c r="GA42" s="153"/>
      <c r="GB42" s="153"/>
      <c r="GC42" s="153"/>
      <c r="GD42" s="153"/>
      <c r="GE42" s="153"/>
      <c r="GF42" s="153"/>
      <c r="GG42" s="153"/>
      <c r="GH42" s="153"/>
      <c r="GI42" s="153"/>
      <c r="GJ42" s="153"/>
      <c r="GK42" s="153"/>
      <c r="GL42" s="153"/>
      <c r="GM42" s="153"/>
      <c r="GN42" s="153"/>
      <c r="GO42" s="153"/>
      <c r="GP42" s="153"/>
      <c r="GQ42" s="153"/>
      <c r="GR42" s="153"/>
      <c r="GS42" s="153"/>
      <c r="GT42" s="153"/>
      <c r="GU42" s="153"/>
      <c r="GV42" s="153"/>
      <c r="GW42" s="153"/>
      <c r="GX42" s="153"/>
      <c r="GY42" s="153"/>
      <c r="GZ42" s="153"/>
      <c r="HA42" s="153"/>
      <c r="HB42" s="153"/>
      <c r="HC42" s="153"/>
      <c r="HD42" s="153"/>
      <c r="HE42" s="153"/>
      <c r="HF42" s="153"/>
      <c r="HG42" s="153"/>
      <c r="HH42" s="153"/>
      <c r="HI42" s="153"/>
      <c r="HJ42" s="153"/>
      <c r="HK42" s="153"/>
      <c r="HL42" s="153"/>
      <c r="HM42" s="153"/>
      <c r="HN42" s="153"/>
      <c r="HO42" s="153"/>
      <c r="HP42" s="153"/>
      <c r="HQ42" s="153"/>
      <c r="HR42" s="153"/>
      <c r="HS42" s="153"/>
      <c r="HT42" s="153"/>
      <c r="HU42" s="153"/>
      <c r="HV42" s="153"/>
      <c r="HW42" s="153"/>
      <c r="HX42" s="153"/>
      <c r="HY42" s="153"/>
      <c r="HZ42" s="153"/>
      <c r="IA42" s="153"/>
      <c r="IB42" s="153"/>
      <c r="IC42" s="153"/>
      <c r="ID42" s="153"/>
      <c r="IE42" s="153"/>
      <c r="IF42" s="153"/>
      <c r="IG42" s="153"/>
      <c r="IH42" s="153"/>
      <c r="II42" s="153"/>
      <c r="IJ42" s="153"/>
      <c r="IK42" s="153"/>
      <c r="IL42" s="153"/>
      <c r="IM42" s="153"/>
      <c r="IN42" s="153"/>
      <c r="IO42" s="153"/>
      <c r="IP42" s="153"/>
      <c r="IQ42" s="153"/>
      <c r="IR42" s="153"/>
      <c r="IS42" s="153"/>
      <c r="IT42" s="153"/>
      <c r="IU42" s="153"/>
      <c r="IV42" s="153"/>
      <c r="IW42" s="153"/>
    </row>
    <row r="43" spans="1:257" s="229" customFormat="1" ht="18" customHeight="1" x14ac:dyDescent="0.35">
      <c r="A43" s="236">
        <v>35</v>
      </c>
      <c r="B43" s="234"/>
      <c r="C43" s="154"/>
      <c r="D43" s="260" t="s">
        <v>238</v>
      </c>
      <c r="E43" s="633"/>
      <c r="F43" s="633"/>
      <c r="G43" s="804"/>
      <c r="H43" s="263"/>
      <c r="I43" s="321"/>
      <c r="J43" s="321"/>
      <c r="K43" s="321"/>
      <c r="L43" s="321"/>
      <c r="M43" s="321">
        <v>26102</v>
      </c>
      <c r="N43" s="321"/>
      <c r="O43" s="1039"/>
      <c r="P43" s="258">
        <f>SUM(I43:O43)</f>
        <v>26102</v>
      </c>
      <c r="Q43" s="802"/>
      <c r="R43" s="153"/>
      <c r="S43" s="153"/>
      <c r="T43" s="153"/>
      <c r="U43" s="153"/>
      <c r="V43" s="153"/>
      <c r="W43" s="153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  <c r="BI43" s="153"/>
      <c r="BJ43" s="153"/>
      <c r="BK43" s="153"/>
      <c r="BL43" s="153"/>
      <c r="BM43" s="153"/>
      <c r="BN43" s="153"/>
      <c r="BO43" s="153"/>
      <c r="BP43" s="153"/>
      <c r="BQ43" s="153"/>
      <c r="BR43" s="153"/>
      <c r="BS43" s="153"/>
      <c r="BT43" s="153"/>
      <c r="BU43" s="153"/>
      <c r="BV43" s="153"/>
      <c r="BW43" s="153"/>
      <c r="BX43" s="153"/>
      <c r="BY43" s="153"/>
      <c r="BZ43" s="153"/>
      <c r="CA43" s="153"/>
      <c r="CB43" s="153"/>
      <c r="CC43" s="153"/>
      <c r="CD43" s="153"/>
      <c r="CE43" s="153"/>
      <c r="CF43" s="153"/>
      <c r="CG43" s="153"/>
      <c r="CH43" s="153"/>
      <c r="CI43" s="153"/>
      <c r="CJ43" s="153"/>
      <c r="CK43" s="153"/>
      <c r="CL43" s="153"/>
      <c r="CM43" s="153"/>
      <c r="CN43" s="153"/>
      <c r="CO43" s="153"/>
      <c r="CP43" s="153"/>
      <c r="CQ43" s="153"/>
      <c r="CR43" s="153"/>
      <c r="CS43" s="153"/>
      <c r="CT43" s="153"/>
      <c r="CU43" s="153"/>
      <c r="CV43" s="153"/>
      <c r="CW43" s="153"/>
      <c r="CX43" s="153"/>
      <c r="CY43" s="153"/>
      <c r="CZ43" s="153"/>
      <c r="DA43" s="153"/>
      <c r="DB43" s="153"/>
      <c r="DC43" s="153"/>
      <c r="DD43" s="153"/>
      <c r="DE43" s="153"/>
      <c r="DF43" s="153"/>
      <c r="DG43" s="153"/>
      <c r="DH43" s="153"/>
      <c r="DI43" s="153"/>
      <c r="DJ43" s="153"/>
      <c r="DK43" s="153"/>
      <c r="DL43" s="153"/>
      <c r="DM43" s="153"/>
      <c r="DN43" s="153"/>
      <c r="DO43" s="153"/>
      <c r="DP43" s="153"/>
      <c r="DQ43" s="153"/>
      <c r="DR43" s="153"/>
      <c r="DS43" s="153"/>
      <c r="DT43" s="153"/>
      <c r="DU43" s="153"/>
      <c r="DV43" s="153"/>
      <c r="DW43" s="153"/>
      <c r="DX43" s="153"/>
      <c r="DY43" s="153"/>
      <c r="DZ43" s="153"/>
      <c r="EA43" s="153"/>
      <c r="EB43" s="153"/>
      <c r="EC43" s="153"/>
      <c r="ED43" s="153"/>
      <c r="EE43" s="153"/>
      <c r="EF43" s="153"/>
      <c r="EG43" s="153"/>
      <c r="EH43" s="153"/>
      <c r="EI43" s="153"/>
      <c r="EJ43" s="153"/>
      <c r="EK43" s="153"/>
      <c r="EL43" s="153"/>
      <c r="EM43" s="153"/>
      <c r="EN43" s="153"/>
      <c r="EO43" s="153"/>
      <c r="EP43" s="153"/>
      <c r="EQ43" s="153"/>
      <c r="ER43" s="153"/>
      <c r="ES43" s="153"/>
      <c r="ET43" s="153"/>
      <c r="EU43" s="153"/>
      <c r="EV43" s="153"/>
      <c r="EW43" s="153"/>
      <c r="EX43" s="153"/>
      <c r="EY43" s="153"/>
      <c r="EZ43" s="153"/>
      <c r="FA43" s="153"/>
      <c r="FB43" s="153"/>
      <c r="FC43" s="153"/>
      <c r="FD43" s="153"/>
      <c r="FE43" s="153"/>
      <c r="FF43" s="153"/>
      <c r="FG43" s="153"/>
      <c r="FH43" s="153"/>
      <c r="FI43" s="153"/>
      <c r="FJ43" s="153"/>
      <c r="FK43" s="153"/>
      <c r="FL43" s="153"/>
      <c r="FM43" s="153"/>
      <c r="FN43" s="153"/>
      <c r="FO43" s="153"/>
      <c r="FP43" s="153"/>
      <c r="FQ43" s="153"/>
      <c r="FR43" s="153"/>
      <c r="FS43" s="153"/>
      <c r="FT43" s="153"/>
      <c r="FU43" s="153"/>
      <c r="FV43" s="153"/>
      <c r="FW43" s="153"/>
      <c r="FX43" s="153"/>
      <c r="FY43" s="153"/>
      <c r="FZ43" s="153"/>
      <c r="GA43" s="153"/>
      <c r="GB43" s="153"/>
      <c r="GC43" s="153"/>
      <c r="GD43" s="153"/>
      <c r="GE43" s="153"/>
      <c r="GF43" s="153"/>
      <c r="GG43" s="153"/>
      <c r="GH43" s="153"/>
      <c r="GI43" s="153"/>
      <c r="GJ43" s="153"/>
      <c r="GK43" s="153"/>
      <c r="GL43" s="153"/>
      <c r="GM43" s="153"/>
      <c r="GN43" s="153"/>
      <c r="GO43" s="153"/>
      <c r="GP43" s="153"/>
      <c r="GQ43" s="153"/>
      <c r="GR43" s="153"/>
      <c r="GS43" s="153"/>
      <c r="GT43" s="153"/>
      <c r="GU43" s="153"/>
      <c r="GV43" s="153"/>
      <c r="GW43" s="153"/>
      <c r="GX43" s="153"/>
      <c r="GY43" s="153"/>
      <c r="GZ43" s="153"/>
      <c r="HA43" s="153"/>
      <c r="HB43" s="153"/>
      <c r="HC43" s="153"/>
      <c r="HD43" s="153"/>
      <c r="HE43" s="153"/>
      <c r="HF43" s="153"/>
      <c r="HG43" s="153"/>
      <c r="HH43" s="153"/>
      <c r="HI43" s="153"/>
      <c r="HJ43" s="153"/>
      <c r="HK43" s="153"/>
      <c r="HL43" s="153"/>
      <c r="HM43" s="153"/>
      <c r="HN43" s="153"/>
      <c r="HO43" s="153"/>
      <c r="HP43" s="153"/>
      <c r="HQ43" s="153"/>
      <c r="HR43" s="153"/>
      <c r="HS43" s="153"/>
      <c r="HT43" s="153"/>
      <c r="HU43" s="153"/>
      <c r="HV43" s="153"/>
      <c r="HW43" s="153"/>
      <c r="HX43" s="153"/>
      <c r="HY43" s="153"/>
      <c r="HZ43" s="153"/>
      <c r="IA43" s="153"/>
      <c r="IB43" s="153"/>
      <c r="IC43" s="153"/>
      <c r="ID43" s="153"/>
      <c r="IE43" s="153"/>
      <c r="IF43" s="153"/>
      <c r="IG43" s="153"/>
      <c r="IH43" s="153"/>
      <c r="II43" s="153"/>
      <c r="IJ43" s="153"/>
      <c r="IK43" s="153"/>
      <c r="IL43" s="153"/>
      <c r="IM43" s="153"/>
      <c r="IN43" s="153"/>
      <c r="IO43" s="153"/>
      <c r="IP43" s="153"/>
      <c r="IQ43" s="153"/>
      <c r="IR43" s="153"/>
      <c r="IS43" s="153"/>
      <c r="IT43" s="153"/>
      <c r="IU43" s="153"/>
      <c r="IV43" s="153"/>
      <c r="IW43" s="153"/>
    </row>
    <row r="44" spans="1:257" s="229" customFormat="1" ht="38.25" customHeight="1" x14ac:dyDescent="0.35">
      <c r="A44" s="236">
        <v>36</v>
      </c>
      <c r="B44" s="234"/>
      <c r="C44" s="154">
        <v>39</v>
      </c>
      <c r="D44" s="155" t="s">
        <v>626</v>
      </c>
      <c r="E44" s="633">
        <f>F44+G44+P45+Q45</f>
        <v>5000</v>
      </c>
      <c r="F44" s="633"/>
      <c r="G44" s="804"/>
      <c r="H44" s="274" t="s">
        <v>24</v>
      </c>
      <c r="I44" s="321"/>
      <c r="J44" s="321"/>
      <c r="K44" s="321"/>
      <c r="L44" s="321"/>
      <c r="M44" s="321"/>
      <c r="N44" s="321"/>
      <c r="O44" s="1039"/>
      <c r="P44" s="258"/>
      <c r="Q44" s="802"/>
      <c r="R44" s="153"/>
      <c r="S44" s="153"/>
      <c r="T44" s="153"/>
      <c r="U44" s="153"/>
      <c r="V44" s="153"/>
      <c r="W44" s="153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  <c r="BI44" s="153"/>
      <c r="BJ44" s="153"/>
      <c r="BK44" s="153"/>
      <c r="BL44" s="153"/>
      <c r="BM44" s="153"/>
      <c r="BN44" s="153"/>
      <c r="BO44" s="153"/>
      <c r="BP44" s="153"/>
      <c r="BQ44" s="153"/>
      <c r="BR44" s="153"/>
      <c r="BS44" s="153"/>
      <c r="BT44" s="153"/>
      <c r="BU44" s="153"/>
      <c r="BV44" s="153"/>
      <c r="BW44" s="153"/>
      <c r="BX44" s="153"/>
      <c r="BY44" s="153"/>
      <c r="BZ44" s="153"/>
      <c r="CA44" s="153"/>
      <c r="CB44" s="153"/>
      <c r="CC44" s="153"/>
      <c r="CD44" s="153"/>
      <c r="CE44" s="153"/>
      <c r="CF44" s="153"/>
      <c r="CG44" s="153"/>
      <c r="CH44" s="153"/>
      <c r="CI44" s="153"/>
      <c r="CJ44" s="153"/>
      <c r="CK44" s="153"/>
      <c r="CL44" s="153"/>
      <c r="CM44" s="153"/>
      <c r="CN44" s="153"/>
      <c r="CO44" s="153"/>
      <c r="CP44" s="153"/>
      <c r="CQ44" s="153"/>
      <c r="CR44" s="153"/>
      <c r="CS44" s="153"/>
      <c r="CT44" s="153"/>
      <c r="CU44" s="153"/>
      <c r="CV44" s="153"/>
      <c r="CW44" s="153"/>
      <c r="CX44" s="153"/>
      <c r="CY44" s="153"/>
      <c r="CZ44" s="153"/>
      <c r="DA44" s="153"/>
      <c r="DB44" s="153"/>
      <c r="DC44" s="153"/>
      <c r="DD44" s="153"/>
      <c r="DE44" s="153"/>
      <c r="DF44" s="153"/>
      <c r="DG44" s="153"/>
      <c r="DH44" s="153"/>
      <c r="DI44" s="153"/>
      <c r="DJ44" s="153"/>
      <c r="DK44" s="153"/>
      <c r="DL44" s="153"/>
      <c r="DM44" s="153"/>
      <c r="DN44" s="153"/>
      <c r="DO44" s="153"/>
      <c r="DP44" s="153"/>
      <c r="DQ44" s="153"/>
      <c r="DR44" s="153"/>
      <c r="DS44" s="153"/>
      <c r="DT44" s="153"/>
      <c r="DU44" s="153"/>
      <c r="DV44" s="153"/>
      <c r="DW44" s="153"/>
      <c r="DX44" s="153"/>
      <c r="DY44" s="153"/>
      <c r="DZ44" s="153"/>
      <c r="EA44" s="153"/>
      <c r="EB44" s="153"/>
      <c r="EC44" s="153"/>
      <c r="ED44" s="153"/>
      <c r="EE44" s="153"/>
      <c r="EF44" s="153"/>
      <c r="EG44" s="153"/>
      <c r="EH44" s="153"/>
      <c r="EI44" s="153"/>
      <c r="EJ44" s="153"/>
      <c r="EK44" s="153"/>
      <c r="EL44" s="153"/>
      <c r="EM44" s="153"/>
      <c r="EN44" s="153"/>
      <c r="EO44" s="153"/>
      <c r="EP44" s="153"/>
      <c r="EQ44" s="153"/>
      <c r="ER44" s="153"/>
      <c r="ES44" s="153"/>
      <c r="ET44" s="153"/>
      <c r="EU44" s="153"/>
      <c r="EV44" s="153"/>
      <c r="EW44" s="153"/>
      <c r="EX44" s="153"/>
      <c r="EY44" s="153"/>
      <c r="EZ44" s="153"/>
      <c r="FA44" s="153"/>
      <c r="FB44" s="153"/>
      <c r="FC44" s="153"/>
      <c r="FD44" s="153"/>
      <c r="FE44" s="153"/>
      <c r="FF44" s="153"/>
      <c r="FG44" s="153"/>
      <c r="FH44" s="153"/>
      <c r="FI44" s="153"/>
      <c r="FJ44" s="153"/>
      <c r="FK44" s="153"/>
      <c r="FL44" s="153"/>
      <c r="FM44" s="153"/>
      <c r="FN44" s="153"/>
      <c r="FO44" s="153"/>
      <c r="FP44" s="153"/>
      <c r="FQ44" s="153"/>
      <c r="FR44" s="153"/>
      <c r="FS44" s="153"/>
      <c r="FT44" s="153"/>
      <c r="FU44" s="153"/>
      <c r="FV44" s="153"/>
      <c r="FW44" s="153"/>
      <c r="FX44" s="153"/>
      <c r="FY44" s="153"/>
      <c r="FZ44" s="153"/>
      <c r="GA44" s="153"/>
      <c r="GB44" s="153"/>
      <c r="GC44" s="153"/>
      <c r="GD44" s="153"/>
      <c r="GE44" s="153"/>
      <c r="GF44" s="153"/>
      <c r="GG44" s="153"/>
      <c r="GH44" s="153"/>
      <c r="GI44" s="153"/>
      <c r="GJ44" s="153"/>
      <c r="GK44" s="153"/>
      <c r="GL44" s="153"/>
      <c r="GM44" s="153"/>
      <c r="GN44" s="153"/>
      <c r="GO44" s="153"/>
      <c r="GP44" s="153"/>
      <c r="GQ44" s="153"/>
      <c r="GR44" s="153"/>
      <c r="GS44" s="153"/>
      <c r="GT44" s="153"/>
      <c r="GU44" s="153"/>
      <c r="GV44" s="153"/>
      <c r="GW44" s="153"/>
      <c r="GX44" s="153"/>
      <c r="GY44" s="153"/>
      <c r="GZ44" s="153"/>
      <c r="HA44" s="153"/>
      <c r="HB44" s="153"/>
      <c r="HC44" s="153"/>
      <c r="HD44" s="153"/>
      <c r="HE44" s="153"/>
      <c r="HF44" s="153"/>
      <c r="HG44" s="153"/>
      <c r="HH44" s="153"/>
      <c r="HI44" s="153"/>
      <c r="HJ44" s="153"/>
      <c r="HK44" s="153"/>
      <c r="HL44" s="153"/>
      <c r="HM44" s="153"/>
      <c r="HN44" s="153"/>
      <c r="HO44" s="153"/>
      <c r="HP44" s="153"/>
      <c r="HQ44" s="153"/>
      <c r="HR44" s="153"/>
      <c r="HS44" s="153"/>
      <c r="HT44" s="153"/>
      <c r="HU44" s="153"/>
      <c r="HV44" s="153"/>
      <c r="HW44" s="153"/>
      <c r="HX44" s="153"/>
      <c r="HY44" s="153"/>
      <c r="HZ44" s="153"/>
      <c r="IA44" s="153"/>
      <c r="IB44" s="153"/>
      <c r="IC44" s="153"/>
      <c r="ID44" s="153"/>
      <c r="IE44" s="153"/>
      <c r="IF44" s="153"/>
      <c r="IG44" s="153"/>
      <c r="IH44" s="153"/>
      <c r="II44" s="153"/>
      <c r="IJ44" s="153"/>
      <c r="IK44" s="153"/>
      <c r="IL44" s="153"/>
      <c r="IM44" s="153"/>
      <c r="IN44" s="153"/>
      <c r="IO44" s="153"/>
      <c r="IP44" s="153"/>
      <c r="IQ44" s="153"/>
      <c r="IR44" s="153"/>
      <c r="IS44" s="153"/>
      <c r="IT44" s="153"/>
      <c r="IU44" s="153"/>
      <c r="IV44" s="153"/>
      <c r="IW44" s="153"/>
    </row>
    <row r="45" spans="1:257" s="229" customFormat="1" ht="18" customHeight="1" x14ac:dyDescent="0.35">
      <c r="A45" s="236">
        <v>37</v>
      </c>
      <c r="B45" s="234"/>
      <c r="C45" s="154"/>
      <c r="D45" s="260" t="s">
        <v>238</v>
      </c>
      <c r="E45" s="633"/>
      <c r="F45" s="633"/>
      <c r="G45" s="804"/>
      <c r="H45" s="274"/>
      <c r="I45" s="321"/>
      <c r="J45" s="321"/>
      <c r="K45" s="321"/>
      <c r="L45" s="321"/>
      <c r="M45" s="321">
        <v>5000</v>
      </c>
      <c r="N45" s="321"/>
      <c r="O45" s="1039"/>
      <c r="P45" s="258">
        <f>SUM(I45:O45)</f>
        <v>5000</v>
      </c>
      <c r="Q45" s="802"/>
      <c r="R45" s="153"/>
      <c r="S45" s="153"/>
      <c r="T45" s="153"/>
      <c r="U45" s="153"/>
      <c r="V45" s="153"/>
      <c r="W45" s="153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  <c r="BI45" s="153"/>
      <c r="BJ45" s="153"/>
      <c r="BK45" s="153"/>
      <c r="BL45" s="153"/>
      <c r="BM45" s="153"/>
      <c r="BN45" s="153"/>
      <c r="BO45" s="153"/>
      <c r="BP45" s="153"/>
      <c r="BQ45" s="153"/>
      <c r="BR45" s="153"/>
      <c r="BS45" s="153"/>
      <c r="BT45" s="153"/>
      <c r="BU45" s="153"/>
      <c r="BV45" s="153"/>
      <c r="BW45" s="153"/>
      <c r="BX45" s="153"/>
      <c r="BY45" s="153"/>
      <c r="BZ45" s="153"/>
      <c r="CA45" s="153"/>
      <c r="CB45" s="153"/>
      <c r="CC45" s="153"/>
      <c r="CD45" s="153"/>
      <c r="CE45" s="153"/>
      <c r="CF45" s="153"/>
      <c r="CG45" s="153"/>
      <c r="CH45" s="153"/>
      <c r="CI45" s="153"/>
      <c r="CJ45" s="153"/>
      <c r="CK45" s="153"/>
      <c r="CL45" s="153"/>
      <c r="CM45" s="153"/>
      <c r="CN45" s="153"/>
      <c r="CO45" s="153"/>
      <c r="CP45" s="153"/>
      <c r="CQ45" s="153"/>
      <c r="CR45" s="153"/>
      <c r="CS45" s="153"/>
      <c r="CT45" s="153"/>
      <c r="CU45" s="153"/>
      <c r="CV45" s="153"/>
      <c r="CW45" s="153"/>
      <c r="CX45" s="153"/>
      <c r="CY45" s="153"/>
      <c r="CZ45" s="153"/>
      <c r="DA45" s="153"/>
      <c r="DB45" s="153"/>
      <c r="DC45" s="153"/>
      <c r="DD45" s="153"/>
      <c r="DE45" s="153"/>
      <c r="DF45" s="153"/>
      <c r="DG45" s="153"/>
      <c r="DH45" s="153"/>
      <c r="DI45" s="153"/>
      <c r="DJ45" s="153"/>
      <c r="DK45" s="153"/>
      <c r="DL45" s="153"/>
      <c r="DM45" s="153"/>
      <c r="DN45" s="153"/>
      <c r="DO45" s="153"/>
      <c r="DP45" s="153"/>
      <c r="DQ45" s="153"/>
      <c r="DR45" s="153"/>
      <c r="DS45" s="153"/>
      <c r="DT45" s="153"/>
      <c r="DU45" s="153"/>
      <c r="DV45" s="153"/>
      <c r="DW45" s="153"/>
      <c r="DX45" s="153"/>
      <c r="DY45" s="153"/>
      <c r="DZ45" s="153"/>
      <c r="EA45" s="153"/>
      <c r="EB45" s="153"/>
      <c r="EC45" s="153"/>
      <c r="ED45" s="153"/>
      <c r="EE45" s="153"/>
      <c r="EF45" s="153"/>
      <c r="EG45" s="153"/>
      <c r="EH45" s="153"/>
      <c r="EI45" s="153"/>
      <c r="EJ45" s="153"/>
      <c r="EK45" s="153"/>
      <c r="EL45" s="153"/>
      <c r="EM45" s="153"/>
      <c r="EN45" s="153"/>
      <c r="EO45" s="153"/>
      <c r="EP45" s="153"/>
      <c r="EQ45" s="153"/>
      <c r="ER45" s="153"/>
      <c r="ES45" s="153"/>
      <c r="ET45" s="153"/>
      <c r="EU45" s="153"/>
      <c r="EV45" s="153"/>
      <c r="EW45" s="153"/>
      <c r="EX45" s="153"/>
      <c r="EY45" s="153"/>
      <c r="EZ45" s="153"/>
      <c r="FA45" s="153"/>
      <c r="FB45" s="153"/>
      <c r="FC45" s="153"/>
      <c r="FD45" s="153"/>
      <c r="FE45" s="153"/>
      <c r="FF45" s="153"/>
      <c r="FG45" s="153"/>
      <c r="FH45" s="153"/>
      <c r="FI45" s="153"/>
      <c r="FJ45" s="153"/>
      <c r="FK45" s="153"/>
      <c r="FL45" s="153"/>
      <c r="FM45" s="153"/>
      <c r="FN45" s="153"/>
      <c r="FO45" s="153"/>
      <c r="FP45" s="153"/>
      <c r="FQ45" s="153"/>
      <c r="FR45" s="153"/>
      <c r="FS45" s="153"/>
      <c r="FT45" s="153"/>
      <c r="FU45" s="153"/>
      <c r="FV45" s="153"/>
      <c r="FW45" s="153"/>
      <c r="FX45" s="153"/>
      <c r="FY45" s="153"/>
      <c r="FZ45" s="153"/>
      <c r="GA45" s="153"/>
      <c r="GB45" s="153"/>
      <c r="GC45" s="153"/>
      <c r="GD45" s="153"/>
      <c r="GE45" s="153"/>
      <c r="GF45" s="153"/>
      <c r="GG45" s="153"/>
      <c r="GH45" s="153"/>
      <c r="GI45" s="153"/>
      <c r="GJ45" s="153"/>
      <c r="GK45" s="153"/>
      <c r="GL45" s="153"/>
      <c r="GM45" s="153"/>
      <c r="GN45" s="153"/>
      <c r="GO45" s="153"/>
      <c r="GP45" s="153"/>
      <c r="GQ45" s="153"/>
      <c r="GR45" s="153"/>
      <c r="GS45" s="153"/>
      <c r="GT45" s="153"/>
      <c r="GU45" s="153"/>
      <c r="GV45" s="153"/>
      <c r="GW45" s="153"/>
      <c r="GX45" s="153"/>
      <c r="GY45" s="153"/>
      <c r="GZ45" s="153"/>
      <c r="HA45" s="153"/>
      <c r="HB45" s="153"/>
      <c r="HC45" s="153"/>
      <c r="HD45" s="153"/>
      <c r="HE45" s="153"/>
      <c r="HF45" s="153"/>
      <c r="HG45" s="153"/>
      <c r="HH45" s="153"/>
      <c r="HI45" s="153"/>
      <c r="HJ45" s="153"/>
      <c r="HK45" s="153"/>
      <c r="HL45" s="153"/>
      <c r="HM45" s="153"/>
      <c r="HN45" s="153"/>
      <c r="HO45" s="153"/>
      <c r="HP45" s="153"/>
      <c r="HQ45" s="153"/>
      <c r="HR45" s="153"/>
      <c r="HS45" s="153"/>
      <c r="HT45" s="153"/>
      <c r="HU45" s="153"/>
      <c r="HV45" s="153"/>
      <c r="HW45" s="153"/>
      <c r="HX45" s="153"/>
      <c r="HY45" s="153"/>
      <c r="HZ45" s="153"/>
      <c r="IA45" s="153"/>
      <c r="IB45" s="153"/>
      <c r="IC45" s="153"/>
      <c r="ID45" s="153"/>
      <c r="IE45" s="153"/>
      <c r="IF45" s="153"/>
      <c r="IG45" s="153"/>
      <c r="IH45" s="153"/>
      <c r="II45" s="153"/>
      <c r="IJ45" s="153"/>
      <c r="IK45" s="153"/>
      <c r="IL45" s="153"/>
      <c r="IM45" s="153"/>
      <c r="IN45" s="153"/>
      <c r="IO45" s="153"/>
      <c r="IP45" s="153"/>
      <c r="IQ45" s="153"/>
      <c r="IR45" s="153"/>
      <c r="IS45" s="153"/>
      <c r="IT45" s="153"/>
      <c r="IU45" s="153"/>
      <c r="IV45" s="153"/>
      <c r="IW45" s="153"/>
    </row>
    <row r="46" spans="1:257" s="229" customFormat="1" ht="36.75" customHeight="1" x14ac:dyDescent="0.35">
      <c r="A46" s="236">
        <v>38</v>
      </c>
      <c r="B46" s="234"/>
      <c r="C46" s="154">
        <v>40</v>
      </c>
      <c r="D46" s="155" t="s">
        <v>627</v>
      </c>
      <c r="E46" s="633">
        <f>F46+G46+P47+Q47</f>
        <v>22000</v>
      </c>
      <c r="F46" s="803"/>
      <c r="G46" s="634"/>
      <c r="H46" s="668" t="s">
        <v>24</v>
      </c>
      <c r="I46" s="321"/>
      <c r="J46" s="321"/>
      <c r="K46" s="321"/>
      <c r="L46" s="321"/>
      <c r="M46" s="321"/>
      <c r="N46" s="790"/>
      <c r="O46" s="1037"/>
      <c r="P46" s="258"/>
      <c r="Q46" s="1074"/>
      <c r="R46" s="153"/>
      <c r="S46" s="153"/>
      <c r="T46" s="153"/>
      <c r="U46" s="153"/>
      <c r="V46" s="153"/>
      <c r="W46" s="153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  <c r="BI46" s="153"/>
      <c r="BJ46" s="153"/>
      <c r="BK46" s="153"/>
      <c r="BL46" s="153"/>
      <c r="BM46" s="153"/>
      <c r="BN46" s="153"/>
      <c r="BO46" s="153"/>
      <c r="BP46" s="153"/>
      <c r="BQ46" s="153"/>
      <c r="BR46" s="153"/>
      <c r="BS46" s="153"/>
      <c r="BT46" s="153"/>
      <c r="BU46" s="153"/>
      <c r="BV46" s="153"/>
      <c r="BW46" s="153"/>
      <c r="BX46" s="153"/>
      <c r="BY46" s="153"/>
      <c r="BZ46" s="153"/>
      <c r="CA46" s="153"/>
      <c r="CB46" s="153"/>
      <c r="CC46" s="153"/>
      <c r="CD46" s="153"/>
      <c r="CE46" s="153"/>
      <c r="CF46" s="153"/>
      <c r="CG46" s="153"/>
      <c r="CH46" s="153"/>
      <c r="CI46" s="153"/>
      <c r="CJ46" s="153"/>
      <c r="CK46" s="153"/>
      <c r="CL46" s="153"/>
      <c r="CM46" s="153"/>
      <c r="CN46" s="153"/>
      <c r="CO46" s="153"/>
      <c r="CP46" s="153"/>
      <c r="CQ46" s="153"/>
      <c r="CR46" s="153"/>
      <c r="CS46" s="153"/>
      <c r="CT46" s="153"/>
      <c r="CU46" s="153"/>
      <c r="CV46" s="153"/>
      <c r="CW46" s="153"/>
      <c r="CX46" s="153"/>
      <c r="CY46" s="153"/>
      <c r="CZ46" s="153"/>
      <c r="DA46" s="153"/>
      <c r="DB46" s="153"/>
      <c r="DC46" s="153"/>
      <c r="DD46" s="153"/>
      <c r="DE46" s="153"/>
      <c r="DF46" s="153"/>
      <c r="DG46" s="153"/>
      <c r="DH46" s="153"/>
      <c r="DI46" s="153"/>
      <c r="DJ46" s="153"/>
      <c r="DK46" s="153"/>
      <c r="DL46" s="153"/>
      <c r="DM46" s="153"/>
      <c r="DN46" s="153"/>
      <c r="DO46" s="153"/>
      <c r="DP46" s="153"/>
      <c r="DQ46" s="153"/>
      <c r="DR46" s="153"/>
      <c r="DS46" s="153"/>
      <c r="DT46" s="153"/>
      <c r="DU46" s="153"/>
      <c r="DV46" s="153"/>
      <c r="DW46" s="153"/>
      <c r="DX46" s="153"/>
      <c r="DY46" s="153"/>
      <c r="DZ46" s="153"/>
      <c r="EA46" s="153"/>
      <c r="EB46" s="153"/>
      <c r="EC46" s="153"/>
      <c r="ED46" s="153"/>
      <c r="EE46" s="153"/>
      <c r="EF46" s="153"/>
      <c r="EG46" s="153"/>
      <c r="EH46" s="153"/>
      <c r="EI46" s="153"/>
      <c r="EJ46" s="153"/>
      <c r="EK46" s="153"/>
      <c r="EL46" s="153"/>
      <c r="EM46" s="153"/>
      <c r="EN46" s="153"/>
      <c r="EO46" s="153"/>
      <c r="EP46" s="153"/>
      <c r="EQ46" s="153"/>
      <c r="ER46" s="153"/>
      <c r="ES46" s="153"/>
      <c r="ET46" s="153"/>
      <c r="EU46" s="153"/>
      <c r="EV46" s="153"/>
      <c r="EW46" s="153"/>
      <c r="EX46" s="153"/>
      <c r="EY46" s="153"/>
      <c r="EZ46" s="153"/>
      <c r="FA46" s="153"/>
      <c r="FB46" s="153"/>
      <c r="FC46" s="153"/>
      <c r="FD46" s="153"/>
      <c r="FE46" s="153"/>
      <c r="FF46" s="153"/>
      <c r="FG46" s="153"/>
      <c r="FH46" s="153"/>
      <c r="FI46" s="153"/>
      <c r="FJ46" s="153"/>
      <c r="FK46" s="153"/>
      <c r="FL46" s="153"/>
      <c r="FM46" s="153"/>
      <c r="FN46" s="153"/>
      <c r="FO46" s="153"/>
      <c r="FP46" s="153"/>
      <c r="FQ46" s="153"/>
      <c r="FR46" s="153"/>
      <c r="FS46" s="153"/>
      <c r="FT46" s="153"/>
      <c r="FU46" s="153"/>
      <c r="FV46" s="153"/>
      <c r="FW46" s="153"/>
      <c r="FX46" s="153"/>
      <c r="FY46" s="153"/>
      <c r="FZ46" s="153"/>
      <c r="GA46" s="153"/>
      <c r="GB46" s="153"/>
      <c r="GC46" s="153"/>
      <c r="GD46" s="153"/>
      <c r="GE46" s="153"/>
      <c r="GF46" s="153"/>
      <c r="GG46" s="153"/>
      <c r="GH46" s="153"/>
      <c r="GI46" s="153"/>
      <c r="GJ46" s="153"/>
      <c r="GK46" s="153"/>
      <c r="GL46" s="153"/>
      <c r="GM46" s="153"/>
      <c r="GN46" s="153"/>
      <c r="GO46" s="153"/>
      <c r="GP46" s="153"/>
      <c r="GQ46" s="153"/>
      <c r="GR46" s="153"/>
      <c r="GS46" s="153"/>
      <c r="GT46" s="153"/>
      <c r="GU46" s="153"/>
      <c r="GV46" s="153"/>
      <c r="GW46" s="153"/>
      <c r="GX46" s="153"/>
      <c r="GY46" s="153"/>
      <c r="GZ46" s="153"/>
      <c r="HA46" s="153"/>
      <c r="HB46" s="153"/>
      <c r="HC46" s="153"/>
      <c r="HD46" s="153"/>
      <c r="HE46" s="153"/>
      <c r="HF46" s="153"/>
      <c r="HG46" s="153"/>
      <c r="HH46" s="153"/>
      <c r="HI46" s="153"/>
      <c r="HJ46" s="153"/>
      <c r="HK46" s="153"/>
      <c r="HL46" s="153"/>
      <c r="HM46" s="153"/>
      <c r="HN46" s="153"/>
      <c r="HO46" s="153"/>
      <c r="HP46" s="153"/>
      <c r="HQ46" s="153"/>
      <c r="HR46" s="153"/>
      <c r="HS46" s="153"/>
      <c r="HT46" s="153"/>
      <c r="HU46" s="153"/>
      <c r="HV46" s="153"/>
      <c r="HW46" s="153"/>
      <c r="HX46" s="153"/>
      <c r="HY46" s="153"/>
      <c r="HZ46" s="153"/>
      <c r="IA46" s="153"/>
      <c r="IB46" s="153"/>
      <c r="IC46" s="153"/>
      <c r="ID46" s="153"/>
      <c r="IE46" s="153"/>
      <c r="IF46" s="153"/>
      <c r="IG46" s="153"/>
      <c r="IH46" s="153"/>
      <c r="II46" s="153"/>
      <c r="IJ46" s="153"/>
      <c r="IK46" s="153"/>
      <c r="IL46" s="153"/>
      <c r="IM46" s="153"/>
      <c r="IN46" s="153"/>
      <c r="IO46" s="153"/>
      <c r="IP46" s="153"/>
      <c r="IQ46" s="153"/>
      <c r="IR46" s="153"/>
      <c r="IS46" s="153"/>
      <c r="IT46" s="153"/>
      <c r="IU46" s="153"/>
      <c r="IV46" s="153"/>
      <c r="IW46" s="153"/>
    </row>
    <row r="47" spans="1:257" x14ac:dyDescent="0.35">
      <c r="A47" s="236">
        <v>39</v>
      </c>
      <c r="B47" s="234"/>
      <c r="C47" s="154"/>
      <c r="D47" s="260" t="s">
        <v>238</v>
      </c>
      <c r="E47" s="633"/>
      <c r="F47" s="803"/>
      <c r="G47" s="634"/>
      <c r="H47" s="263"/>
      <c r="I47" s="321"/>
      <c r="J47" s="321"/>
      <c r="K47" s="259"/>
      <c r="L47" s="259">
        <v>10000</v>
      </c>
      <c r="M47" s="259">
        <v>12000</v>
      </c>
      <c r="N47" s="790"/>
      <c r="O47" s="1037"/>
      <c r="P47" s="258">
        <f>SUM(I47:O47)</f>
        <v>22000</v>
      </c>
      <c r="Q47" s="231"/>
    </row>
    <row r="48" spans="1:257" ht="66.75" x14ac:dyDescent="0.35">
      <c r="A48" s="236">
        <v>40</v>
      </c>
      <c r="B48" s="234"/>
      <c r="C48" s="154">
        <v>41</v>
      </c>
      <c r="D48" s="724" t="s">
        <v>628</v>
      </c>
      <c r="E48" s="633">
        <f>F48+G48+P49+Q49</f>
        <v>110000</v>
      </c>
      <c r="F48" s="803"/>
      <c r="G48" s="634"/>
      <c r="H48" s="668" t="s">
        <v>24</v>
      </c>
      <c r="I48" s="321"/>
      <c r="J48" s="321"/>
      <c r="K48" s="321"/>
      <c r="L48" s="321"/>
      <c r="M48" s="321"/>
      <c r="N48" s="790"/>
      <c r="O48" s="1037"/>
      <c r="P48" s="258"/>
      <c r="Q48" s="1074"/>
    </row>
    <row r="49" spans="1:17" x14ac:dyDescent="0.35">
      <c r="A49" s="236">
        <v>41</v>
      </c>
      <c r="B49" s="234"/>
      <c r="C49" s="154"/>
      <c r="D49" s="260" t="s">
        <v>238</v>
      </c>
      <c r="E49" s="633"/>
      <c r="F49" s="803"/>
      <c r="G49" s="634"/>
      <c r="H49" s="263"/>
      <c r="I49" s="321"/>
      <c r="J49" s="321"/>
      <c r="K49" s="259">
        <v>1700</v>
      </c>
      <c r="L49" s="259"/>
      <c r="M49" s="259">
        <v>108300</v>
      </c>
      <c r="N49" s="790"/>
      <c r="O49" s="1037"/>
      <c r="P49" s="258">
        <f>SUM(I49:O49)</f>
        <v>110000</v>
      </c>
      <c r="Q49" s="231"/>
    </row>
    <row r="50" spans="1:17" ht="33.75" x14ac:dyDescent="0.35">
      <c r="A50" s="236">
        <v>42</v>
      </c>
      <c r="B50" s="234"/>
      <c r="C50" s="154">
        <v>42</v>
      </c>
      <c r="D50" s="724" t="s">
        <v>629</v>
      </c>
      <c r="E50" s="633">
        <f>F50+G50+P51+Q51</f>
        <v>47000</v>
      </c>
      <c r="F50" s="803"/>
      <c r="G50" s="634"/>
      <c r="H50" s="668" t="s">
        <v>24</v>
      </c>
      <c r="I50" s="321"/>
      <c r="J50" s="321"/>
      <c r="K50" s="321"/>
      <c r="L50" s="321"/>
      <c r="M50" s="321"/>
      <c r="N50" s="790"/>
      <c r="O50" s="1037"/>
      <c r="P50" s="258"/>
      <c r="Q50" s="1074"/>
    </row>
    <row r="51" spans="1:17" x14ac:dyDescent="0.35">
      <c r="A51" s="236">
        <v>43</v>
      </c>
      <c r="B51" s="234"/>
      <c r="C51" s="154"/>
      <c r="D51" s="260" t="s">
        <v>238</v>
      </c>
      <c r="E51" s="633"/>
      <c r="F51" s="803"/>
      <c r="G51" s="634"/>
      <c r="H51" s="263"/>
      <c r="I51" s="321"/>
      <c r="J51" s="321"/>
      <c r="K51" s="259"/>
      <c r="L51" s="259"/>
      <c r="M51" s="259"/>
      <c r="N51" s="790"/>
      <c r="O51" s="1039">
        <v>47000</v>
      </c>
      <c r="P51" s="258">
        <f>SUM(I51:O51)</f>
        <v>47000</v>
      </c>
      <c r="Q51" s="231"/>
    </row>
    <row r="52" spans="1:17" ht="33.75" x14ac:dyDescent="0.35">
      <c r="A52" s="236">
        <v>44</v>
      </c>
      <c r="B52" s="234"/>
      <c r="C52" s="154">
        <v>43</v>
      </c>
      <c r="D52" s="724" t="s">
        <v>606</v>
      </c>
      <c r="E52" s="633">
        <f>F52+G52+P53+Q53</f>
        <v>160000</v>
      </c>
      <c r="F52" s="803"/>
      <c r="G52" s="634">
        <v>2667</v>
      </c>
      <c r="H52" s="668" t="s">
        <v>24</v>
      </c>
      <c r="I52" s="321"/>
      <c r="J52" s="321"/>
      <c r="K52" s="321"/>
      <c r="L52" s="321"/>
      <c r="M52" s="321"/>
      <c r="N52" s="790"/>
      <c r="O52" s="1037"/>
      <c r="P52" s="258"/>
      <c r="Q52" s="1074"/>
    </row>
    <row r="53" spans="1:17" x14ac:dyDescent="0.35">
      <c r="A53" s="236">
        <v>45</v>
      </c>
      <c r="B53" s="234"/>
      <c r="C53" s="154"/>
      <c r="D53" s="260" t="s">
        <v>238</v>
      </c>
      <c r="E53" s="633"/>
      <c r="F53" s="803"/>
      <c r="G53" s="634"/>
      <c r="H53" s="263"/>
      <c r="I53" s="321"/>
      <c r="J53" s="321"/>
      <c r="K53" s="259">
        <v>5717</v>
      </c>
      <c r="L53" s="259"/>
      <c r="M53" s="259">
        <v>151616</v>
      </c>
      <c r="N53" s="790"/>
      <c r="O53" s="1037"/>
      <c r="P53" s="258">
        <f>SUM(I53:O53)</f>
        <v>157333</v>
      </c>
      <c r="Q53" s="231"/>
    </row>
    <row r="54" spans="1:17" ht="33.75" x14ac:dyDescent="0.35">
      <c r="A54" s="236">
        <v>46</v>
      </c>
      <c r="B54" s="234"/>
      <c r="C54" s="154">
        <v>44</v>
      </c>
      <c r="D54" s="724" t="s">
        <v>630</v>
      </c>
      <c r="E54" s="633">
        <f>F54+G54+P55+Q55</f>
        <v>265969</v>
      </c>
      <c r="F54" s="803"/>
      <c r="G54" s="634"/>
      <c r="H54" s="668" t="s">
        <v>24</v>
      </c>
      <c r="I54" s="321"/>
      <c r="J54" s="321"/>
      <c r="K54" s="321"/>
      <c r="L54" s="321"/>
      <c r="M54" s="321"/>
      <c r="N54" s="790"/>
      <c r="O54" s="1037"/>
      <c r="P54" s="258"/>
      <c r="Q54" s="1074"/>
    </row>
    <row r="55" spans="1:17" x14ac:dyDescent="0.35">
      <c r="A55" s="236">
        <v>47</v>
      </c>
      <c r="B55" s="234"/>
      <c r="C55" s="154"/>
      <c r="D55" s="260" t="s">
        <v>238</v>
      </c>
      <c r="E55" s="633"/>
      <c r="F55" s="803"/>
      <c r="G55" s="634"/>
      <c r="H55" s="263"/>
      <c r="I55" s="321"/>
      <c r="J55" s="321"/>
      <c r="K55" s="259">
        <v>158375</v>
      </c>
      <c r="L55" s="259"/>
      <c r="M55" s="259">
        <v>107594</v>
      </c>
      <c r="N55" s="790"/>
      <c r="O55" s="1037"/>
      <c r="P55" s="258">
        <f>SUM(I55:O55)</f>
        <v>265969</v>
      </c>
      <c r="Q55" s="231"/>
    </row>
    <row r="56" spans="1:17" ht="50.25" x14ac:dyDescent="0.35">
      <c r="A56" s="236">
        <v>48</v>
      </c>
      <c r="B56" s="234"/>
      <c r="C56" s="154">
        <v>45</v>
      </c>
      <c r="D56" s="724" t="s">
        <v>631</v>
      </c>
      <c r="E56" s="633">
        <f>F56+G56+P57+Q57</f>
        <v>688012</v>
      </c>
      <c r="F56" s="803"/>
      <c r="G56" s="634">
        <v>4293</v>
      </c>
      <c r="H56" s="668" t="s">
        <v>24</v>
      </c>
      <c r="I56" s="321"/>
      <c r="J56" s="321"/>
      <c r="K56" s="321"/>
      <c r="L56" s="321"/>
      <c r="M56" s="321"/>
      <c r="N56" s="790"/>
      <c r="O56" s="1037"/>
      <c r="P56" s="258"/>
      <c r="Q56" s="1074"/>
    </row>
    <row r="57" spans="1:17" x14ac:dyDescent="0.35">
      <c r="A57" s="236">
        <v>49</v>
      </c>
      <c r="B57" s="234"/>
      <c r="C57" s="154"/>
      <c r="D57" s="260" t="s">
        <v>238</v>
      </c>
      <c r="E57" s="633"/>
      <c r="F57" s="803"/>
      <c r="G57" s="634"/>
      <c r="H57" s="263"/>
      <c r="I57" s="321"/>
      <c r="J57" s="321"/>
      <c r="K57" s="259">
        <v>500</v>
      </c>
      <c r="L57" s="259"/>
      <c r="M57" s="259">
        <v>683219</v>
      </c>
      <c r="N57" s="790"/>
      <c r="O57" s="1037"/>
      <c r="P57" s="258">
        <f>SUM(I57:O57)</f>
        <v>683719</v>
      </c>
      <c r="Q57" s="231"/>
    </row>
    <row r="58" spans="1:17" ht="33.75" x14ac:dyDescent="0.35">
      <c r="A58" s="236">
        <v>50</v>
      </c>
      <c r="B58" s="234"/>
      <c r="C58" s="154">
        <v>46</v>
      </c>
      <c r="D58" s="791" t="s">
        <v>609</v>
      </c>
      <c r="E58" s="633">
        <f>F58+G58+P59+Q59</f>
        <v>1496320</v>
      </c>
      <c r="F58" s="803"/>
      <c r="G58" s="634">
        <v>4572</v>
      </c>
      <c r="H58" s="668" t="s">
        <v>24</v>
      </c>
      <c r="I58" s="321"/>
      <c r="J58" s="321"/>
      <c r="K58" s="321"/>
      <c r="L58" s="321"/>
      <c r="M58" s="321"/>
      <c r="N58" s="790"/>
      <c r="O58" s="1037"/>
      <c r="P58" s="258"/>
      <c r="Q58" s="1074"/>
    </row>
    <row r="59" spans="1:17" x14ac:dyDescent="0.35">
      <c r="A59" s="236">
        <v>51</v>
      </c>
      <c r="B59" s="234"/>
      <c r="C59" s="154"/>
      <c r="D59" s="260" t="s">
        <v>238</v>
      </c>
      <c r="E59" s="633"/>
      <c r="F59" s="803"/>
      <c r="G59" s="634"/>
      <c r="H59" s="263"/>
      <c r="I59" s="321"/>
      <c r="J59" s="321"/>
      <c r="K59" s="259">
        <v>943</v>
      </c>
      <c r="L59" s="259"/>
      <c r="M59" s="259">
        <v>1490805</v>
      </c>
      <c r="N59" s="790"/>
      <c r="O59" s="1037"/>
      <c r="P59" s="258">
        <f>SUM(I59:O59)</f>
        <v>1491748</v>
      </c>
      <c r="Q59" s="231"/>
    </row>
    <row r="60" spans="1:17" ht="33.75" x14ac:dyDescent="0.35">
      <c r="A60" s="236">
        <v>52</v>
      </c>
      <c r="B60" s="234"/>
      <c r="C60" s="154">
        <v>47</v>
      </c>
      <c r="D60" s="791" t="s">
        <v>610</v>
      </c>
      <c r="E60" s="633">
        <f>F60+G60+P61+Q61</f>
        <v>128417</v>
      </c>
      <c r="F60" s="803"/>
      <c r="G60" s="634">
        <v>1207</v>
      </c>
      <c r="H60" s="668" t="s">
        <v>24</v>
      </c>
      <c r="I60" s="321"/>
      <c r="J60" s="321"/>
      <c r="K60" s="321"/>
      <c r="L60" s="321"/>
      <c r="M60" s="321"/>
      <c r="N60" s="790"/>
      <c r="O60" s="1037"/>
      <c r="P60" s="258"/>
      <c r="Q60" s="1074"/>
    </row>
    <row r="61" spans="1:17" x14ac:dyDescent="0.35">
      <c r="A61" s="236">
        <v>53</v>
      </c>
      <c r="B61" s="234"/>
      <c r="C61" s="154"/>
      <c r="D61" s="260" t="s">
        <v>238</v>
      </c>
      <c r="E61" s="633"/>
      <c r="F61" s="803"/>
      <c r="G61" s="634"/>
      <c r="H61" s="263"/>
      <c r="I61" s="321"/>
      <c r="J61" s="321"/>
      <c r="K61" s="259">
        <v>5334</v>
      </c>
      <c r="L61" s="259"/>
      <c r="M61" s="259">
        <v>121876</v>
      </c>
      <c r="N61" s="790"/>
      <c r="O61" s="1037"/>
      <c r="P61" s="258">
        <f>SUM(I61:O61)</f>
        <v>127210</v>
      </c>
      <c r="Q61" s="231"/>
    </row>
    <row r="62" spans="1:17" ht="33.75" x14ac:dyDescent="0.35">
      <c r="A62" s="236">
        <v>54</v>
      </c>
      <c r="B62" s="234"/>
      <c r="C62" s="154">
        <v>48</v>
      </c>
      <c r="D62" s="791" t="s">
        <v>612</v>
      </c>
      <c r="E62" s="633">
        <f>F62+G62+P63+Q63</f>
        <v>265801</v>
      </c>
      <c r="F62" s="803"/>
      <c r="G62" s="634">
        <v>4143</v>
      </c>
      <c r="H62" s="668" t="s">
        <v>24</v>
      </c>
      <c r="I62" s="321"/>
      <c r="J62" s="321"/>
      <c r="K62" s="321"/>
      <c r="L62" s="321"/>
      <c r="M62" s="321"/>
      <c r="N62" s="790"/>
      <c r="O62" s="1037"/>
      <c r="P62" s="258"/>
      <c r="Q62" s="1074"/>
    </row>
    <row r="63" spans="1:17" x14ac:dyDescent="0.35">
      <c r="A63" s="236">
        <v>55</v>
      </c>
      <c r="B63" s="234"/>
      <c r="C63" s="154"/>
      <c r="D63" s="260" t="s">
        <v>238</v>
      </c>
      <c r="E63" s="633"/>
      <c r="F63" s="803"/>
      <c r="G63" s="634"/>
      <c r="H63" s="263"/>
      <c r="I63" s="321"/>
      <c r="J63" s="321"/>
      <c r="K63" s="259">
        <v>10350</v>
      </c>
      <c r="L63" s="259"/>
      <c r="M63" s="259">
        <v>251308</v>
      </c>
      <c r="N63" s="790"/>
      <c r="O63" s="1037"/>
      <c r="P63" s="258">
        <f>SUM(I63:O63)</f>
        <v>261658</v>
      </c>
      <c r="Q63" s="231"/>
    </row>
    <row r="64" spans="1:17" ht="50.25" x14ac:dyDescent="0.35">
      <c r="A64" s="236">
        <v>56</v>
      </c>
      <c r="B64" s="234"/>
      <c r="C64" s="154">
        <v>49</v>
      </c>
      <c r="D64" s="791" t="s">
        <v>613</v>
      </c>
      <c r="E64" s="633">
        <f>F64+G64+P65+Q65</f>
        <v>232172</v>
      </c>
      <c r="F64" s="803"/>
      <c r="G64" s="634">
        <v>4143</v>
      </c>
      <c r="H64" s="668" t="s">
        <v>24</v>
      </c>
      <c r="I64" s="321"/>
      <c r="J64" s="321"/>
      <c r="K64" s="321"/>
      <c r="L64" s="321"/>
      <c r="M64" s="321"/>
      <c r="N64" s="790"/>
      <c r="O64" s="1037"/>
      <c r="P64" s="258"/>
      <c r="Q64" s="1074"/>
    </row>
    <row r="65" spans="1:17" x14ac:dyDescent="0.35">
      <c r="A65" s="236">
        <v>57</v>
      </c>
      <c r="B65" s="234"/>
      <c r="C65" s="154"/>
      <c r="D65" s="260" t="s">
        <v>238</v>
      </c>
      <c r="E65" s="633"/>
      <c r="F65" s="803"/>
      <c r="G65" s="634"/>
      <c r="H65" s="263"/>
      <c r="I65" s="321"/>
      <c r="J65" s="321"/>
      <c r="K65" s="259">
        <v>8060</v>
      </c>
      <c r="L65" s="259"/>
      <c r="M65" s="259">
        <v>219969</v>
      </c>
      <c r="N65" s="790"/>
      <c r="O65" s="1037"/>
      <c r="P65" s="258">
        <f>SUM(I65:O65)</f>
        <v>228029</v>
      </c>
      <c r="Q65" s="231"/>
    </row>
    <row r="66" spans="1:17" ht="33.75" x14ac:dyDescent="0.35">
      <c r="A66" s="236">
        <v>58</v>
      </c>
      <c r="B66" s="234"/>
      <c r="C66" s="154">
        <v>50</v>
      </c>
      <c r="D66" s="791" t="s">
        <v>614</v>
      </c>
      <c r="E66" s="633">
        <f>F66+G66+P67+Q67</f>
        <v>90964</v>
      </c>
      <c r="F66" s="803"/>
      <c r="G66" s="634">
        <v>50124</v>
      </c>
      <c r="H66" s="668" t="s">
        <v>24</v>
      </c>
      <c r="I66" s="321"/>
      <c r="J66" s="321"/>
      <c r="K66" s="321"/>
      <c r="L66" s="321"/>
      <c r="M66" s="321"/>
      <c r="N66" s="790"/>
      <c r="O66" s="1037"/>
      <c r="P66" s="258"/>
      <c r="Q66" s="1074"/>
    </row>
    <row r="67" spans="1:17" x14ac:dyDescent="0.35">
      <c r="A67" s="236">
        <v>59</v>
      </c>
      <c r="B67" s="234"/>
      <c r="C67" s="154"/>
      <c r="D67" s="260" t="s">
        <v>238</v>
      </c>
      <c r="E67" s="633"/>
      <c r="F67" s="803"/>
      <c r="G67" s="634"/>
      <c r="H67" s="263"/>
      <c r="I67" s="321"/>
      <c r="J67" s="321"/>
      <c r="K67" s="259">
        <v>1905</v>
      </c>
      <c r="L67" s="259"/>
      <c r="M67" s="259">
        <v>38935</v>
      </c>
      <c r="N67" s="790"/>
      <c r="O67" s="1037"/>
      <c r="P67" s="258">
        <f>SUM(I67:O67)</f>
        <v>40840</v>
      </c>
      <c r="Q67" s="231"/>
    </row>
    <row r="68" spans="1:17" ht="33.75" x14ac:dyDescent="0.35">
      <c r="A68" s="236">
        <v>60</v>
      </c>
      <c r="B68" s="234"/>
      <c r="C68" s="154">
        <v>51</v>
      </c>
      <c r="D68" s="791" t="s">
        <v>615</v>
      </c>
      <c r="E68" s="633">
        <f>F68+G68+P69+Q69</f>
        <v>498000</v>
      </c>
      <c r="F68" s="803"/>
      <c r="G68" s="634">
        <v>8446</v>
      </c>
      <c r="H68" s="668" t="s">
        <v>24</v>
      </c>
      <c r="I68" s="321"/>
      <c r="J68" s="321"/>
      <c r="K68" s="321"/>
      <c r="L68" s="321"/>
      <c r="M68" s="321"/>
      <c r="N68" s="790"/>
      <c r="O68" s="1037"/>
      <c r="P68" s="258"/>
      <c r="Q68" s="1074"/>
    </row>
    <row r="69" spans="1:17" x14ac:dyDescent="0.35">
      <c r="A69" s="236">
        <v>61</v>
      </c>
      <c r="B69" s="234"/>
      <c r="C69" s="154"/>
      <c r="D69" s="260" t="s">
        <v>238</v>
      </c>
      <c r="E69" s="633"/>
      <c r="F69" s="803"/>
      <c r="G69" s="634"/>
      <c r="H69" s="263"/>
      <c r="I69" s="321"/>
      <c r="J69" s="321"/>
      <c r="K69" s="259">
        <v>3810</v>
      </c>
      <c r="L69" s="259"/>
      <c r="M69" s="259">
        <v>485744</v>
      </c>
      <c r="N69" s="790"/>
      <c r="O69" s="1037"/>
      <c r="P69" s="258">
        <f>SUM(I69:O69)</f>
        <v>489554</v>
      </c>
      <c r="Q69" s="231"/>
    </row>
    <row r="70" spans="1:17" ht="33.75" x14ac:dyDescent="0.35">
      <c r="A70" s="236">
        <v>62</v>
      </c>
      <c r="B70" s="234"/>
      <c r="C70" s="154">
        <v>52</v>
      </c>
      <c r="D70" s="791" t="s">
        <v>616</v>
      </c>
      <c r="E70" s="633">
        <f>F70+G70+P71+Q71+6294</f>
        <v>28703</v>
      </c>
      <c r="F70" s="803"/>
      <c r="G70" s="634">
        <v>21529</v>
      </c>
      <c r="H70" s="668" t="s">
        <v>24</v>
      </c>
      <c r="I70" s="321"/>
      <c r="J70" s="321"/>
      <c r="K70" s="321"/>
      <c r="L70" s="321"/>
      <c r="M70" s="321"/>
      <c r="N70" s="790"/>
      <c r="O70" s="1037"/>
      <c r="P70" s="258"/>
      <c r="Q70" s="1074"/>
    </row>
    <row r="71" spans="1:17" x14ac:dyDescent="0.35">
      <c r="A71" s="236">
        <v>63</v>
      </c>
      <c r="B71" s="234"/>
      <c r="C71" s="154"/>
      <c r="D71" s="260" t="s">
        <v>238</v>
      </c>
      <c r="E71" s="633"/>
      <c r="F71" s="803"/>
      <c r="G71" s="634"/>
      <c r="H71" s="263"/>
      <c r="I71" s="321"/>
      <c r="J71" s="321"/>
      <c r="K71" s="259">
        <v>880</v>
      </c>
      <c r="L71" s="259"/>
      <c r="M71" s="259"/>
      <c r="N71" s="790"/>
      <c r="O71" s="1037"/>
      <c r="P71" s="258">
        <f>SUM(I71:O71)</f>
        <v>880</v>
      </c>
      <c r="Q71" s="231"/>
    </row>
    <row r="72" spans="1:17" ht="50.25" x14ac:dyDescent="0.35">
      <c r="A72" s="236">
        <v>64</v>
      </c>
      <c r="B72" s="234"/>
      <c r="C72" s="154">
        <v>53</v>
      </c>
      <c r="D72" s="791" t="s">
        <v>617</v>
      </c>
      <c r="E72" s="633">
        <f>F72+G72+P73+Q73</f>
        <v>303610</v>
      </c>
      <c r="F72" s="803"/>
      <c r="G72" s="634">
        <v>4143</v>
      </c>
      <c r="H72" s="668" t="s">
        <v>24</v>
      </c>
      <c r="I72" s="321"/>
      <c r="J72" s="321"/>
      <c r="K72" s="321"/>
      <c r="L72" s="321"/>
      <c r="M72" s="321"/>
      <c r="N72" s="790"/>
      <c r="O72" s="1037"/>
      <c r="P72" s="258"/>
      <c r="Q72" s="1074"/>
    </row>
    <row r="73" spans="1:17" x14ac:dyDescent="0.35">
      <c r="A73" s="236">
        <v>65</v>
      </c>
      <c r="B73" s="234"/>
      <c r="C73" s="154"/>
      <c r="D73" s="260" t="s">
        <v>238</v>
      </c>
      <c r="E73" s="633"/>
      <c r="F73" s="803"/>
      <c r="G73" s="634"/>
      <c r="H73" s="263"/>
      <c r="I73" s="321"/>
      <c r="J73" s="321"/>
      <c r="K73" s="259">
        <v>12249</v>
      </c>
      <c r="L73" s="259"/>
      <c r="M73" s="259">
        <v>287218</v>
      </c>
      <c r="N73" s="790"/>
      <c r="O73" s="1037"/>
      <c r="P73" s="258">
        <f>SUM(I73:O73)</f>
        <v>299467</v>
      </c>
      <c r="Q73" s="231"/>
    </row>
    <row r="74" spans="1:17" ht="33.75" x14ac:dyDescent="0.35">
      <c r="A74" s="236">
        <v>66</v>
      </c>
      <c r="B74" s="234"/>
      <c r="C74" s="154">
        <v>54</v>
      </c>
      <c r="D74" s="791" t="s">
        <v>618</v>
      </c>
      <c r="E74" s="633">
        <f>F74+G74+P75+Q75</f>
        <v>2335276</v>
      </c>
      <c r="F74" s="803"/>
      <c r="G74" s="634">
        <v>51654</v>
      </c>
      <c r="H74" s="668" t="s">
        <v>24</v>
      </c>
      <c r="I74" s="321"/>
      <c r="J74" s="321"/>
      <c r="K74" s="321"/>
      <c r="L74" s="321"/>
      <c r="M74" s="321"/>
      <c r="N74" s="790"/>
      <c r="O74" s="1037"/>
      <c r="P74" s="258"/>
      <c r="Q74" s="1074"/>
    </row>
    <row r="75" spans="1:17" x14ac:dyDescent="0.35">
      <c r="A75" s="236">
        <v>67</v>
      </c>
      <c r="B75" s="234"/>
      <c r="C75" s="154"/>
      <c r="D75" s="260" t="s">
        <v>238</v>
      </c>
      <c r="E75" s="633"/>
      <c r="F75" s="803"/>
      <c r="G75" s="634"/>
      <c r="H75" s="263"/>
      <c r="I75" s="321"/>
      <c r="J75" s="321"/>
      <c r="K75" s="259">
        <v>91025</v>
      </c>
      <c r="L75" s="259"/>
      <c r="M75" s="259">
        <f>2388597-196000</f>
        <v>2192597</v>
      </c>
      <c r="N75" s="790"/>
      <c r="O75" s="1037"/>
      <c r="P75" s="258">
        <f>SUM(I75:O75)</f>
        <v>2283622</v>
      </c>
      <c r="Q75" s="231"/>
    </row>
    <row r="76" spans="1:17" ht="33.75" x14ac:dyDescent="0.35">
      <c r="A76" s="236">
        <v>68</v>
      </c>
      <c r="B76" s="234"/>
      <c r="C76" s="154">
        <v>55</v>
      </c>
      <c r="D76" s="791" t="s">
        <v>632</v>
      </c>
      <c r="E76" s="633">
        <f>F76+G76+P77+Q77+12285</f>
        <v>194924</v>
      </c>
      <c r="F76" s="803"/>
      <c r="G76" s="634"/>
      <c r="H76" s="668" t="s">
        <v>24</v>
      </c>
      <c r="I76" s="321"/>
      <c r="J76" s="321"/>
      <c r="K76" s="321"/>
      <c r="L76" s="321"/>
      <c r="M76" s="321"/>
      <c r="N76" s="790"/>
      <c r="O76" s="1037"/>
      <c r="P76" s="258"/>
      <c r="Q76" s="1074"/>
    </row>
    <row r="77" spans="1:17" x14ac:dyDescent="0.35">
      <c r="A77" s="236">
        <v>69</v>
      </c>
      <c r="B77" s="234"/>
      <c r="C77" s="154"/>
      <c r="D77" s="260" t="s">
        <v>238</v>
      </c>
      <c r="E77" s="633"/>
      <c r="F77" s="803"/>
      <c r="G77" s="634"/>
      <c r="H77" s="263"/>
      <c r="I77" s="321"/>
      <c r="J77" s="321"/>
      <c r="K77" s="259"/>
      <c r="L77" s="259"/>
      <c r="M77" s="259">
        <v>182639</v>
      </c>
      <c r="N77" s="790"/>
      <c r="O77" s="1037"/>
      <c r="P77" s="258">
        <f>SUM(I77:O77)</f>
        <v>182639</v>
      </c>
      <c r="Q77" s="231"/>
    </row>
    <row r="78" spans="1:17" ht="33.75" x14ac:dyDescent="0.35">
      <c r="A78" s="236">
        <v>70</v>
      </c>
      <c r="B78" s="234"/>
      <c r="C78" s="154">
        <v>56</v>
      </c>
      <c r="D78" s="791" t="s">
        <v>633</v>
      </c>
      <c r="E78" s="633">
        <f>F78+G78+P79+Q79</f>
        <v>1150000</v>
      </c>
      <c r="F78" s="803"/>
      <c r="G78" s="634"/>
      <c r="H78" s="668" t="s">
        <v>24</v>
      </c>
      <c r="I78" s="321"/>
      <c r="J78" s="321"/>
      <c r="K78" s="321"/>
      <c r="L78" s="321"/>
      <c r="M78" s="321"/>
      <c r="N78" s="790"/>
      <c r="O78" s="1037"/>
      <c r="P78" s="258"/>
      <c r="Q78" s="1074"/>
    </row>
    <row r="79" spans="1:17" x14ac:dyDescent="0.35">
      <c r="A79" s="236">
        <v>71</v>
      </c>
      <c r="B79" s="234"/>
      <c r="C79" s="154"/>
      <c r="D79" s="260" t="s">
        <v>238</v>
      </c>
      <c r="E79" s="633"/>
      <c r="F79" s="803"/>
      <c r="G79" s="634"/>
      <c r="H79" s="263"/>
      <c r="I79" s="321"/>
      <c r="J79" s="321"/>
      <c r="K79" s="259"/>
      <c r="L79" s="259"/>
      <c r="M79" s="259">
        <v>1150000</v>
      </c>
      <c r="N79" s="790"/>
      <c r="O79" s="1037"/>
      <c r="P79" s="258">
        <f>SUM(I79:O79)</f>
        <v>1150000</v>
      </c>
      <c r="Q79" s="231"/>
    </row>
    <row r="80" spans="1:17" ht="33.75" x14ac:dyDescent="0.35">
      <c r="A80" s="236">
        <v>72</v>
      </c>
      <c r="B80" s="234"/>
      <c r="C80" s="154">
        <v>57</v>
      </c>
      <c r="D80" s="791" t="s">
        <v>634</v>
      </c>
      <c r="E80" s="633">
        <f>F80+G80+P81+Q81+77193</f>
        <v>700000</v>
      </c>
      <c r="F80" s="803"/>
      <c r="G80" s="634">
        <f>3900+3957</f>
        <v>7857</v>
      </c>
      <c r="H80" s="668" t="s">
        <v>24</v>
      </c>
      <c r="I80" s="321"/>
      <c r="J80" s="321"/>
      <c r="K80" s="321"/>
      <c r="L80" s="321"/>
      <c r="M80" s="321"/>
      <c r="N80" s="790"/>
      <c r="O80" s="1037"/>
      <c r="P80" s="258"/>
      <c r="Q80" s="1074"/>
    </row>
    <row r="81" spans="1:257" x14ac:dyDescent="0.35">
      <c r="A81" s="236">
        <v>73</v>
      </c>
      <c r="B81" s="234"/>
      <c r="C81" s="154"/>
      <c r="D81" s="260" t="s">
        <v>238</v>
      </c>
      <c r="E81" s="633"/>
      <c r="F81" s="803"/>
      <c r="G81" s="634"/>
      <c r="H81" s="263"/>
      <c r="I81" s="321">
        <v>1503</v>
      </c>
      <c r="J81" s="321">
        <v>631</v>
      </c>
      <c r="K81" s="259">
        <v>216816</v>
      </c>
      <c r="L81" s="259">
        <v>200000</v>
      </c>
      <c r="M81" s="259">
        <v>46000</v>
      </c>
      <c r="N81" s="321">
        <v>100000</v>
      </c>
      <c r="O81" s="1039">
        <v>50000</v>
      </c>
      <c r="P81" s="258">
        <f>SUM(I81:O81)</f>
        <v>614950</v>
      </c>
      <c r="Q81" s="231"/>
    </row>
    <row r="82" spans="1:257" ht="33.75" x14ac:dyDescent="0.35">
      <c r="A82" s="236">
        <v>74</v>
      </c>
      <c r="B82" s="234"/>
      <c r="C82" s="154">
        <v>58</v>
      </c>
      <c r="D82" s="791" t="s">
        <v>635</v>
      </c>
      <c r="E82" s="633">
        <f>F82+G82+P83+Q83+6780</f>
        <v>42000</v>
      </c>
      <c r="F82" s="803"/>
      <c r="G82" s="634"/>
      <c r="H82" s="668" t="s">
        <v>24</v>
      </c>
      <c r="I82" s="321"/>
      <c r="J82" s="321"/>
      <c r="K82" s="321"/>
      <c r="L82" s="321"/>
      <c r="M82" s="321"/>
      <c r="N82" s="790"/>
      <c r="O82" s="1037"/>
      <c r="P82" s="258"/>
      <c r="Q82" s="1074"/>
    </row>
    <row r="83" spans="1:257" x14ac:dyDescent="0.35">
      <c r="A83" s="236">
        <v>75</v>
      </c>
      <c r="B83" s="234"/>
      <c r="C83" s="154"/>
      <c r="D83" s="260" t="s">
        <v>238</v>
      </c>
      <c r="E83" s="633"/>
      <c r="F83" s="803"/>
      <c r="G83" s="634"/>
      <c r="H83" s="263"/>
      <c r="I83" s="321">
        <v>400</v>
      </c>
      <c r="J83" s="321">
        <v>52</v>
      </c>
      <c r="K83" s="259">
        <f>41548-6780</f>
        <v>34768</v>
      </c>
      <c r="L83" s="259"/>
      <c r="M83" s="259"/>
      <c r="N83" s="790"/>
      <c r="O83" s="1037"/>
      <c r="P83" s="258">
        <f>SUM(I83:O83)</f>
        <v>35220</v>
      </c>
      <c r="Q83" s="231"/>
    </row>
    <row r="84" spans="1:257" ht="33.75" x14ac:dyDescent="0.35">
      <c r="A84" s="236">
        <v>76</v>
      </c>
      <c r="B84" s="234"/>
      <c r="C84" s="154">
        <v>59</v>
      </c>
      <c r="D84" s="791" t="s">
        <v>636</v>
      </c>
      <c r="E84" s="633">
        <f>F84+G84+P85+Q85+5220</f>
        <v>34850</v>
      </c>
      <c r="F84" s="803"/>
      <c r="G84" s="634"/>
      <c r="H84" s="668" t="s">
        <v>24</v>
      </c>
      <c r="I84" s="321"/>
      <c r="J84" s="321"/>
      <c r="K84" s="321"/>
      <c r="L84" s="321"/>
      <c r="M84" s="321"/>
      <c r="N84" s="790"/>
      <c r="O84" s="1037"/>
      <c r="P84" s="258"/>
      <c r="Q84" s="1074"/>
    </row>
    <row r="85" spans="1:257" x14ac:dyDescent="0.35">
      <c r="A85" s="236">
        <v>77</v>
      </c>
      <c r="B85" s="234"/>
      <c r="C85" s="154"/>
      <c r="D85" s="260" t="s">
        <v>238</v>
      </c>
      <c r="E85" s="633"/>
      <c r="F85" s="803"/>
      <c r="G85" s="634"/>
      <c r="H85" s="263"/>
      <c r="I85" s="321">
        <v>400</v>
      </c>
      <c r="J85" s="321">
        <v>52</v>
      </c>
      <c r="K85" s="259">
        <f>34398-5220</f>
        <v>29178</v>
      </c>
      <c r="L85" s="259"/>
      <c r="M85" s="259"/>
      <c r="N85" s="790"/>
      <c r="O85" s="1037"/>
      <c r="P85" s="258">
        <f>SUM(I85:O85)</f>
        <v>29630</v>
      </c>
      <c r="Q85" s="231"/>
    </row>
    <row r="86" spans="1:257" ht="33.75" x14ac:dyDescent="0.35">
      <c r="A86" s="236">
        <v>78</v>
      </c>
      <c r="B86" s="234"/>
      <c r="C86" s="154">
        <v>60</v>
      </c>
      <c r="D86" s="791" t="s">
        <v>637</v>
      </c>
      <c r="E86" s="633">
        <f>F86+G86+P87+Q87</f>
        <v>54912</v>
      </c>
      <c r="F86" s="803"/>
      <c r="G86" s="634"/>
      <c r="H86" s="668" t="s">
        <v>24</v>
      </c>
      <c r="I86" s="321"/>
      <c r="J86" s="321"/>
      <c r="K86" s="321"/>
      <c r="L86" s="321"/>
      <c r="M86" s="321"/>
      <c r="N86" s="790"/>
      <c r="O86" s="1037"/>
      <c r="P86" s="258"/>
      <c r="Q86" s="1074"/>
    </row>
    <row r="87" spans="1:257" x14ac:dyDescent="0.35">
      <c r="A87" s="236">
        <v>79</v>
      </c>
      <c r="B87" s="234"/>
      <c r="C87" s="154"/>
      <c r="D87" s="260" t="s">
        <v>238</v>
      </c>
      <c r="E87" s="633"/>
      <c r="F87" s="803"/>
      <c r="G87" s="634"/>
      <c r="H87" s="263"/>
      <c r="I87" s="321"/>
      <c r="J87" s="321"/>
      <c r="K87" s="259"/>
      <c r="L87" s="259"/>
      <c r="M87" s="259">
        <f>54812+100</f>
        <v>54912</v>
      </c>
      <c r="N87" s="790"/>
      <c r="O87" s="1037"/>
      <c r="P87" s="258">
        <f>SUM(I87:O87)</f>
        <v>54912</v>
      </c>
      <c r="Q87" s="231"/>
    </row>
    <row r="88" spans="1:257" ht="33.75" x14ac:dyDescent="0.35">
      <c r="A88" s="236">
        <v>80</v>
      </c>
      <c r="B88" s="234"/>
      <c r="C88" s="154">
        <v>61</v>
      </c>
      <c r="D88" s="791" t="s">
        <v>638</v>
      </c>
      <c r="E88" s="633">
        <f>F88+G88+P89+Q89</f>
        <v>55088</v>
      </c>
      <c r="F88" s="803"/>
      <c r="G88" s="634"/>
      <c r="H88" s="668" t="s">
        <v>24</v>
      </c>
      <c r="I88" s="321"/>
      <c r="J88" s="321"/>
      <c r="K88" s="321"/>
      <c r="L88" s="321"/>
      <c r="M88" s="321"/>
      <c r="N88" s="790"/>
      <c r="O88" s="1037"/>
      <c r="P88" s="258"/>
      <c r="Q88" s="1074"/>
    </row>
    <row r="89" spans="1:257" x14ac:dyDescent="0.35">
      <c r="A89" s="236">
        <v>81</v>
      </c>
      <c r="B89" s="234"/>
      <c r="C89" s="154"/>
      <c r="D89" s="260" t="s">
        <v>238</v>
      </c>
      <c r="E89" s="633"/>
      <c r="F89" s="803"/>
      <c r="G89" s="634"/>
      <c r="H89" s="263"/>
      <c r="I89" s="321"/>
      <c r="J89" s="321"/>
      <c r="K89" s="259"/>
      <c r="L89" s="259"/>
      <c r="M89" s="259">
        <f>55188-100</f>
        <v>55088</v>
      </c>
      <c r="N89" s="790"/>
      <c r="O89" s="1037"/>
      <c r="P89" s="258">
        <f>SUM(I89:O89)</f>
        <v>55088</v>
      </c>
      <c r="Q89" s="231"/>
    </row>
    <row r="90" spans="1:257" ht="50.25" customHeight="1" x14ac:dyDescent="0.35">
      <c r="A90" s="236">
        <v>82</v>
      </c>
      <c r="B90" s="234"/>
      <c r="C90" s="154">
        <v>62</v>
      </c>
      <c r="D90" s="1296" t="s">
        <v>639</v>
      </c>
      <c r="E90" s="633">
        <f>F90+G90+P91+Q91</f>
        <v>124000</v>
      </c>
      <c r="F90" s="803"/>
      <c r="G90" s="634"/>
      <c r="H90" s="668" t="s">
        <v>24</v>
      </c>
      <c r="I90" s="321"/>
      <c r="J90" s="321"/>
      <c r="K90" s="321"/>
      <c r="L90" s="321"/>
      <c r="M90" s="321"/>
      <c r="N90" s="790"/>
      <c r="O90" s="1037"/>
      <c r="P90" s="258"/>
      <c r="Q90" s="1074"/>
    </row>
    <row r="91" spans="1:257" x14ac:dyDescent="0.35">
      <c r="A91" s="236">
        <v>83</v>
      </c>
      <c r="B91" s="234"/>
      <c r="C91" s="154"/>
      <c r="D91" s="260" t="s">
        <v>238</v>
      </c>
      <c r="E91" s="633"/>
      <c r="F91" s="803"/>
      <c r="G91" s="634"/>
      <c r="H91" s="263"/>
      <c r="I91" s="321"/>
      <c r="J91" s="321"/>
      <c r="K91" s="259"/>
      <c r="L91" s="259"/>
      <c r="M91" s="259">
        <v>124000</v>
      </c>
      <c r="N91" s="790"/>
      <c r="O91" s="1037"/>
      <c r="P91" s="258">
        <f>SUM(I91:O91)</f>
        <v>124000</v>
      </c>
      <c r="Q91" s="231"/>
    </row>
    <row r="92" spans="1:257" ht="22.5" customHeight="1" x14ac:dyDescent="0.35">
      <c r="A92" s="236">
        <v>84</v>
      </c>
      <c r="B92" s="234"/>
      <c r="C92" s="154">
        <v>63</v>
      </c>
      <c r="D92" s="791" t="s">
        <v>640</v>
      </c>
      <c r="E92" s="633">
        <f>F92+G92+P93+Q93</f>
        <v>4323</v>
      </c>
      <c r="F92" s="803"/>
      <c r="G92" s="634"/>
      <c r="H92" s="668" t="s">
        <v>24</v>
      </c>
      <c r="I92" s="321"/>
      <c r="J92" s="321"/>
      <c r="K92" s="321"/>
      <c r="L92" s="321"/>
      <c r="M92" s="321"/>
      <c r="N92" s="790"/>
      <c r="O92" s="1037"/>
      <c r="P92" s="258"/>
      <c r="Q92" s="1074"/>
    </row>
    <row r="93" spans="1:257" ht="18" thickBot="1" x14ac:dyDescent="0.4">
      <c r="A93" s="236">
        <v>85</v>
      </c>
      <c r="B93" s="1261"/>
      <c r="C93" s="1262"/>
      <c r="D93" s="1263" t="s">
        <v>238</v>
      </c>
      <c r="E93" s="1264"/>
      <c r="F93" s="1265"/>
      <c r="G93" s="1266"/>
      <c r="H93" s="1267"/>
      <c r="I93" s="1268"/>
      <c r="J93" s="1268"/>
      <c r="K93" s="1269">
        <v>4323</v>
      </c>
      <c r="L93" s="1269"/>
      <c r="M93" s="1269"/>
      <c r="N93" s="1270"/>
      <c r="O93" s="1271"/>
      <c r="P93" s="1272">
        <f>SUM(I93:O93)</f>
        <v>4323</v>
      </c>
      <c r="Q93" s="1273"/>
    </row>
    <row r="94" spans="1:257" s="229" customFormat="1" ht="27" customHeight="1" thickTop="1" x14ac:dyDescent="0.35">
      <c r="A94" s="236">
        <v>86</v>
      </c>
      <c r="B94" s="1481" t="s">
        <v>13</v>
      </c>
      <c r="C94" s="1482"/>
      <c r="D94" s="1482"/>
      <c r="E94" s="1482"/>
      <c r="F94" s="1482"/>
      <c r="G94" s="1483"/>
      <c r="H94" s="643"/>
      <c r="I94" s="652"/>
      <c r="J94" s="652"/>
      <c r="K94" s="652"/>
      <c r="L94" s="652"/>
      <c r="M94" s="652"/>
      <c r="N94" s="653"/>
      <c r="O94" s="1035"/>
      <c r="P94" s="646"/>
      <c r="Q94" s="632"/>
      <c r="R94" s="153"/>
      <c r="S94" s="153"/>
      <c r="T94" s="153"/>
      <c r="U94" s="153"/>
      <c r="V94" s="153"/>
      <c r="W94" s="153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  <c r="BI94" s="153"/>
      <c r="BJ94" s="153"/>
      <c r="BK94" s="153"/>
      <c r="BL94" s="153"/>
      <c r="BM94" s="153"/>
      <c r="BN94" s="153"/>
      <c r="BO94" s="153"/>
      <c r="BP94" s="153"/>
      <c r="BQ94" s="153"/>
      <c r="BR94" s="153"/>
      <c r="BS94" s="153"/>
      <c r="BT94" s="153"/>
      <c r="BU94" s="153"/>
      <c r="BV94" s="153"/>
      <c r="BW94" s="153"/>
      <c r="BX94" s="153"/>
      <c r="BY94" s="153"/>
      <c r="BZ94" s="153"/>
      <c r="CA94" s="153"/>
      <c r="CB94" s="153"/>
      <c r="CC94" s="153"/>
      <c r="CD94" s="153"/>
      <c r="CE94" s="153"/>
      <c r="CF94" s="153"/>
      <c r="CG94" s="153"/>
      <c r="CH94" s="153"/>
      <c r="CI94" s="153"/>
      <c r="CJ94" s="153"/>
      <c r="CK94" s="153"/>
      <c r="CL94" s="153"/>
      <c r="CM94" s="153"/>
      <c r="CN94" s="153"/>
      <c r="CO94" s="153"/>
      <c r="CP94" s="153"/>
      <c r="CQ94" s="153"/>
      <c r="CR94" s="153"/>
      <c r="CS94" s="153"/>
      <c r="CT94" s="153"/>
      <c r="CU94" s="153"/>
      <c r="CV94" s="153"/>
      <c r="CW94" s="153"/>
      <c r="CX94" s="153"/>
      <c r="CY94" s="153"/>
      <c r="CZ94" s="153"/>
      <c r="DA94" s="153"/>
      <c r="DB94" s="153"/>
      <c r="DC94" s="153"/>
      <c r="DD94" s="153"/>
      <c r="DE94" s="153"/>
      <c r="DF94" s="153"/>
      <c r="DG94" s="153"/>
      <c r="DH94" s="153"/>
      <c r="DI94" s="153"/>
      <c r="DJ94" s="153"/>
      <c r="DK94" s="153"/>
      <c r="DL94" s="153"/>
      <c r="DM94" s="153"/>
      <c r="DN94" s="153"/>
      <c r="DO94" s="153"/>
      <c r="DP94" s="153"/>
      <c r="DQ94" s="153"/>
      <c r="DR94" s="153"/>
      <c r="DS94" s="153"/>
      <c r="DT94" s="153"/>
      <c r="DU94" s="153"/>
      <c r="DV94" s="153"/>
      <c r="DW94" s="153"/>
      <c r="DX94" s="153"/>
      <c r="DY94" s="153"/>
      <c r="DZ94" s="153"/>
      <c r="EA94" s="153"/>
      <c r="EB94" s="153"/>
      <c r="EC94" s="153"/>
      <c r="ED94" s="153"/>
      <c r="EE94" s="153"/>
      <c r="EF94" s="153"/>
      <c r="EG94" s="153"/>
      <c r="EH94" s="153"/>
      <c r="EI94" s="153"/>
      <c r="EJ94" s="153"/>
      <c r="EK94" s="153"/>
      <c r="EL94" s="153"/>
      <c r="EM94" s="153"/>
      <c r="EN94" s="153"/>
      <c r="EO94" s="153"/>
      <c r="EP94" s="153"/>
      <c r="EQ94" s="153"/>
      <c r="ER94" s="153"/>
      <c r="ES94" s="153"/>
      <c r="ET94" s="153"/>
      <c r="EU94" s="153"/>
      <c r="EV94" s="153"/>
      <c r="EW94" s="153"/>
      <c r="EX94" s="153"/>
      <c r="EY94" s="153"/>
      <c r="EZ94" s="153"/>
      <c r="FA94" s="153"/>
      <c r="FB94" s="153"/>
      <c r="FC94" s="153"/>
      <c r="FD94" s="153"/>
      <c r="FE94" s="153"/>
      <c r="FF94" s="153"/>
      <c r="FG94" s="153"/>
      <c r="FH94" s="153"/>
      <c r="FI94" s="153"/>
      <c r="FJ94" s="153"/>
      <c r="FK94" s="153"/>
      <c r="FL94" s="153"/>
      <c r="FM94" s="153"/>
      <c r="FN94" s="153"/>
      <c r="FO94" s="153"/>
      <c r="FP94" s="153"/>
      <c r="FQ94" s="153"/>
      <c r="FR94" s="153"/>
      <c r="FS94" s="153"/>
      <c r="FT94" s="153"/>
      <c r="FU94" s="153"/>
      <c r="FV94" s="153"/>
      <c r="FW94" s="153"/>
      <c r="FX94" s="153"/>
      <c r="FY94" s="153"/>
      <c r="FZ94" s="153"/>
      <c r="GA94" s="153"/>
      <c r="GB94" s="153"/>
      <c r="GC94" s="153"/>
      <c r="GD94" s="153"/>
      <c r="GE94" s="153"/>
      <c r="GF94" s="153"/>
      <c r="GG94" s="153"/>
      <c r="GH94" s="153"/>
      <c r="GI94" s="153"/>
      <c r="GJ94" s="153"/>
      <c r="GK94" s="153"/>
      <c r="GL94" s="153"/>
      <c r="GM94" s="153"/>
      <c r="GN94" s="153"/>
      <c r="GO94" s="153"/>
      <c r="GP94" s="153"/>
      <c r="GQ94" s="153"/>
      <c r="GR94" s="153"/>
      <c r="GS94" s="153"/>
      <c r="GT94" s="153"/>
      <c r="GU94" s="153"/>
      <c r="GV94" s="153"/>
      <c r="GW94" s="153"/>
      <c r="GX94" s="153"/>
      <c r="GY94" s="153"/>
      <c r="GZ94" s="153"/>
      <c r="HA94" s="153"/>
      <c r="HB94" s="153"/>
      <c r="HC94" s="153"/>
      <c r="HD94" s="153"/>
      <c r="HE94" s="153"/>
      <c r="HF94" s="153"/>
      <c r="HG94" s="153"/>
      <c r="HH94" s="153"/>
      <c r="HI94" s="153"/>
      <c r="HJ94" s="153"/>
      <c r="HK94" s="153"/>
      <c r="HL94" s="153"/>
      <c r="HM94" s="153"/>
      <c r="HN94" s="153"/>
      <c r="HO94" s="153"/>
      <c r="HP94" s="153"/>
      <c r="HQ94" s="153"/>
      <c r="HR94" s="153"/>
      <c r="HS94" s="153"/>
      <c r="HT94" s="153"/>
      <c r="HU94" s="153"/>
      <c r="HV94" s="153"/>
      <c r="HW94" s="153"/>
      <c r="HX94" s="153"/>
      <c r="HY94" s="153"/>
      <c r="HZ94" s="153"/>
      <c r="IA94" s="153"/>
      <c r="IB94" s="153"/>
      <c r="IC94" s="153"/>
      <c r="ID94" s="153"/>
      <c r="IE94" s="153"/>
      <c r="IF94" s="153"/>
      <c r="IG94" s="153"/>
      <c r="IH94" s="153"/>
      <c r="II94" s="153"/>
      <c r="IJ94" s="153"/>
      <c r="IK94" s="153"/>
      <c r="IL94" s="153"/>
      <c r="IM94" s="153"/>
      <c r="IN94" s="153"/>
      <c r="IO94" s="153"/>
      <c r="IP94" s="153"/>
      <c r="IQ94" s="153"/>
      <c r="IR94" s="153"/>
      <c r="IS94" s="153"/>
      <c r="IT94" s="153"/>
      <c r="IU94" s="153"/>
      <c r="IV94" s="153"/>
      <c r="IW94" s="153"/>
    </row>
    <row r="95" spans="1:257" s="156" customFormat="1" ht="20.100000000000001" customHeight="1" thickBot="1" x14ac:dyDescent="0.4">
      <c r="A95" s="236">
        <v>87</v>
      </c>
      <c r="B95" s="649"/>
      <c r="C95" s="650"/>
      <c r="D95" s="651" t="s">
        <v>238</v>
      </c>
      <c r="E95" s="647"/>
      <c r="F95" s="647"/>
      <c r="G95" s="648"/>
      <c r="H95" s="644"/>
      <c r="I95" s="645">
        <f>I33+I31+I29+I27+I25+I23+I21+I19+I17+I15+I13+I11+I35+I39+I41+I43+I37+I45+I47+I49+I53+I55+I57+I59+I61+I63+I65+I67+I69+I71+I73+I75+I77+I79+I81+I83+I85+I87+I89+I91+I93+I51</f>
        <v>4553</v>
      </c>
      <c r="J95" s="645">
        <f t="shared" ref="J95:O95" si="0">J33+J31+J29+J27+J25+J23+J21+J19+J17+J15+J13+J11+J35+J39+J41+J43+J37+J45+J47+J49+J53+J55+J57+J59+J61+J63+J65+J67+J69+J71+J73+J75+J77+J79+J81+J83+J85+J87+J89+J91+J93+J51</f>
        <v>1193</v>
      </c>
      <c r="K95" s="645">
        <f t="shared" si="0"/>
        <v>813087</v>
      </c>
      <c r="L95" s="645">
        <f t="shared" si="0"/>
        <v>210000</v>
      </c>
      <c r="M95" s="645">
        <f t="shared" si="0"/>
        <v>12488755</v>
      </c>
      <c r="N95" s="645">
        <f t="shared" si="0"/>
        <v>100000</v>
      </c>
      <c r="O95" s="645">
        <f t="shared" si="0"/>
        <v>136000</v>
      </c>
      <c r="P95" s="654">
        <f>SUM(I95:O95)</f>
        <v>13753588</v>
      </c>
      <c r="Q95" s="655">
        <f>SUM(Q9:Q33)</f>
        <v>0</v>
      </c>
    </row>
    <row r="96" spans="1:257" ht="18" customHeight="1" x14ac:dyDescent="0.35">
      <c r="B96" s="232" t="s">
        <v>25</v>
      </c>
      <c r="C96" s="233"/>
      <c r="D96" s="232"/>
      <c r="E96" s="162"/>
      <c r="F96" s="163"/>
      <c r="G96" s="162"/>
      <c r="H96" s="224"/>
      <c r="I96" s="162"/>
      <c r="J96" s="162"/>
      <c r="K96" s="162"/>
      <c r="L96" s="162"/>
      <c r="M96" s="162"/>
      <c r="N96" s="162"/>
      <c r="O96" s="162"/>
      <c r="P96" s="238"/>
    </row>
    <row r="97" spans="2:16" ht="18" customHeight="1" x14ac:dyDescent="0.35">
      <c r="B97" s="232" t="s">
        <v>26</v>
      </c>
      <c r="C97" s="233"/>
      <c r="D97" s="232"/>
      <c r="E97" s="212"/>
      <c r="F97" s="163"/>
      <c r="G97" s="162"/>
      <c r="H97" s="224"/>
      <c r="I97" s="162"/>
      <c r="J97" s="162"/>
      <c r="K97" s="162"/>
      <c r="L97" s="162"/>
      <c r="M97" s="162"/>
      <c r="N97" s="162"/>
      <c r="O97" s="162"/>
      <c r="P97" s="238"/>
    </row>
    <row r="98" spans="2:16" ht="18" customHeight="1" x14ac:dyDescent="0.35">
      <c r="B98" s="232" t="s">
        <v>27</v>
      </c>
      <c r="C98" s="233"/>
      <c r="D98" s="232"/>
      <c r="E98" s="212"/>
      <c r="F98" s="163"/>
      <c r="G98" s="162"/>
      <c r="H98" s="224"/>
      <c r="I98" s="162"/>
      <c r="J98" s="162"/>
      <c r="K98" s="162"/>
      <c r="L98" s="162"/>
      <c r="M98" s="162"/>
      <c r="N98" s="162"/>
      <c r="O98" s="162"/>
      <c r="P98" s="238"/>
    </row>
    <row r="99" spans="2:16" x14ac:dyDescent="0.35">
      <c r="B99" s="160" t="s">
        <v>343</v>
      </c>
      <c r="C99" s="160"/>
    </row>
  </sheetData>
  <mergeCells count="18">
    <mergeCell ref="R6:S6"/>
    <mergeCell ref="I1:Q1"/>
    <mergeCell ref="B6:B8"/>
    <mergeCell ref="E6:E8"/>
    <mergeCell ref="A2:Q2"/>
    <mergeCell ref="A3:Q3"/>
    <mergeCell ref="D6:D8"/>
    <mergeCell ref="F6:F8"/>
    <mergeCell ref="G6:G8"/>
    <mergeCell ref="I6:P6"/>
    <mergeCell ref="Q6:Q8"/>
    <mergeCell ref="I7:L7"/>
    <mergeCell ref="P7:P8"/>
    <mergeCell ref="B1:D1"/>
    <mergeCell ref="M7:O7"/>
    <mergeCell ref="B94:G94"/>
    <mergeCell ref="C6:C8"/>
    <mergeCell ref="H6:H8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57" fitToHeight="0" orientation="landscape" r:id="rId1"/>
  <headerFooter>
    <oddFooter>&amp;C- &amp;P 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9"/>
  <sheetViews>
    <sheetView view="pageBreakPreview" zoomScale="75" zoomScaleNormal="75" zoomScaleSheetLayoutView="75" workbookViewId="0">
      <selection activeCell="B1" sqref="B1:D1"/>
    </sheetView>
  </sheetViews>
  <sheetFormatPr defaultColWidth="9.28515625" defaultRowHeight="16.5" x14ac:dyDescent="0.3"/>
  <cols>
    <col min="1" max="1" width="4.7109375" style="70" customWidth="1"/>
    <col min="2" max="3" width="5.7109375" style="109" customWidth="1"/>
    <col min="4" max="4" width="55.7109375" style="20" customWidth="1"/>
    <col min="5" max="6" width="15.7109375" style="2" customWidth="1"/>
    <col min="7" max="7" width="16.42578125" style="2" customWidth="1"/>
    <col min="8" max="9" width="5.7109375" style="109" customWidth="1"/>
    <col min="10" max="10" width="60.7109375" style="20" customWidth="1"/>
    <col min="11" max="12" width="15.7109375" style="2" customWidth="1"/>
    <col min="13" max="13" width="17.7109375" style="2" customWidth="1"/>
    <col min="14" max="14" width="11.5703125" style="20" bestFit="1" customWidth="1"/>
    <col min="15" max="16384" width="9.28515625" style="20"/>
  </cols>
  <sheetData>
    <row r="1" spans="1:14" s="1" customFormat="1" ht="18" customHeight="1" x14ac:dyDescent="0.2">
      <c r="A1" s="3"/>
      <c r="B1" s="1511" t="s">
        <v>771</v>
      </c>
      <c r="C1" s="1511"/>
      <c r="D1" s="1511"/>
      <c r="E1" s="170"/>
      <c r="F1" s="170"/>
      <c r="G1" s="170"/>
      <c r="H1" s="171"/>
      <c r="I1" s="171"/>
      <c r="K1" s="170"/>
      <c r="L1" s="170"/>
      <c r="M1" s="170"/>
    </row>
    <row r="2" spans="1:14" s="1" customFormat="1" ht="24.75" customHeight="1" x14ac:dyDescent="0.2">
      <c r="A2" s="3"/>
      <c r="B2" s="1305" t="s">
        <v>169</v>
      </c>
      <c r="C2" s="1305"/>
      <c r="D2" s="1305"/>
      <c r="E2" s="1305"/>
      <c r="F2" s="1305"/>
      <c r="G2" s="1305"/>
      <c r="H2" s="1305"/>
      <c r="I2" s="1305"/>
      <c r="J2" s="1305"/>
      <c r="K2" s="1305"/>
      <c r="L2" s="1305"/>
      <c r="M2" s="1305"/>
    </row>
    <row r="3" spans="1:14" s="1" customFormat="1" ht="24.75" customHeight="1" x14ac:dyDescent="0.2">
      <c r="A3" s="3"/>
      <c r="B3" s="1305" t="s">
        <v>703</v>
      </c>
      <c r="C3" s="1305"/>
      <c r="D3" s="1305"/>
      <c r="E3" s="1305"/>
      <c r="F3" s="1305"/>
      <c r="G3" s="1305"/>
      <c r="H3" s="1305"/>
      <c r="I3" s="1305"/>
      <c r="J3" s="1305"/>
      <c r="K3" s="1305"/>
      <c r="L3" s="1305"/>
      <c r="M3" s="1305"/>
    </row>
    <row r="4" spans="1:14" s="266" customFormat="1" ht="13.15" customHeight="1" x14ac:dyDescent="0.2">
      <c r="A4" s="264"/>
      <c r="B4" s="265"/>
      <c r="C4" s="265"/>
      <c r="D4" s="265"/>
      <c r="E4" s="265"/>
      <c r="F4" s="265"/>
      <c r="G4" s="265"/>
      <c r="H4" s="265"/>
      <c r="I4" s="265"/>
      <c r="J4" s="265"/>
      <c r="K4" s="72"/>
      <c r="L4" s="72"/>
      <c r="M4" s="72" t="s">
        <v>0</v>
      </c>
    </row>
    <row r="5" spans="1:14" s="59" customFormat="1" ht="18" customHeight="1" thickBot="1" x14ac:dyDescent="0.35">
      <c r="B5" s="60" t="s">
        <v>1</v>
      </c>
      <c r="C5" s="60" t="s">
        <v>3</v>
      </c>
      <c r="D5" s="60" t="s">
        <v>2</v>
      </c>
      <c r="E5" s="60" t="s">
        <v>4</v>
      </c>
      <c r="F5" s="60" t="s">
        <v>5</v>
      </c>
      <c r="G5" s="60" t="s">
        <v>15</v>
      </c>
      <c r="H5" s="60" t="s">
        <v>16</v>
      </c>
      <c r="I5" s="60" t="s">
        <v>17</v>
      </c>
      <c r="J5" s="60" t="s">
        <v>32</v>
      </c>
      <c r="K5" s="21" t="s">
        <v>28</v>
      </c>
      <c r="L5" s="21" t="s">
        <v>23</v>
      </c>
      <c r="M5" s="21" t="s">
        <v>33</v>
      </c>
    </row>
    <row r="6" spans="1:14" ht="66" x14ac:dyDescent="0.3">
      <c r="A6" s="70">
        <v>1</v>
      </c>
      <c r="B6" s="586" t="s">
        <v>314</v>
      </c>
      <c r="C6" s="587" t="s">
        <v>315</v>
      </c>
      <c r="D6" s="611" t="s">
        <v>364</v>
      </c>
      <c r="E6" s="734" t="s">
        <v>532</v>
      </c>
      <c r="F6" s="735" t="s">
        <v>715</v>
      </c>
      <c r="G6" s="612" t="s">
        <v>704</v>
      </c>
      <c r="H6" s="587" t="s">
        <v>314</v>
      </c>
      <c r="I6" s="587" t="s">
        <v>315</v>
      </c>
      <c r="J6" s="611" t="s">
        <v>364</v>
      </c>
      <c r="K6" s="734" t="s">
        <v>532</v>
      </c>
      <c r="L6" s="735" t="s">
        <v>715</v>
      </c>
      <c r="M6" s="658" t="s">
        <v>716</v>
      </c>
    </row>
    <row r="7" spans="1:14" ht="24.75" customHeight="1" x14ac:dyDescent="0.35">
      <c r="A7" s="70">
        <v>2</v>
      </c>
      <c r="B7" s="55">
        <v>1</v>
      </c>
      <c r="C7" s="70"/>
      <c r="D7" s="74" t="s">
        <v>170</v>
      </c>
      <c r="E7" s="187"/>
      <c r="F7" s="187"/>
      <c r="G7" s="187"/>
      <c r="H7" s="599">
        <v>1</v>
      </c>
      <c r="I7" s="70"/>
      <c r="J7" s="74" t="s">
        <v>171</v>
      </c>
      <c r="K7" s="736"/>
      <c r="L7" s="737"/>
      <c r="M7" s="196"/>
    </row>
    <row r="8" spans="1:14" ht="15" customHeight="1" x14ac:dyDescent="0.3">
      <c r="A8" s="70">
        <v>3</v>
      </c>
      <c r="B8" s="55"/>
      <c r="C8" s="70">
        <v>1</v>
      </c>
      <c r="D8" s="20" t="s">
        <v>172</v>
      </c>
      <c r="E8" s="172">
        <v>8148469</v>
      </c>
      <c r="F8" s="172">
        <v>9757988</v>
      </c>
      <c r="G8" s="172">
        <f>'1.Onbe'!I9+'1.Onbe'!I20</f>
        <v>10932640</v>
      </c>
      <c r="H8" s="599"/>
      <c r="I8" s="70">
        <v>1</v>
      </c>
      <c r="J8" s="20" t="s">
        <v>36</v>
      </c>
      <c r="K8" s="176">
        <v>8808650</v>
      </c>
      <c r="L8" s="738">
        <v>9829827</v>
      </c>
      <c r="M8" s="177">
        <f>'4.Inki'!K97+'6.Önk.műk.'!J425+'10.Projekt'!I95</f>
        <v>10217100</v>
      </c>
    </row>
    <row r="9" spans="1:14" ht="16.5" customHeight="1" x14ac:dyDescent="0.3">
      <c r="A9" s="70">
        <v>4</v>
      </c>
      <c r="B9" s="55"/>
      <c r="C9" s="70">
        <v>2</v>
      </c>
      <c r="D9" s="20" t="s">
        <v>134</v>
      </c>
      <c r="E9" s="172">
        <v>14930300</v>
      </c>
      <c r="F9" s="172">
        <v>15755244</v>
      </c>
      <c r="G9" s="172">
        <f>'1.Onbe'!I21</f>
        <v>15143500</v>
      </c>
      <c r="H9" s="599"/>
      <c r="I9" s="70">
        <v>2</v>
      </c>
      <c r="J9" s="20" t="s">
        <v>173</v>
      </c>
      <c r="K9" s="176">
        <v>1311825</v>
      </c>
      <c r="L9" s="738">
        <v>1452274</v>
      </c>
      <c r="M9" s="177">
        <f>'4.Inki'!L97+'6.Önk.műk.'!K425+'10.Projekt'!J95</f>
        <v>1556978</v>
      </c>
    </row>
    <row r="10" spans="1:14" x14ac:dyDescent="0.3">
      <c r="A10" s="70">
        <v>5</v>
      </c>
      <c r="B10" s="55"/>
      <c r="C10" s="70">
        <v>3</v>
      </c>
      <c r="D10" s="659" t="s">
        <v>106</v>
      </c>
      <c r="E10" s="172">
        <v>2569067</v>
      </c>
      <c r="F10" s="172">
        <v>2827691</v>
      </c>
      <c r="G10" s="172">
        <f>'1.Onbe'!I33+'1.Onbe'!I38</f>
        <v>2635932</v>
      </c>
      <c r="H10" s="599"/>
      <c r="I10" s="70">
        <v>3</v>
      </c>
      <c r="J10" s="20" t="s">
        <v>38</v>
      </c>
      <c r="K10" s="176">
        <v>9014525</v>
      </c>
      <c r="L10" s="738">
        <v>10826509</v>
      </c>
      <c r="M10" s="177">
        <f>'4.Inki'!M97+'6.Önk.műk.'!L425+'7.Beruh.'!I82+'8.Felúj.'!I28+'9.Ter.Fejl.Alap'!H62+'10.Projekt'!K95</f>
        <v>9289651</v>
      </c>
    </row>
    <row r="11" spans="1:14" x14ac:dyDescent="0.3">
      <c r="A11" s="70">
        <v>6</v>
      </c>
      <c r="B11" s="55"/>
      <c r="C11" s="70">
        <v>4</v>
      </c>
      <c r="D11" s="20" t="s">
        <v>139</v>
      </c>
      <c r="E11" s="172">
        <v>68847</v>
      </c>
      <c r="F11" s="172">
        <v>94154</v>
      </c>
      <c r="G11" s="172">
        <f>'1.Onbe'!I39+'1.Onbe'!I40</f>
        <v>12086</v>
      </c>
      <c r="H11" s="599"/>
      <c r="I11" s="70">
        <v>4</v>
      </c>
      <c r="J11" s="20" t="s">
        <v>174</v>
      </c>
      <c r="K11" s="176">
        <v>35385</v>
      </c>
      <c r="L11" s="738">
        <v>36435</v>
      </c>
      <c r="M11" s="177">
        <f>'6.Önk.műk.'!M425+'4.Inki'!N97</f>
        <v>47385</v>
      </c>
    </row>
    <row r="12" spans="1:14" x14ac:dyDescent="0.3">
      <c r="A12" s="70">
        <v>7</v>
      </c>
      <c r="B12" s="55"/>
      <c r="C12" s="70"/>
      <c r="D12" s="659"/>
      <c r="E12" s="172"/>
      <c r="F12" s="172"/>
      <c r="G12" s="172"/>
      <c r="H12" s="599"/>
      <c r="I12" s="70">
        <v>5</v>
      </c>
      <c r="J12" s="57" t="s">
        <v>175</v>
      </c>
      <c r="K12" s="176">
        <v>10058985</v>
      </c>
      <c r="L12" s="738">
        <v>11578631</v>
      </c>
      <c r="M12" s="177">
        <f>'4.Inki'!O97+'6.Önk.műk.'!N425+'10.Projekt'!L95</f>
        <v>10637742</v>
      </c>
    </row>
    <row r="13" spans="1:14" x14ac:dyDescent="0.3">
      <c r="A13" s="70">
        <v>8</v>
      </c>
      <c r="B13" s="55"/>
      <c r="C13" s="70"/>
      <c r="D13" s="659"/>
      <c r="E13" s="172"/>
      <c r="F13" s="172"/>
      <c r="G13" s="172"/>
      <c r="H13" s="599"/>
      <c r="I13" s="70">
        <v>6</v>
      </c>
      <c r="J13" s="57" t="s">
        <v>299</v>
      </c>
      <c r="K13" s="176">
        <v>897344</v>
      </c>
      <c r="L13" s="738">
        <v>429334</v>
      </c>
      <c r="M13" s="177">
        <f>'2.Onki'!I17+'2.Onki'!I30</f>
        <v>532857</v>
      </c>
    </row>
    <row r="14" spans="1:14" s="1" customFormat="1" ht="25.15" customHeight="1" x14ac:dyDescent="0.3">
      <c r="A14" s="70">
        <v>9</v>
      </c>
      <c r="B14" s="588"/>
      <c r="C14" s="589"/>
      <c r="D14" s="173" t="s">
        <v>176</v>
      </c>
      <c r="E14" s="174">
        <f>SUM(E8:E13)</f>
        <v>25716683</v>
      </c>
      <c r="F14" s="174">
        <f>SUM(F8:F13)</f>
        <v>28435077</v>
      </c>
      <c r="G14" s="174">
        <f>SUM(G8:G13)</f>
        <v>28724158</v>
      </c>
      <c r="H14" s="600"/>
      <c r="I14" s="601"/>
      <c r="J14" s="173" t="s">
        <v>177</v>
      </c>
      <c r="K14" s="739">
        <f>SUM(K8:K13)</f>
        <v>30126714</v>
      </c>
      <c r="L14" s="740">
        <f>SUM(L8:L13)</f>
        <v>34153010</v>
      </c>
      <c r="M14" s="175">
        <f>SUM(M8:M13)</f>
        <v>32281713</v>
      </c>
      <c r="N14" s="170"/>
    </row>
    <row r="15" spans="1:14" ht="24.75" customHeight="1" x14ac:dyDescent="0.35">
      <c r="A15" s="70">
        <v>10</v>
      </c>
      <c r="B15" s="55">
        <v>2</v>
      </c>
      <c r="C15" s="70"/>
      <c r="D15" s="74" t="s">
        <v>178</v>
      </c>
      <c r="E15" s="187"/>
      <c r="F15" s="187"/>
      <c r="G15" s="187"/>
      <c r="H15" s="599">
        <v>2</v>
      </c>
      <c r="I15" s="70"/>
      <c r="J15" s="74" t="s">
        <v>179</v>
      </c>
      <c r="K15" s="736"/>
      <c r="L15" s="741"/>
      <c r="M15" s="196"/>
    </row>
    <row r="16" spans="1:14" x14ac:dyDescent="0.3">
      <c r="A16" s="70">
        <v>11</v>
      </c>
      <c r="B16" s="55"/>
      <c r="C16" s="70">
        <v>5</v>
      </c>
      <c r="D16" s="657" t="s">
        <v>180</v>
      </c>
      <c r="E16" s="176">
        <v>198205</v>
      </c>
      <c r="F16" s="176">
        <v>6893652</v>
      </c>
      <c r="G16" s="176">
        <f>'1.Onbe'!I42+'1.Onbe'!I45</f>
        <v>7327736</v>
      </c>
      <c r="H16" s="602"/>
      <c r="I16" s="660">
        <v>7</v>
      </c>
      <c r="J16" s="657" t="s">
        <v>181</v>
      </c>
      <c r="K16" s="176">
        <v>7358308</v>
      </c>
      <c r="L16" s="738">
        <v>15883671</v>
      </c>
      <c r="M16" s="177">
        <f>'2.Onki'!I11+'2.Onki'!I32</f>
        <v>13513239</v>
      </c>
      <c r="N16" s="2"/>
    </row>
    <row r="17" spans="1:42" x14ac:dyDescent="0.3">
      <c r="A17" s="70">
        <v>12</v>
      </c>
      <c r="B17" s="55"/>
      <c r="C17" s="70">
        <v>6</v>
      </c>
      <c r="D17" s="657" t="s">
        <v>143</v>
      </c>
      <c r="E17" s="176">
        <v>477995</v>
      </c>
      <c r="F17" s="176">
        <v>477050</v>
      </c>
      <c r="G17" s="176">
        <f>'1.Onbe'!I46+'1.Onbe'!I48</f>
        <v>400000</v>
      </c>
      <c r="H17" s="602"/>
      <c r="I17" s="660">
        <v>8</v>
      </c>
      <c r="J17" s="657" t="s">
        <v>121</v>
      </c>
      <c r="K17" s="176">
        <v>358458</v>
      </c>
      <c r="L17" s="738">
        <v>661752</v>
      </c>
      <c r="M17" s="177">
        <f>'2.Onki'!I33</f>
        <v>457194</v>
      </c>
      <c r="N17" s="2"/>
    </row>
    <row r="18" spans="1:42" x14ac:dyDescent="0.3">
      <c r="A18" s="70">
        <v>13</v>
      </c>
      <c r="B18" s="55"/>
      <c r="C18" s="70">
        <v>7</v>
      </c>
      <c r="D18" s="20" t="s">
        <v>146</v>
      </c>
      <c r="E18" s="176"/>
      <c r="F18" s="176">
        <v>1193317</v>
      </c>
      <c r="G18" s="176">
        <f>'1.Onbe'!I49+'1.Onbe'!I50</f>
        <v>1178000</v>
      </c>
      <c r="H18" s="602"/>
      <c r="I18" s="660">
        <v>9</v>
      </c>
      <c r="J18" s="657" t="s">
        <v>182</v>
      </c>
      <c r="K18" s="176">
        <v>588483</v>
      </c>
      <c r="L18" s="738">
        <v>744145</v>
      </c>
      <c r="M18" s="177">
        <f>'2.Onki'!I34</f>
        <v>246270</v>
      </c>
      <c r="N18" s="2"/>
    </row>
    <row r="19" spans="1:42" x14ac:dyDescent="0.3">
      <c r="A19" s="70">
        <v>14</v>
      </c>
      <c r="B19" s="55"/>
      <c r="C19" s="70"/>
      <c r="E19" s="176"/>
      <c r="F19" s="176"/>
      <c r="G19" s="176"/>
      <c r="H19" s="602"/>
      <c r="I19" s="660">
        <v>10</v>
      </c>
      <c r="J19" s="657" t="s">
        <v>300</v>
      </c>
      <c r="K19" s="176">
        <v>2482</v>
      </c>
      <c r="L19" s="738">
        <v>9108</v>
      </c>
      <c r="M19" s="177">
        <f>'2.Onki'!I25</f>
        <v>9108</v>
      </c>
    </row>
    <row r="20" spans="1:42" s="1" customFormat="1" ht="25.15" customHeight="1" thickBot="1" x14ac:dyDescent="0.35">
      <c r="A20" s="70">
        <v>15</v>
      </c>
      <c r="B20" s="590"/>
      <c r="C20" s="591"/>
      <c r="D20" s="178" t="s">
        <v>183</v>
      </c>
      <c r="E20" s="188">
        <f>SUM(E16:E19)</f>
        <v>676200</v>
      </c>
      <c r="F20" s="188">
        <f>SUM(F16:F19)</f>
        <v>8564019</v>
      </c>
      <c r="G20" s="188">
        <f>SUM(G16:G19)</f>
        <v>8905736</v>
      </c>
      <c r="H20" s="603"/>
      <c r="I20" s="604"/>
      <c r="J20" s="178" t="s">
        <v>184</v>
      </c>
      <c r="K20" s="188">
        <f>SUM(K16:K19)</f>
        <v>8307731</v>
      </c>
      <c r="L20" s="742">
        <f>SUM(L16:L19)</f>
        <v>17298676</v>
      </c>
      <c r="M20" s="179">
        <f>SUM(M16:M19)</f>
        <v>14225811</v>
      </c>
      <c r="N20" s="170"/>
    </row>
    <row r="21" spans="1:42" s="1" customFormat="1" ht="24.75" customHeight="1" thickTop="1" thickBot="1" x14ac:dyDescent="0.35">
      <c r="A21" s="70">
        <v>16</v>
      </c>
      <c r="B21" s="592"/>
      <c r="C21" s="593"/>
      <c r="D21" s="180" t="s">
        <v>149</v>
      </c>
      <c r="E21" s="969">
        <f>SUM(E14,E20)</f>
        <v>26392883</v>
      </c>
      <c r="F21" s="971">
        <f>SUM(F14,F20)</f>
        <v>36999096</v>
      </c>
      <c r="G21" s="970">
        <f>SUM(G14,G20)</f>
        <v>37629894</v>
      </c>
      <c r="H21" s="605"/>
      <c r="I21" s="593"/>
      <c r="J21" s="180" t="s">
        <v>162</v>
      </c>
      <c r="K21" s="743">
        <f>SUM(K14,K20)</f>
        <v>38434445</v>
      </c>
      <c r="L21" s="744">
        <f>SUM(L14,L20)</f>
        <v>51451686</v>
      </c>
      <c r="M21" s="197">
        <f>SUM(M14,M20)</f>
        <v>46507524</v>
      </c>
    </row>
    <row r="22" spans="1:42" s="1" customFormat="1" ht="25.15" customHeight="1" thickTop="1" x14ac:dyDescent="0.35">
      <c r="A22" s="70">
        <v>17</v>
      </c>
      <c r="B22" s="55">
        <v>1</v>
      </c>
      <c r="C22" s="70"/>
      <c r="D22" s="74" t="s">
        <v>185</v>
      </c>
      <c r="E22" s="189"/>
      <c r="F22" s="189"/>
      <c r="G22" s="189"/>
      <c r="H22" s="599">
        <v>1</v>
      </c>
      <c r="I22" s="70"/>
      <c r="J22" s="74" t="s">
        <v>186</v>
      </c>
      <c r="K22" s="189"/>
      <c r="L22" s="745"/>
      <c r="M22" s="198"/>
    </row>
    <row r="23" spans="1:42" s="1" customFormat="1" x14ac:dyDescent="0.3">
      <c r="A23" s="70">
        <v>18</v>
      </c>
      <c r="B23" s="55"/>
      <c r="C23" s="70">
        <v>8</v>
      </c>
      <c r="D23" s="1" t="s">
        <v>237</v>
      </c>
      <c r="E23" s="189">
        <f>+'1.Onbe'!G57</f>
        <v>3844293</v>
      </c>
      <c r="F23" s="189">
        <f>+'1.Onbe'!H57</f>
        <v>5804629</v>
      </c>
      <c r="G23" s="189">
        <f>+'1.Onbe'!I57</f>
        <v>3035368</v>
      </c>
      <c r="H23" s="599"/>
      <c r="I23" s="70"/>
      <c r="K23" s="189"/>
      <c r="L23" s="745"/>
      <c r="M23" s="198"/>
    </row>
    <row r="24" spans="1:42" s="1" customFormat="1" x14ac:dyDescent="0.3">
      <c r="A24" s="70">
        <v>19</v>
      </c>
      <c r="B24" s="55"/>
      <c r="C24" s="70">
        <v>9</v>
      </c>
      <c r="D24" s="1" t="s">
        <v>531</v>
      </c>
      <c r="E24" s="189">
        <v>1500000</v>
      </c>
      <c r="F24" s="189">
        <v>9400000</v>
      </c>
      <c r="G24" s="189">
        <f>+'1.Onbe'!I65</f>
        <v>3910810</v>
      </c>
      <c r="H24" s="599"/>
      <c r="I24" s="70">
        <v>11</v>
      </c>
      <c r="J24" s="1" t="s">
        <v>533</v>
      </c>
      <c r="K24" s="189"/>
      <c r="L24" s="745">
        <v>7900000</v>
      </c>
      <c r="M24" s="198">
        <f>'2.Onki'!I41</f>
        <v>2910810</v>
      </c>
    </row>
    <row r="25" spans="1:42" s="1" customFormat="1" x14ac:dyDescent="0.3">
      <c r="A25" s="70">
        <v>20</v>
      </c>
      <c r="B25" s="55"/>
      <c r="C25" s="70">
        <v>10</v>
      </c>
      <c r="D25" s="1" t="s">
        <v>209</v>
      </c>
      <c r="E25" s="189"/>
      <c r="F25" s="189">
        <f>+'1.Onbe'!H67</f>
        <v>2470113</v>
      </c>
      <c r="G25" s="189">
        <f>'1.Onbe'!I67</f>
        <v>19</v>
      </c>
      <c r="H25" s="599"/>
      <c r="I25" s="70">
        <v>12</v>
      </c>
      <c r="J25" s="1" t="s">
        <v>210</v>
      </c>
      <c r="K25" s="189">
        <v>222394</v>
      </c>
      <c r="L25" s="745">
        <v>2692507</v>
      </c>
      <c r="M25" s="198">
        <f>+'2.Onki'!I42</f>
        <v>279134</v>
      </c>
    </row>
    <row r="26" spans="1:42" s="1" customFormat="1" ht="24" customHeight="1" x14ac:dyDescent="0.35">
      <c r="A26" s="70">
        <v>21</v>
      </c>
      <c r="B26" s="55">
        <v>2</v>
      </c>
      <c r="C26" s="70"/>
      <c r="D26" s="74" t="s">
        <v>187</v>
      </c>
      <c r="E26" s="189"/>
      <c r="F26" s="189"/>
      <c r="G26" s="189"/>
      <c r="H26" s="599">
        <v>2</v>
      </c>
      <c r="I26" s="70"/>
      <c r="J26" s="74" t="s">
        <v>188</v>
      </c>
      <c r="K26" s="189"/>
      <c r="L26" s="745"/>
      <c r="M26" s="198"/>
    </row>
    <row r="27" spans="1:42" s="1" customFormat="1" x14ac:dyDescent="0.3">
      <c r="A27" s="70">
        <v>22</v>
      </c>
      <c r="B27" s="55"/>
      <c r="C27" s="70">
        <v>11</v>
      </c>
      <c r="D27" s="1" t="s">
        <v>237</v>
      </c>
      <c r="E27" s="189">
        <f>+'1.Onbe'!G61</f>
        <v>7157502</v>
      </c>
      <c r="F27" s="189">
        <f>+'1.Onbe'!H61</f>
        <v>7608194</v>
      </c>
      <c r="G27" s="189">
        <f>+'1.Onbe'!I61</f>
        <v>5359179</v>
      </c>
      <c r="H27" s="599"/>
      <c r="I27" s="70"/>
      <c r="K27" s="189"/>
      <c r="L27" s="745"/>
      <c r="M27" s="198"/>
    </row>
    <row r="28" spans="1:42" s="1" customFormat="1" x14ac:dyDescent="0.3">
      <c r="A28" s="70">
        <v>23</v>
      </c>
      <c r="B28" s="55"/>
      <c r="C28" s="70">
        <v>12</v>
      </c>
      <c r="D28" s="1" t="s">
        <v>189</v>
      </c>
      <c r="E28" s="189"/>
      <c r="F28" s="189"/>
      <c r="G28" s="189"/>
      <c r="H28" s="599"/>
      <c r="I28" s="70">
        <v>13</v>
      </c>
      <c r="J28" s="1" t="s">
        <v>190</v>
      </c>
      <c r="K28" s="189">
        <v>237839</v>
      </c>
      <c r="L28" s="745">
        <v>237839</v>
      </c>
      <c r="M28" s="198">
        <f>+'2.Onki'!I44+'2.Onki'!I45</f>
        <v>237802</v>
      </c>
    </row>
    <row r="29" spans="1:42" s="181" customFormat="1" ht="24.75" customHeight="1" thickBot="1" x14ac:dyDescent="0.35">
      <c r="A29" s="70">
        <v>24</v>
      </c>
      <c r="B29" s="590"/>
      <c r="C29" s="591"/>
      <c r="D29" s="91" t="s">
        <v>191</v>
      </c>
      <c r="E29" s="190">
        <f>SUM(E22:E28)</f>
        <v>12501795</v>
      </c>
      <c r="F29" s="190">
        <f>SUM(F22:F28)</f>
        <v>25282936</v>
      </c>
      <c r="G29" s="190">
        <f>SUM(G22:G28)</f>
        <v>12305376</v>
      </c>
      <c r="H29" s="606"/>
      <c r="I29" s="591"/>
      <c r="J29" s="91" t="s">
        <v>192</v>
      </c>
      <c r="K29" s="190">
        <f>SUM(K22:K28)</f>
        <v>460233</v>
      </c>
      <c r="L29" s="746">
        <f>SUM(L22:L28)</f>
        <v>10830346</v>
      </c>
      <c r="M29" s="199">
        <f>SUM(M22:M28)</f>
        <v>3427746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s="1" customFormat="1" ht="30" customHeight="1" thickTop="1" thickBot="1" x14ac:dyDescent="0.35">
      <c r="A30" s="70">
        <v>25</v>
      </c>
      <c r="B30" s="590"/>
      <c r="C30" s="591"/>
      <c r="D30" s="91" t="s">
        <v>193</v>
      </c>
      <c r="E30" s="188">
        <f>SUM(E21,E29)</f>
        <v>38894678</v>
      </c>
      <c r="F30" s="188">
        <f>SUM(F21,F29)</f>
        <v>62282032</v>
      </c>
      <c r="G30" s="188">
        <f>SUM(G21,G29)</f>
        <v>49935270</v>
      </c>
      <c r="H30" s="606"/>
      <c r="I30" s="591"/>
      <c r="J30" s="91" t="s">
        <v>194</v>
      </c>
      <c r="K30" s="188">
        <f>SUM(K21,K29)</f>
        <v>38894678</v>
      </c>
      <c r="L30" s="742">
        <f>SUM(L21,L29)</f>
        <v>62282032</v>
      </c>
      <c r="M30" s="179">
        <f>SUM(M21,M29)</f>
        <v>49935270</v>
      </c>
    </row>
    <row r="31" spans="1:42" s="1" customFormat="1" ht="18" thickTop="1" x14ac:dyDescent="0.3">
      <c r="A31" s="70">
        <v>26</v>
      </c>
      <c r="B31" s="594"/>
      <c r="C31" s="595"/>
      <c r="D31" s="182" t="s">
        <v>150</v>
      </c>
      <c r="E31" s="191">
        <f>+E21-K21</f>
        <v>-12041562</v>
      </c>
      <c r="F31" s="191">
        <f>+F21-L21</f>
        <v>-14452590</v>
      </c>
      <c r="G31" s="191">
        <f>+G21-M21</f>
        <v>-8877630</v>
      </c>
      <c r="H31" s="607"/>
      <c r="I31" s="661"/>
      <c r="J31" s="662"/>
      <c r="K31" s="189"/>
      <c r="L31" s="745"/>
      <c r="M31" s="198"/>
    </row>
    <row r="32" spans="1:42" s="1" customFormat="1" ht="17.25" x14ac:dyDescent="0.3">
      <c r="A32" s="70">
        <v>27</v>
      </c>
      <c r="B32" s="55"/>
      <c r="C32" s="70"/>
      <c r="D32" s="663" t="s">
        <v>195</v>
      </c>
      <c r="E32" s="192">
        <f>+E14-K14</f>
        <v>-4410031</v>
      </c>
      <c r="F32" s="192">
        <f>+F14-L14</f>
        <v>-5717933</v>
      </c>
      <c r="G32" s="192">
        <f>+G14-M14</f>
        <v>-3557555</v>
      </c>
      <c r="H32" s="607"/>
      <c r="I32" s="661"/>
      <c r="J32" s="662"/>
      <c r="K32" s="189"/>
      <c r="L32" s="745"/>
      <c r="M32" s="198"/>
    </row>
    <row r="33" spans="1:13" s="1" customFormat="1" ht="17.25" x14ac:dyDescent="0.3">
      <c r="A33" s="70">
        <v>28</v>
      </c>
      <c r="B33" s="55"/>
      <c r="C33" s="70"/>
      <c r="D33" s="663" t="s">
        <v>196</v>
      </c>
      <c r="E33" s="192">
        <f>+E20-K20</f>
        <v>-7631531</v>
      </c>
      <c r="F33" s="192">
        <f>+F20-L20</f>
        <v>-8734657</v>
      </c>
      <c r="G33" s="192">
        <f>+G20-M20</f>
        <v>-5320075</v>
      </c>
      <c r="H33" s="607"/>
      <c r="I33" s="661"/>
      <c r="J33" s="662"/>
      <c r="K33" s="189"/>
      <c r="L33" s="745"/>
      <c r="M33" s="198"/>
    </row>
    <row r="34" spans="1:13" s="1" customFormat="1" ht="17.25" x14ac:dyDescent="0.3">
      <c r="A34" s="70">
        <v>29</v>
      </c>
      <c r="B34" s="55"/>
      <c r="C34" s="70"/>
      <c r="D34" s="183" t="s">
        <v>197</v>
      </c>
      <c r="E34" s="192">
        <f>+E31-K29</f>
        <v>-12501795</v>
      </c>
      <c r="F34" s="192">
        <f>+F31-L29</f>
        <v>-25282936</v>
      </c>
      <c r="G34" s="192">
        <f>+G31-M29</f>
        <v>-12305376</v>
      </c>
      <c r="H34" s="607"/>
      <c r="I34" s="661"/>
      <c r="J34" s="662"/>
      <c r="K34" s="189"/>
      <c r="L34" s="745"/>
      <c r="M34" s="198"/>
    </row>
    <row r="35" spans="1:13" s="1" customFormat="1" ht="32.25" customHeight="1" x14ac:dyDescent="0.3">
      <c r="A35" s="70">
        <v>30</v>
      </c>
      <c r="B35" s="55"/>
      <c r="C35" s="70"/>
      <c r="D35" s="664" t="s">
        <v>271</v>
      </c>
      <c r="E35" s="192">
        <f>+E23+E24+E25+E27</f>
        <v>12501795</v>
      </c>
      <c r="F35" s="192">
        <f>+F23+F24+F25+F27</f>
        <v>25282936</v>
      </c>
      <c r="G35" s="192">
        <f>+G23+G24+G27</f>
        <v>12305357</v>
      </c>
      <c r="H35" s="607"/>
      <c r="I35" s="661"/>
      <c r="J35" s="662"/>
      <c r="K35" s="189"/>
      <c r="L35" s="745"/>
      <c r="M35" s="198"/>
    </row>
    <row r="36" spans="1:13" s="1" customFormat="1" ht="33.75" customHeight="1" x14ac:dyDescent="0.3">
      <c r="A36" s="70">
        <v>31</v>
      </c>
      <c r="B36" s="596"/>
      <c r="C36" s="90"/>
      <c r="D36" s="184" t="s">
        <v>272</v>
      </c>
      <c r="E36" s="193"/>
      <c r="F36" s="193"/>
      <c r="G36" s="193">
        <f>G25</f>
        <v>19</v>
      </c>
      <c r="H36" s="608"/>
      <c r="I36" s="609"/>
      <c r="J36" s="185"/>
      <c r="K36" s="747"/>
      <c r="L36" s="748"/>
      <c r="M36" s="200"/>
    </row>
    <row r="37" spans="1:13" ht="20.100000000000001" customHeight="1" x14ac:dyDescent="0.3">
      <c r="A37" s="70">
        <v>32</v>
      </c>
      <c r="B37" s="55"/>
      <c r="C37" s="70"/>
      <c r="D37" s="20" t="s">
        <v>198</v>
      </c>
      <c r="E37" s="194">
        <f>(E14+E24+E25+E23)/E30</f>
        <v>0.79859193075206847</v>
      </c>
      <c r="F37" s="194">
        <f>(F14+F24+F25+F23)/F30</f>
        <v>0.74033902747424807</v>
      </c>
      <c r="G37" s="194">
        <f>(G14+G24+G25+G23)/G30</f>
        <v>0.71433187404413756</v>
      </c>
      <c r="H37" s="599"/>
      <c r="I37" s="70"/>
      <c r="J37" s="20" t="s">
        <v>199</v>
      </c>
      <c r="K37" s="194">
        <f>(K14+K24+K25)/K30</f>
        <v>0.78028947816459615</v>
      </c>
      <c r="L37" s="749">
        <f>(L14+L24+L25)/L30</f>
        <v>0.71843380126069101</v>
      </c>
      <c r="M37" s="201">
        <f>(M14+M24+M25)/M30</f>
        <v>0.71035276268657399</v>
      </c>
    </row>
    <row r="38" spans="1:13" ht="20.100000000000001" customHeight="1" thickBot="1" x14ac:dyDescent="0.35">
      <c r="A38" s="70">
        <v>33</v>
      </c>
      <c r="B38" s="597"/>
      <c r="C38" s="598"/>
      <c r="D38" s="186" t="s">
        <v>200</v>
      </c>
      <c r="E38" s="195">
        <f>(E20+E27+E28)/E30</f>
        <v>0.20140806924793156</v>
      </c>
      <c r="F38" s="195">
        <f>(F20+F27+F28)/F30</f>
        <v>0.25966097252575188</v>
      </c>
      <c r="G38" s="195">
        <f>(G20+G27+G28)/G30</f>
        <v>0.28566812595586244</v>
      </c>
      <c r="H38" s="610"/>
      <c r="I38" s="598"/>
      <c r="J38" s="186" t="s">
        <v>201</v>
      </c>
      <c r="K38" s="195">
        <f>(K20+K27+K28)/K30</f>
        <v>0.21971052183540379</v>
      </c>
      <c r="L38" s="750">
        <f>(L20+L27+L28)/L30</f>
        <v>0.28156619873930894</v>
      </c>
      <c r="M38" s="202">
        <f>(M20+M27+M28)/M30</f>
        <v>0.28964723731342595</v>
      </c>
    </row>
    <row r="39" spans="1:13" x14ac:dyDescent="0.3">
      <c r="J39" s="20" t="s">
        <v>202</v>
      </c>
    </row>
  </sheetData>
  <mergeCells count="3">
    <mergeCell ref="B1:D1"/>
    <mergeCell ref="B2:M2"/>
    <mergeCell ref="B3:M3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61" fitToHeight="0" orientation="landscape" r:id="rId1"/>
  <headerFooter alignWithMargins="0">
    <oddFooter>&amp;C- &amp;P -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view="pageBreakPreview" zoomScaleNormal="100" zoomScaleSheetLayoutView="100" workbookViewId="0">
      <selection activeCell="B1" sqref="B1:C1"/>
    </sheetView>
  </sheetViews>
  <sheetFormatPr defaultColWidth="31.28515625" defaultRowHeight="16.5" x14ac:dyDescent="0.3"/>
  <cols>
    <col min="1" max="1" width="3.7109375" style="60" customWidth="1"/>
    <col min="2" max="2" width="3.85546875" style="3" customWidth="1"/>
    <col min="3" max="3" width="50.28515625" style="15" customWidth="1"/>
    <col min="4" max="4" width="13.7109375" style="5" customWidth="1"/>
    <col min="5" max="5" width="11.140625" style="5" customWidth="1"/>
    <col min="6" max="6" width="13.7109375" style="5" customWidth="1"/>
    <col min="7" max="7" width="29.28515625" style="6" customWidth="1"/>
    <col min="8" max="8" width="12.28515625" style="1" customWidth="1"/>
    <col min="9" max="9" width="12.7109375" style="1" customWidth="1"/>
    <col min="10" max="16384" width="31.28515625" style="1"/>
  </cols>
  <sheetData>
    <row r="1" spans="1:7" x14ac:dyDescent="0.3">
      <c r="A1" s="70"/>
      <c r="B1" s="1424" t="s">
        <v>772</v>
      </c>
      <c r="C1" s="1424"/>
      <c r="D1" s="1075"/>
      <c r="E1" s="4"/>
      <c r="G1" s="16"/>
    </row>
    <row r="2" spans="1:7" x14ac:dyDescent="0.3">
      <c r="A2" s="70"/>
      <c r="B2" s="1075"/>
      <c r="C2" s="1075"/>
      <c r="D2" s="1075"/>
      <c r="E2" s="4"/>
      <c r="G2" s="16"/>
    </row>
    <row r="3" spans="1:7" ht="25.15" customHeight="1" x14ac:dyDescent="0.3">
      <c r="A3" s="70"/>
      <c r="C3" s="1305" t="s">
        <v>90</v>
      </c>
      <c r="D3" s="1305"/>
      <c r="E3" s="1305"/>
      <c r="F3" s="1305"/>
      <c r="G3" s="1305"/>
    </row>
    <row r="4" spans="1:7" ht="25.15" customHeight="1" x14ac:dyDescent="0.3">
      <c r="A4" s="70"/>
      <c r="B4" s="1305" t="s">
        <v>655</v>
      </c>
      <c r="C4" s="1305"/>
      <c r="D4" s="1305"/>
      <c r="E4" s="1305"/>
      <c r="F4" s="1305"/>
      <c r="G4" s="1305"/>
    </row>
    <row r="5" spans="1:7" s="62" customFormat="1" ht="18" customHeight="1" thickBot="1" x14ac:dyDescent="0.35">
      <c r="A5" s="60"/>
      <c r="B5" s="59" t="s">
        <v>1</v>
      </c>
      <c r="C5" s="61" t="s">
        <v>3</v>
      </c>
      <c r="D5" s="6"/>
      <c r="E5" s="6" t="s">
        <v>4</v>
      </c>
      <c r="F5" s="6" t="s">
        <v>5</v>
      </c>
      <c r="G5" s="6" t="s">
        <v>15</v>
      </c>
    </row>
    <row r="6" spans="1:7" ht="72" customHeight="1" thickBot="1" x14ac:dyDescent="0.35">
      <c r="B6" s="7" t="s">
        <v>18</v>
      </c>
      <c r="C6" s="8" t="s">
        <v>6</v>
      </c>
      <c r="D6" s="167" t="s">
        <v>656</v>
      </c>
      <c r="E6" s="1076" t="s">
        <v>91</v>
      </c>
      <c r="F6" s="167" t="s">
        <v>657</v>
      </c>
      <c r="G6" s="9" t="s">
        <v>92</v>
      </c>
    </row>
    <row r="7" spans="1:7" s="20" customFormat="1" ht="21.75" customHeight="1" thickTop="1" x14ac:dyDescent="0.35">
      <c r="A7" s="59">
        <v>1</v>
      </c>
      <c r="B7" s="55">
        <v>1</v>
      </c>
      <c r="C7" s="1086" t="s">
        <v>241</v>
      </c>
      <c r="D7" s="1077">
        <v>38</v>
      </c>
      <c r="E7" s="1077"/>
      <c r="F7" s="1077">
        <f>SUM(D7:E7)</f>
        <v>38</v>
      </c>
      <c r="G7" s="63"/>
    </row>
    <row r="8" spans="1:7" s="20" customFormat="1" ht="17.25" x14ac:dyDescent="0.35">
      <c r="A8" s="59">
        <v>2</v>
      </c>
      <c r="B8" s="56"/>
      <c r="C8" s="1078" t="s">
        <v>641</v>
      </c>
      <c r="D8" s="168"/>
      <c r="E8" s="168"/>
      <c r="F8" s="1079"/>
      <c r="G8" s="63"/>
    </row>
    <row r="9" spans="1:7" s="20" customFormat="1" ht="17.25" x14ac:dyDescent="0.35">
      <c r="A9" s="59">
        <v>3</v>
      </c>
      <c r="B9" s="56"/>
      <c r="C9" s="1078" t="s">
        <v>642</v>
      </c>
      <c r="D9" s="1079">
        <v>34</v>
      </c>
      <c r="E9" s="1079"/>
      <c r="F9" s="1079">
        <f>SUM(D9:E9)</f>
        <v>34</v>
      </c>
      <c r="G9" s="670"/>
    </row>
    <row r="10" spans="1:7" s="20" customFormat="1" ht="17.25" x14ac:dyDescent="0.35">
      <c r="A10" s="59">
        <v>4</v>
      </c>
      <c r="B10" s="56"/>
      <c r="C10" s="1078" t="s">
        <v>643</v>
      </c>
      <c r="D10" s="1079">
        <v>2</v>
      </c>
      <c r="E10" s="1079"/>
      <c r="F10" s="1079">
        <f t="shared" ref="F10:F11" si="0">SUM(D10:E10)</f>
        <v>2</v>
      </c>
      <c r="G10" s="63"/>
    </row>
    <row r="11" spans="1:7" s="20" customFormat="1" ht="17.25" x14ac:dyDescent="0.35">
      <c r="A11" s="59">
        <v>5</v>
      </c>
      <c r="B11" s="56"/>
      <c r="C11" s="1078" t="s">
        <v>644</v>
      </c>
      <c r="D11" s="1079">
        <v>2</v>
      </c>
      <c r="E11" s="1079"/>
      <c r="F11" s="1079">
        <f t="shared" si="0"/>
        <v>2</v>
      </c>
      <c r="G11" s="63"/>
    </row>
    <row r="12" spans="1:7" s="20" customFormat="1" ht="21.75" customHeight="1" x14ac:dyDescent="0.35">
      <c r="A12" s="59">
        <v>6</v>
      </c>
      <c r="B12" s="55">
        <v>2</v>
      </c>
      <c r="C12" s="1086" t="s">
        <v>240</v>
      </c>
      <c r="D12" s="1077">
        <v>70</v>
      </c>
      <c r="E12" s="1077"/>
      <c r="F12" s="1077">
        <f>SUM(D12:E12)</f>
        <v>70</v>
      </c>
      <c r="G12" s="63"/>
    </row>
    <row r="13" spans="1:7" s="20" customFormat="1" ht="17.25" customHeight="1" x14ac:dyDescent="0.35">
      <c r="A13" s="59">
        <v>7</v>
      </c>
      <c r="B13" s="56"/>
      <c r="C13" s="1078" t="s">
        <v>641</v>
      </c>
      <c r="D13" s="168"/>
      <c r="E13" s="168"/>
      <c r="F13" s="1079"/>
      <c r="G13" s="63"/>
    </row>
    <row r="14" spans="1:7" s="20" customFormat="1" ht="17.25" customHeight="1" x14ac:dyDescent="0.35">
      <c r="A14" s="59">
        <v>8</v>
      </c>
      <c r="B14" s="56"/>
      <c r="C14" s="1078" t="s">
        <v>642</v>
      </c>
      <c r="D14" s="1079">
        <v>62</v>
      </c>
      <c r="E14" s="1079"/>
      <c r="F14" s="1079">
        <f>SUM(D14:E14)</f>
        <v>62</v>
      </c>
      <c r="G14" s="63"/>
    </row>
    <row r="15" spans="1:7" s="20" customFormat="1" ht="17.25" customHeight="1" x14ac:dyDescent="0.35">
      <c r="A15" s="59">
        <v>9</v>
      </c>
      <c r="B15" s="56"/>
      <c r="C15" s="1078" t="s">
        <v>643</v>
      </c>
      <c r="D15" s="1079">
        <v>6</v>
      </c>
      <c r="E15" s="1079"/>
      <c r="F15" s="1079">
        <f t="shared" ref="F15:F16" si="1">SUM(D15:E15)</f>
        <v>6</v>
      </c>
      <c r="G15" s="63"/>
    </row>
    <row r="16" spans="1:7" s="20" customFormat="1" ht="17.25" customHeight="1" x14ac:dyDescent="0.35">
      <c r="A16" s="59">
        <v>10</v>
      </c>
      <c r="B16" s="56"/>
      <c r="C16" s="1078" t="s">
        <v>644</v>
      </c>
      <c r="D16" s="1079">
        <v>2</v>
      </c>
      <c r="E16" s="1079"/>
      <c r="F16" s="1079">
        <f t="shared" si="1"/>
        <v>2</v>
      </c>
      <c r="G16" s="63"/>
    </row>
    <row r="17" spans="1:7" s="20" customFormat="1" ht="21.75" customHeight="1" x14ac:dyDescent="0.35">
      <c r="A17" s="59">
        <v>11</v>
      </c>
      <c r="B17" s="55">
        <v>3</v>
      </c>
      <c r="C17" s="1086" t="s">
        <v>211</v>
      </c>
      <c r="D17" s="1077">
        <v>83.5</v>
      </c>
      <c r="E17" s="1077"/>
      <c r="F17" s="1077">
        <f>SUM(D17:E17)</f>
        <v>83.5</v>
      </c>
      <c r="G17" s="63"/>
    </row>
    <row r="18" spans="1:7" s="20" customFormat="1" ht="17.25" customHeight="1" x14ac:dyDescent="0.35">
      <c r="A18" s="59">
        <v>12</v>
      </c>
      <c r="B18" s="56"/>
      <c r="C18" s="1078" t="s">
        <v>641</v>
      </c>
      <c r="D18" s="168"/>
      <c r="E18" s="168"/>
      <c r="F18" s="1079"/>
      <c r="G18" s="63"/>
    </row>
    <row r="19" spans="1:7" s="20" customFormat="1" ht="17.25" customHeight="1" x14ac:dyDescent="0.35">
      <c r="A19" s="59">
        <v>13</v>
      </c>
      <c r="B19" s="56"/>
      <c r="C19" s="1078" t="s">
        <v>642</v>
      </c>
      <c r="D19" s="1079">
        <v>71.5</v>
      </c>
      <c r="E19" s="168"/>
      <c r="F19" s="1079">
        <f>SUM(D19:E19)</f>
        <v>71.5</v>
      </c>
      <c r="G19" s="63"/>
    </row>
    <row r="20" spans="1:7" s="20" customFormat="1" ht="17.25" customHeight="1" x14ac:dyDescent="0.35">
      <c r="A20" s="59">
        <v>14</v>
      </c>
      <c r="B20" s="56"/>
      <c r="C20" s="1078" t="s">
        <v>643</v>
      </c>
      <c r="D20" s="1079">
        <v>10</v>
      </c>
      <c r="E20" s="168"/>
      <c r="F20" s="1079">
        <f t="shared" ref="F20:F21" si="2">SUM(D20:E20)</f>
        <v>10</v>
      </c>
      <c r="G20" s="63"/>
    </row>
    <row r="21" spans="1:7" s="20" customFormat="1" ht="17.25" customHeight="1" x14ac:dyDescent="0.35">
      <c r="A21" s="59">
        <v>15</v>
      </c>
      <c r="B21" s="56"/>
      <c r="C21" s="1078" t="s">
        <v>644</v>
      </c>
      <c r="D21" s="1079">
        <v>2</v>
      </c>
      <c r="E21" s="168"/>
      <c r="F21" s="1079">
        <f t="shared" si="2"/>
        <v>2</v>
      </c>
      <c r="G21" s="63"/>
    </row>
    <row r="22" spans="1:7" s="20" customFormat="1" ht="21.75" customHeight="1" x14ac:dyDescent="0.35">
      <c r="A22" s="59">
        <v>16</v>
      </c>
      <c r="B22" s="55">
        <v>4</v>
      </c>
      <c r="C22" s="1086" t="s">
        <v>212</v>
      </c>
      <c r="D22" s="1077">
        <v>60</v>
      </c>
      <c r="E22" s="1077"/>
      <c r="F22" s="1077">
        <f>SUM(D22:E22)</f>
        <v>60</v>
      </c>
      <c r="G22" s="63"/>
    </row>
    <row r="23" spans="1:7" s="20" customFormat="1" ht="17.25" customHeight="1" x14ac:dyDescent="0.35">
      <c r="A23" s="59">
        <v>17</v>
      </c>
      <c r="B23" s="56"/>
      <c r="C23" s="1078" t="s">
        <v>641</v>
      </c>
      <c r="D23" s="168"/>
      <c r="E23" s="168"/>
      <c r="F23" s="1079"/>
      <c r="G23" s="63"/>
    </row>
    <row r="24" spans="1:7" s="20" customFormat="1" ht="17.25" customHeight="1" x14ac:dyDescent="0.35">
      <c r="A24" s="59">
        <v>18</v>
      </c>
      <c r="B24" s="56"/>
      <c r="C24" s="1078" t="s">
        <v>642</v>
      </c>
      <c r="D24" s="1079">
        <v>52</v>
      </c>
      <c r="E24" s="168"/>
      <c r="F24" s="1079">
        <f>SUM(D24:E24)</f>
        <v>52</v>
      </c>
      <c r="G24" s="63"/>
    </row>
    <row r="25" spans="1:7" s="20" customFormat="1" ht="17.25" customHeight="1" x14ac:dyDescent="0.35">
      <c r="A25" s="59">
        <v>19</v>
      </c>
      <c r="B25" s="56"/>
      <c r="C25" s="1078" t="s">
        <v>643</v>
      </c>
      <c r="D25" s="1079">
        <v>6.5</v>
      </c>
      <c r="E25" s="168"/>
      <c r="F25" s="1079">
        <f>SUM(D25:E25)</f>
        <v>6.5</v>
      </c>
      <c r="G25" s="63"/>
    </row>
    <row r="26" spans="1:7" s="20" customFormat="1" ht="17.25" customHeight="1" x14ac:dyDescent="0.35">
      <c r="A26" s="59">
        <v>20</v>
      </c>
      <c r="B26" s="56"/>
      <c r="C26" s="1078" t="s">
        <v>644</v>
      </c>
      <c r="D26" s="1079">
        <v>1.5</v>
      </c>
      <c r="E26" s="168"/>
      <c r="F26" s="1079">
        <f>SUM(D26:E26)</f>
        <v>1.5</v>
      </c>
      <c r="G26" s="63"/>
    </row>
    <row r="27" spans="1:7" s="20" customFormat="1" ht="21.75" customHeight="1" x14ac:dyDescent="0.35">
      <c r="A27" s="59">
        <v>21</v>
      </c>
      <c r="B27" s="55">
        <v>5</v>
      </c>
      <c r="C27" s="1086" t="s">
        <v>213</v>
      </c>
      <c r="D27" s="1077">
        <v>61.5</v>
      </c>
      <c r="E27" s="1077"/>
      <c r="F27" s="1077">
        <f>SUM(D27:E27)</f>
        <v>61.5</v>
      </c>
      <c r="G27" s="63"/>
    </row>
    <row r="28" spans="1:7" s="20" customFormat="1" ht="17.25" customHeight="1" x14ac:dyDescent="0.35">
      <c r="A28" s="59">
        <v>22</v>
      </c>
      <c r="B28" s="56"/>
      <c r="C28" s="1078" t="s">
        <v>641</v>
      </c>
      <c r="D28" s="168"/>
      <c r="E28" s="168"/>
      <c r="F28" s="1079"/>
      <c r="G28" s="63"/>
    </row>
    <row r="29" spans="1:7" s="20" customFormat="1" ht="17.25" customHeight="1" x14ac:dyDescent="0.35">
      <c r="A29" s="59">
        <v>23</v>
      </c>
      <c r="B29" s="56"/>
      <c r="C29" s="1078" t="s">
        <v>642</v>
      </c>
      <c r="D29" s="1079">
        <v>58</v>
      </c>
      <c r="E29" s="168"/>
      <c r="F29" s="1079">
        <f>SUM(D29:E29)</f>
        <v>58</v>
      </c>
      <c r="G29" s="63"/>
    </row>
    <row r="30" spans="1:7" s="20" customFormat="1" ht="17.25" customHeight="1" x14ac:dyDescent="0.35">
      <c r="A30" s="59">
        <v>24</v>
      </c>
      <c r="B30" s="56"/>
      <c r="C30" s="1078" t="s">
        <v>643</v>
      </c>
      <c r="D30" s="1079">
        <v>1.5</v>
      </c>
      <c r="E30" s="168"/>
      <c r="F30" s="1079">
        <f t="shared" ref="F30:F31" si="3">SUM(D30:E30)</f>
        <v>1.5</v>
      </c>
      <c r="G30" s="63"/>
    </row>
    <row r="31" spans="1:7" s="20" customFormat="1" ht="17.25" customHeight="1" x14ac:dyDescent="0.35">
      <c r="A31" s="59">
        <v>25</v>
      </c>
      <c r="B31" s="56"/>
      <c r="C31" s="1078" t="s">
        <v>644</v>
      </c>
      <c r="D31" s="1079">
        <v>2</v>
      </c>
      <c r="E31" s="168"/>
      <c r="F31" s="1079">
        <f t="shared" si="3"/>
        <v>2</v>
      </c>
      <c r="G31" s="63"/>
    </row>
    <row r="32" spans="1:7" s="20" customFormat="1" ht="21.75" customHeight="1" x14ac:dyDescent="0.35">
      <c r="A32" s="59">
        <v>26</v>
      </c>
      <c r="B32" s="55">
        <v>6</v>
      </c>
      <c r="C32" s="1086" t="s">
        <v>214</v>
      </c>
      <c r="D32" s="1077">
        <v>37</v>
      </c>
      <c r="E32" s="1077"/>
      <c r="F32" s="1077">
        <f>SUM(D32:E32)</f>
        <v>37</v>
      </c>
      <c r="G32" s="63"/>
    </row>
    <row r="33" spans="1:7" s="20" customFormat="1" ht="17.25" customHeight="1" x14ac:dyDescent="0.35">
      <c r="A33" s="59">
        <v>27</v>
      </c>
      <c r="B33" s="56"/>
      <c r="C33" s="1078" t="s">
        <v>641</v>
      </c>
      <c r="D33" s="168"/>
      <c r="E33" s="168"/>
      <c r="F33" s="1079"/>
      <c r="G33" s="63"/>
    </row>
    <row r="34" spans="1:7" s="20" customFormat="1" ht="17.25" customHeight="1" x14ac:dyDescent="0.35">
      <c r="A34" s="59">
        <v>28</v>
      </c>
      <c r="B34" s="56"/>
      <c r="C34" s="1078" t="s">
        <v>642</v>
      </c>
      <c r="D34" s="1079">
        <v>28</v>
      </c>
      <c r="E34" s="1079"/>
      <c r="F34" s="1079">
        <f>SUM(D34:E34)</f>
        <v>28</v>
      </c>
      <c r="G34" s="670" t="s">
        <v>748</v>
      </c>
    </row>
    <row r="35" spans="1:7" s="20" customFormat="1" ht="17.25" customHeight="1" x14ac:dyDescent="0.35">
      <c r="A35" s="59">
        <v>29</v>
      </c>
      <c r="B35" s="56"/>
      <c r="C35" s="1078" t="s">
        <v>643</v>
      </c>
      <c r="D35" s="1079">
        <v>7</v>
      </c>
      <c r="E35" s="168"/>
      <c r="F35" s="1079">
        <f>SUM(D35:E35)</f>
        <v>7</v>
      </c>
      <c r="G35" s="63"/>
    </row>
    <row r="36" spans="1:7" s="20" customFormat="1" ht="17.25" customHeight="1" x14ac:dyDescent="0.35">
      <c r="A36" s="59">
        <v>30</v>
      </c>
      <c r="B36" s="56"/>
      <c r="C36" s="1078" t="s">
        <v>644</v>
      </c>
      <c r="D36" s="1079">
        <v>2</v>
      </c>
      <c r="E36" s="168"/>
      <c r="F36" s="1079">
        <f>SUM(D36:E36)</f>
        <v>2</v>
      </c>
      <c r="G36" s="63"/>
    </row>
    <row r="37" spans="1:7" s="20" customFormat="1" ht="42.75" x14ac:dyDescent="0.3">
      <c r="A37" s="59">
        <v>31</v>
      </c>
      <c r="B37" s="56">
        <v>7</v>
      </c>
      <c r="C37" s="88" t="s">
        <v>247</v>
      </c>
      <c r="D37" s="1080">
        <f>D39+D40</f>
        <v>196.15</v>
      </c>
      <c r="E37" s="1080">
        <f>E39+E40</f>
        <v>8.35</v>
      </c>
      <c r="F37" s="1080">
        <f>SUM(D37:E37)</f>
        <v>204.5</v>
      </c>
      <c r="G37" s="211" t="s">
        <v>753</v>
      </c>
    </row>
    <row r="38" spans="1:7" s="20" customFormat="1" ht="17.25" x14ac:dyDescent="0.3">
      <c r="A38" s="59">
        <v>32</v>
      </c>
      <c r="B38" s="56"/>
      <c r="C38" s="1078" t="s">
        <v>641</v>
      </c>
      <c r="D38" s="168"/>
      <c r="E38" s="168"/>
      <c r="F38" s="168"/>
      <c r="G38" s="211"/>
    </row>
    <row r="39" spans="1:7" s="20" customFormat="1" ht="17.25" customHeight="1" x14ac:dyDescent="0.3">
      <c r="A39" s="59">
        <v>33</v>
      </c>
      <c r="B39" s="56"/>
      <c r="C39" s="1078" t="s">
        <v>645</v>
      </c>
      <c r="D39" s="1081">
        <v>28.4</v>
      </c>
      <c r="E39" s="1081">
        <f>0.25+8.35</f>
        <v>8.6</v>
      </c>
      <c r="F39" s="1081">
        <f>SUM(D39:E39)</f>
        <v>37</v>
      </c>
      <c r="G39" s="211"/>
    </row>
    <row r="40" spans="1:7" s="20" customFormat="1" ht="17.25" customHeight="1" x14ac:dyDescent="0.35">
      <c r="A40" s="59">
        <v>34</v>
      </c>
      <c r="B40" s="56"/>
      <c r="C40" s="1078" t="s">
        <v>643</v>
      </c>
      <c r="D40" s="1079">
        <v>167.75</v>
      </c>
      <c r="E40" s="1079">
        <v>-0.25</v>
      </c>
      <c r="F40" s="1079">
        <f>SUM(D40:E40)</f>
        <v>167.5</v>
      </c>
      <c r="G40" s="211"/>
    </row>
    <row r="41" spans="1:7" s="20" customFormat="1" ht="17.25" x14ac:dyDescent="0.35">
      <c r="A41" s="59">
        <v>35</v>
      </c>
      <c r="B41" s="56"/>
      <c r="C41" s="1078" t="s">
        <v>644</v>
      </c>
      <c r="D41" s="1079"/>
      <c r="E41" s="1079"/>
      <c r="F41" s="1079">
        <f>SUM(D41:E41)</f>
        <v>0</v>
      </c>
      <c r="G41" s="211"/>
    </row>
    <row r="42" spans="1:7" ht="33" customHeight="1" x14ac:dyDescent="0.35">
      <c r="A42" s="59">
        <v>36</v>
      </c>
      <c r="B42" s="56">
        <v>8</v>
      </c>
      <c r="C42" s="1082" t="s">
        <v>93</v>
      </c>
      <c r="D42" s="1077">
        <v>13.25</v>
      </c>
      <c r="E42" s="1077"/>
      <c r="F42" s="1077">
        <f>SUM(D42:E42)</f>
        <v>13.25</v>
      </c>
      <c r="G42" s="64"/>
    </row>
    <row r="43" spans="1:7" ht="17.25" customHeight="1" x14ac:dyDescent="0.3">
      <c r="A43" s="59">
        <v>37</v>
      </c>
      <c r="B43" s="56"/>
      <c r="C43" s="1078" t="s">
        <v>641</v>
      </c>
      <c r="D43" s="168"/>
      <c r="E43" s="168"/>
      <c r="F43" s="168"/>
      <c r="G43" s="64"/>
    </row>
    <row r="44" spans="1:7" ht="17.25" customHeight="1" x14ac:dyDescent="0.35">
      <c r="A44" s="59">
        <v>38</v>
      </c>
      <c r="B44" s="56"/>
      <c r="C44" s="1078" t="s">
        <v>643</v>
      </c>
      <c r="D44" s="1079">
        <v>13.25</v>
      </c>
      <c r="E44" s="168"/>
      <c r="F44" s="1079">
        <f>SUM(D44:E44)</f>
        <v>13.25</v>
      </c>
      <c r="G44" s="64"/>
    </row>
    <row r="45" spans="1:7" ht="17.25" customHeight="1" x14ac:dyDescent="0.35">
      <c r="A45" s="59">
        <v>39</v>
      </c>
      <c r="B45" s="56"/>
      <c r="C45" s="1078" t="s">
        <v>644</v>
      </c>
      <c r="D45" s="168"/>
      <c r="E45" s="168"/>
      <c r="F45" s="1079">
        <f>SUM(D45:E45)</f>
        <v>0</v>
      </c>
      <c r="G45" s="64"/>
    </row>
    <row r="46" spans="1:7" ht="33" customHeight="1" x14ac:dyDescent="0.35">
      <c r="A46" s="59">
        <v>40</v>
      </c>
      <c r="B46" s="56">
        <v>9</v>
      </c>
      <c r="C46" s="1082" t="s">
        <v>290</v>
      </c>
      <c r="D46" s="1077">
        <v>65</v>
      </c>
      <c r="E46" s="1077"/>
      <c r="F46" s="1077">
        <f>SUM(D46:E46)</f>
        <v>65</v>
      </c>
      <c r="G46" s="64"/>
    </row>
    <row r="47" spans="1:7" ht="17.25" customHeight="1" x14ac:dyDescent="0.3">
      <c r="A47" s="59">
        <v>41</v>
      </c>
      <c r="B47" s="56"/>
      <c r="C47" s="1078" t="s">
        <v>641</v>
      </c>
      <c r="D47" s="168"/>
      <c r="E47" s="168"/>
      <c r="F47" s="168"/>
      <c r="G47" s="64"/>
    </row>
    <row r="48" spans="1:7" ht="17.25" customHeight="1" x14ac:dyDescent="0.35">
      <c r="A48" s="59">
        <v>42</v>
      </c>
      <c r="B48" s="56"/>
      <c r="C48" s="1078" t="s">
        <v>643</v>
      </c>
      <c r="D48" s="1079">
        <v>63.5</v>
      </c>
      <c r="E48" s="168"/>
      <c r="F48" s="1079">
        <f>SUM(D48:E48)</f>
        <v>63.5</v>
      </c>
      <c r="G48" s="64"/>
    </row>
    <row r="49" spans="1:7" ht="17.25" customHeight="1" x14ac:dyDescent="0.35">
      <c r="A49" s="59">
        <v>43</v>
      </c>
      <c r="B49" s="56"/>
      <c r="C49" s="1078" t="s">
        <v>644</v>
      </c>
      <c r="D49" s="1079">
        <v>1.5</v>
      </c>
      <c r="E49" s="168"/>
      <c r="F49" s="1079">
        <f>SUM(D49:E49)</f>
        <v>1.5</v>
      </c>
      <c r="G49" s="64"/>
    </row>
    <row r="50" spans="1:7" ht="21.75" customHeight="1" x14ac:dyDescent="0.35">
      <c r="A50" s="59">
        <v>44</v>
      </c>
      <c r="B50" s="55">
        <v>10</v>
      </c>
      <c r="C50" s="1083" t="s">
        <v>291</v>
      </c>
      <c r="D50" s="18">
        <v>23.25</v>
      </c>
      <c r="E50" s="18"/>
      <c r="F50" s="18">
        <f>SUM(D50:E50)</f>
        <v>23.25</v>
      </c>
      <c r="G50" s="64"/>
    </row>
    <row r="51" spans="1:7" ht="17.25" customHeight="1" x14ac:dyDescent="0.3">
      <c r="A51" s="59">
        <v>45</v>
      </c>
      <c r="B51" s="55"/>
      <c r="C51" s="1078" t="s">
        <v>641</v>
      </c>
      <c r="D51" s="168"/>
      <c r="E51" s="168"/>
      <c r="F51" s="168"/>
      <c r="G51" s="64"/>
    </row>
    <row r="52" spans="1:7" ht="18" customHeight="1" x14ac:dyDescent="0.35">
      <c r="A52" s="59">
        <v>46</v>
      </c>
      <c r="B52" s="55"/>
      <c r="C52" s="1078" t="s">
        <v>644</v>
      </c>
      <c r="D52" s="1079">
        <v>23.25</v>
      </c>
      <c r="E52" s="168"/>
      <c r="F52" s="1079">
        <f>SUM(D52:E52)</f>
        <v>23.25</v>
      </c>
      <c r="G52" s="1084"/>
    </row>
    <row r="53" spans="1:7" ht="33" customHeight="1" x14ac:dyDescent="0.2">
      <c r="A53" s="59">
        <v>47</v>
      </c>
      <c r="B53" s="56">
        <v>11</v>
      </c>
      <c r="C53" s="1082" t="s">
        <v>287</v>
      </c>
      <c r="D53" s="18">
        <v>23</v>
      </c>
      <c r="E53" s="18"/>
      <c r="F53" s="18">
        <f>SUM(D53:E53)</f>
        <v>23</v>
      </c>
      <c r="G53" s="64"/>
    </row>
    <row r="54" spans="1:7" ht="17.25" customHeight="1" x14ac:dyDescent="0.2">
      <c r="A54" s="59">
        <v>48</v>
      </c>
      <c r="B54" s="56"/>
      <c r="C54" s="1078" t="s">
        <v>641</v>
      </c>
      <c r="G54" s="64"/>
    </row>
    <row r="55" spans="1:7" ht="17.25" customHeight="1" x14ac:dyDescent="0.35">
      <c r="A55" s="59">
        <v>49</v>
      </c>
      <c r="B55" s="56"/>
      <c r="C55" s="1078" t="s">
        <v>644</v>
      </c>
      <c r="D55" s="1085">
        <v>23</v>
      </c>
      <c r="F55" s="1079">
        <f>SUM(D55:E55)</f>
        <v>23</v>
      </c>
      <c r="G55" s="64"/>
    </row>
    <row r="56" spans="1:7" s="20" customFormat="1" ht="21.75" customHeight="1" x14ac:dyDescent="0.35">
      <c r="A56" s="59">
        <v>50</v>
      </c>
      <c r="B56" s="55">
        <v>12</v>
      </c>
      <c r="C56" s="1086" t="s">
        <v>571</v>
      </c>
      <c r="D56" s="1077">
        <v>53.5</v>
      </c>
      <c r="E56" s="1077"/>
      <c r="F56" s="1077">
        <f>SUM(D56:E56)</f>
        <v>53.5</v>
      </c>
      <c r="G56" s="63"/>
    </row>
    <row r="57" spans="1:7" s="20" customFormat="1" ht="17.25" customHeight="1" x14ac:dyDescent="0.3">
      <c r="A57" s="59">
        <v>51</v>
      </c>
      <c r="B57" s="55"/>
      <c r="C57" s="1078" t="s">
        <v>641</v>
      </c>
      <c r="D57" s="5"/>
      <c r="E57" s="5"/>
      <c r="F57" s="5"/>
      <c r="G57" s="63"/>
    </row>
    <row r="58" spans="1:7" s="20" customFormat="1" ht="17.25" customHeight="1" x14ac:dyDescent="0.35">
      <c r="A58" s="59">
        <v>52</v>
      </c>
      <c r="B58" s="55"/>
      <c r="C58" s="1078" t="s">
        <v>644</v>
      </c>
      <c r="D58" s="1085">
        <v>53.5</v>
      </c>
      <c r="E58" s="5"/>
      <c r="F58" s="1079">
        <f>SUM(D58:E58)</f>
        <v>53.5</v>
      </c>
      <c r="G58" s="63"/>
    </row>
    <row r="59" spans="1:7" s="20" customFormat="1" ht="21.75" customHeight="1" x14ac:dyDescent="0.35">
      <c r="A59" s="59">
        <v>53</v>
      </c>
      <c r="B59" s="55">
        <v>13</v>
      </c>
      <c r="C59" s="1086" t="s">
        <v>30</v>
      </c>
      <c r="D59" s="1077">
        <v>53</v>
      </c>
      <c r="E59" s="1077"/>
      <c r="F59" s="1077">
        <f>SUM(D59:E59)</f>
        <v>53</v>
      </c>
      <c r="G59" s="67"/>
    </row>
    <row r="60" spans="1:7" s="20" customFormat="1" ht="17.25" customHeight="1" x14ac:dyDescent="0.3">
      <c r="A60" s="59">
        <v>54</v>
      </c>
      <c r="B60" s="55"/>
      <c r="C60" s="1078" t="s">
        <v>641</v>
      </c>
      <c r="D60" s="5"/>
      <c r="E60" s="5"/>
      <c r="F60" s="5"/>
      <c r="G60" s="67"/>
    </row>
    <row r="61" spans="1:7" s="20" customFormat="1" ht="17.25" customHeight="1" x14ac:dyDescent="0.35">
      <c r="A61" s="59">
        <v>55</v>
      </c>
      <c r="B61" s="55"/>
      <c r="C61" s="1078" t="s">
        <v>646</v>
      </c>
      <c r="D61" s="1085">
        <v>53</v>
      </c>
      <c r="E61" s="5"/>
      <c r="F61" s="1079">
        <f>SUM(D61:E61)</f>
        <v>53</v>
      </c>
      <c r="G61" s="67"/>
    </row>
    <row r="62" spans="1:7" ht="21.75" customHeight="1" x14ac:dyDescent="0.35">
      <c r="A62" s="59">
        <v>56</v>
      </c>
      <c r="B62" s="55">
        <v>14</v>
      </c>
      <c r="C62" s="1083" t="s">
        <v>289</v>
      </c>
      <c r="D62" s="1077">
        <v>26</v>
      </c>
      <c r="E62" s="1077"/>
      <c r="F62" s="1077">
        <f>SUM(D62:E62)</f>
        <v>26</v>
      </c>
      <c r="G62" s="670"/>
    </row>
    <row r="63" spans="1:7" ht="17.25" customHeight="1" x14ac:dyDescent="0.3">
      <c r="A63" s="59">
        <v>57</v>
      </c>
      <c r="B63" s="55"/>
      <c r="C63" s="1078" t="s">
        <v>641</v>
      </c>
      <c r="G63" s="670"/>
    </row>
    <row r="64" spans="1:7" ht="17.25" customHeight="1" x14ac:dyDescent="0.35">
      <c r="A64" s="59">
        <v>58</v>
      </c>
      <c r="B64" s="55"/>
      <c r="C64" s="1078" t="s">
        <v>644</v>
      </c>
      <c r="D64" s="1085">
        <v>26</v>
      </c>
      <c r="F64" s="1079">
        <f>SUM(D64:E64)</f>
        <v>26</v>
      </c>
      <c r="G64" s="670"/>
    </row>
    <row r="65" spans="1:7" s="20" customFormat="1" ht="21.75" customHeight="1" x14ac:dyDescent="0.35">
      <c r="A65" s="59">
        <v>59</v>
      </c>
      <c r="B65" s="55">
        <v>15</v>
      </c>
      <c r="C65" s="1086" t="s">
        <v>114</v>
      </c>
      <c r="D65" s="1077">
        <v>102</v>
      </c>
      <c r="E65" s="1077"/>
      <c r="F65" s="1077">
        <f>SUM(D65:E65)</f>
        <v>102</v>
      </c>
      <c r="G65" s="63"/>
    </row>
    <row r="66" spans="1:7" s="20" customFormat="1" ht="17.25" customHeight="1" x14ac:dyDescent="0.3">
      <c r="A66" s="59">
        <v>60</v>
      </c>
      <c r="B66" s="55"/>
      <c r="C66" s="1078" t="s">
        <v>641</v>
      </c>
      <c r="D66" s="5"/>
      <c r="E66" s="5"/>
      <c r="F66" s="5"/>
      <c r="G66" s="63"/>
    </row>
    <row r="67" spans="1:7" s="20" customFormat="1" ht="17.25" customHeight="1" x14ac:dyDescent="0.35">
      <c r="A67" s="59">
        <v>61</v>
      </c>
      <c r="B67" s="55"/>
      <c r="C67" s="1078" t="s">
        <v>644</v>
      </c>
      <c r="D67" s="1085">
        <v>102</v>
      </c>
      <c r="E67" s="5"/>
      <c r="F67" s="1079">
        <f>SUM(D67:E67)</f>
        <v>102</v>
      </c>
      <c r="G67" s="63"/>
    </row>
    <row r="68" spans="1:7" ht="21.75" customHeight="1" x14ac:dyDescent="0.35">
      <c r="A68" s="59">
        <v>62</v>
      </c>
      <c r="B68" s="55">
        <v>16</v>
      </c>
      <c r="C68" s="1083" t="s">
        <v>215</v>
      </c>
      <c r="D68" s="18">
        <v>53.25</v>
      </c>
      <c r="E68" s="18"/>
      <c r="F68" s="18">
        <f>SUM(D68:E68)</f>
        <v>53.25</v>
      </c>
      <c r="G68" s="64"/>
    </row>
    <row r="69" spans="1:7" ht="17.25" customHeight="1" x14ac:dyDescent="0.3">
      <c r="A69" s="59">
        <v>63</v>
      </c>
      <c r="B69" s="55"/>
      <c r="C69" s="1078" t="s">
        <v>641</v>
      </c>
      <c r="G69" s="64"/>
    </row>
    <row r="70" spans="1:7" ht="17.25" customHeight="1" x14ac:dyDescent="0.35">
      <c r="A70" s="59">
        <v>64</v>
      </c>
      <c r="B70" s="55"/>
      <c r="C70" s="1078" t="s">
        <v>643</v>
      </c>
      <c r="D70" s="1085">
        <v>53.25</v>
      </c>
      <c r="F70" s="1079">
        <f>SUM(D70:E70)</f>
        <v>53.25</v>
      </c>
      <c r="G70" s="64"/>
    </row>
    <row r="71" spans="1:7" ht="17.25" customHeight="1" thickBot="1" x14ac:dyDescent="0.4">
      <c r="A71" s="59">
        <v>65</v>
      </c>
      <c r="B71" s="207"/>
      <c r="C71" s="1087" t="s">
        <v>644</v>
      </c>
      <c r="D71" s="216"/>
      <c r="E71" s="216"/>
      <c r="F71" s="1088">
        <f>SUM(D71:E71)</f>
        <v>0</v>
      </c>
      <c r="G71" s="217"/>
    </row>
    <row r="72" spans="1:7" ht="30" customHeight="1" thickTop="1" thickBot="1" x14ac:dyDescent="0.25">
      <c r="A72" s="59">
        <v>66</v>
      </c>
      <c r="B72" s="13"/>
      <c r="C72" s="14" t="s">
        <v>94</v>
      </c>
      <c r="D72" s="169">
        <f>D68+D65+D62+D59+D56+D53+D50+D46+D42+D37+D32+D27+D22+D17+D12+D7</f>
        <v>958.4</v>
      </c>
      <c r="E72" s="169">
        <f t="shared" ref="E72" si="4">E68+E65+E62+E59+E56+E53+E50+E46+E42+E37+E32+E27+E22+E17+E12+E7</f>
        <v>8.35</v>
      </c>
      <c r="F72" s="169">
        <f>F68+F65+F62+F59+F56+F53+F50+F46+F42+F37+F32+F27+F22+F17+F12+F7</f>
        <v>966.75</v>
      </c>
      <c r="G72" s="65"/>
    </row>
    <row r="73" spans="1:7" ht="21.75" customHeight="1" x14ac:dyDescent="0.35">
      <c r="A73" s="59">
        <v>67</v>
      </c>
      <c r="B73" s="55">
        <v>17</v>
      </c>
      <c r="C73" s="1083" t="s">
        <v>153</v>
      </c>
      <c r="D73" s="18">
        <v>200</v>
      </c>
      <c r="E73" s="18">
        <v>3</v>
      </c>
      <c r="F73" s="18">
        <f>SUM(D73:E73)</f>
        <v>203</v>
      </c>
      <c r="G73" s="64"/>
    </row>
    <row r="74" spans="1:7" ht="21.75" customHeight="1" x14ac:dyDescent="0.3">
      <c r="A74" s="59">
        <v>68</v>
      </c>
      <c r="B74" s="55"/>
      <c r="C74" s="1078" t="s">
        <v>641</v>
      </c>
      <c r="G74" s="64"/>
    </row>
    <row r="75" spans="1:7" ht="17.25" customHeight="1" x14ac:dyDescent="0.35">
      <c r="A75" s="59">
        <v>69</v>
      </c>
      <c r="B75" s="55"/>
      <c r="C75" s="1078" t="s">
        <v>647</v>
      </c>
      <c r="D75" s="1085">
        <v>190</v>
      </c>
      <c r="E75" s="1085">
        <v>4</v>
      </c>
      <c r="F75" s="1079">
        <f>SUM(D75:E75)</f>
        <v>194</v>
      </c>
      <c r="G75" s="64" t="s">
        <v>658</v>
      </c>
    </row>
    <row r="76" spans="1:7" ht="17.25" customHeight="1" x14ac:dyDescent="0.35">
      <c r="A76" s="59">
        <v>70</v>
      </c>
      <c r="B76" s="55"/>
      <c r="C76" s="1078" t="s">
        <v>644</v>
      </c>
      <c r="D76" s="1085">
        <v>10</v>
      </c>
      <c r="E76" s="1085">
        <v>-1</v>
      </c>
      <c r="F76" s="1079">
        <f>SUM(D76:E76)</f>
        <v>9</v>
      </c>
      <c r="G76" s="64" t="s">
        <v>658</v>
      </c>
    </row>
    <row r="77" spans="1:7" ht="21.75" customHeight="1" x14ac:dyDescent="0.35">
      <c r="A77" s="59">
        <v>71</v>
      </c>
      <c r="B77" s="55">
        <v>18</v>
      </c>
      <c r="C77" s="1083" t="s">
        <v>95</v>
      </c>
      <c r="D77" s="1"/>
      <c r="E77" s="1"/>
      <c r="F77" s="1"/>
      <c r="G77" s="66" t="s">
        <v>202</v>
      </c>
    </row>
    <row r="78" spans="1:7" ht="21.75" customHeight="1" x14ac:dyDescent="0.2">
      <c r="A78" s="59">
        <v>72</v>
      </c>
      <c r="B78" s="10"/>
      <c r="C78" s="1089" t="s">
        <v>244</v>
      </c>
      <c r="D78" s="18">
        <v>4</v>
      </c>
      <c r="E78" s="18"/>
      <c r="F78" s="18">
        <f>SUM(D78:E78)</f>
        <v>4</v>
      </c>
      <c r="G78" s="66"/>
    </row>
    <row r="79" spans="1:7" ht="17.25" customHeight="1" x14ac:dyDescent="0.2">
      <c r="A79" s="59">
        <v>73</v>
      </c>
      <c r="B79" s="10"/>
      <c r="C79" s="1090" t="s">
        <v>641</v>
      </c>
      <c r="G79" s="66"/>
    </row>
    <row r="80" spans="1:7" ht="17.25" customHeight="1" x14ac:dyDescent="0.35">
      <c r="A80" s="59">
        <v>74</v>
      </c>
      <c r="B80" s="10"/>
      <c r="C80" s="1078" t="s">
        <v>648</v>
      </c>
      <c r="D80" s="1085">
        <v>4</v>
      </c>
      <c r="F80" s="1079">
        <f>SUM(D80:E80)</f>
        <v>4</v>
      </c>
      <c r="G80" s="66"/>
    </row>
    <row r="81" spans="1:7" s="57" customFormat="1" ht="21.75" customHeight="1" thickBot="1" x14ac:dyDescent="0.25">
      <c r="A81" s="59">
        <v>75</v>
      </c>
      <c r="B81" s="56"/>
      <c r="C81" s="1091" t="s">
        <v>226</v>
      </c>
      <c r="D81" s="1080">
        <v>4</v>
      </c>
      <c r="E81" s="1080"/>
      <c r="F81" s="1080">
        <f>SUM(D81:E81)</f>
        <v>4</v>
      </c>
      <c r="G81" s="67"/>
    </row>
    <row r="82" spans="1:7" ht="30" customHeight="1" x14ac:dyDescent="0.2">
      <c r="A82" s="59">
        <v>76</v>
      </c>
      <c r="B82" s="203"/>
      <c r="C82" s="204" t="s">
        <v>13</v>
      </c>
      <c r="D82" s="205">
        <f>SUM(D72:D72)+D73+D78+D81</f>
        <v>1166.4000000000001</v>
      </c>
      <c r="E82" s="205">
        <f t="shared" ref="E82" si="5">SUM(E72:E72)+E73+E78+E81</f>
        <v>11.35</v>
      </c>
      <c r="F82" s="205">
        <f>SUM(F72:F72)+F73+F78+F81</f>
        <v>1177.75</v>
      </c>
      <c r="G82" s="206"/>
    </row>
    <row r="83" spans="1:7" ht="16.5" customHeight="1" x14ac:dyDescent="0.2">
      <c r="A83" s="59">
        <v>77</v>
      </c>
      <c r="B83" s="10"/>
      <c r="C83" s="11" t="s">
        <v>96</v>
      </c>
      <c r="G83" s="64"/>
    </row>
    <row r="84" spans="1:7" ht="16.5" customHeight="1" x14ac:dyDescent="0.2">
      <c r="A84" s="59">
        <v>78</v>
      </c>
      <c r="B84" s="10"/>
      <c r="C84" s="11" t="s">
        <v>226</v>
      </c>
      <c r="D84" s="1085">
        <f>SUM(D81)</f>
        <v>4</v>
      </c>
      <c r="E84" s="1085">
        <f t="shared" ref="E84" si="6">SUM(E81)</f>
        <v>0</v>
      </c>
      <c r="F84" s="5">
        <f>SUM(F81)</f>
        <v>4</v>
      </c>
      <c r="G84" s="64"/>
    </row>
    <row r="85" spans="1:7" ht="17.25" x14ac:dyDescent="0.35">
      <c r="A85" s="59">
        <v>79</v>
      </c>
      <c r="B85" s="10"/>
      <c r="C85" s="11" t="s">
        <v>649</v>
      </c>
      <c r="D85" s="1085">
        <f>D34+D29+D24+D19+D14+D9</f>
        <v>305.5</v>
      </c>
      <c r="E85" s="1085">
        <f>E34+E29+E24+E19+E14+E9</f>
        <v>0</v>
      </c>
      <c r="F85" s="1079">
        <f>SUM(D85:E85)</f>
        <v>305.5</v>
      </c>
      <c r="G85" s="64"/>
    </row>
    <row r="86" spans="1:7" ht="17.25" x14ac:dyDescent="0.35">
      <c r="A86" s="59">
        <v>80</v>
      </c>
      <c r="B86" s="10"/>
      <c r="C86" s="11" t="s">
        <v>650</v>
      </c>
      <c r="D86" s="1085">
        <f>D70+D48+D44+D40+D35+D30+D25+D20+D15+D10</f>
        <v>330.75</v>
      </c>
      <c r="E86" s="1085">
        <f>E70+E48+E44+E40+E35+E30+E25+E20+E15+E10</f>
        <v>-0.25</v>
      </c>
      <c r="F86" s="1079">
        <f t="shared" ref="F86:F90" si="7">SUM(D86:E86)</f>
        <v>330.5</v>
      </c>
      <c r="G86" s="64"/>
    </row>
    <row r="87" spans="1:7" ht="17.25" x14ac:dyDescent="0.35">
      <c r="A87" s="59">
        <v>81</v>
      </c>
      <c r="B87" s="10"/>
      <c r="C87" s="11" t="s">
        <v>651</v>
      </c>
      <c r="D87" s="1085">
        <f>D76+D71+D67+D64+D61+D58+D55+D52+D49+D45+D41+D36+D31+D26+D21+D16+D11</f>
        <v>303.75</v>
      </c>
      <c r="E87" s="1085">
        <f>E76+E71+E67+E64+E61+E58+E55+E52+E49+E45+E41+E36+E31+E26+E21+E16+E11</f>
        <v>-1</v>
      </c>
      <c r="F87" s="1079">
        <f t="shared" si="7"/>
        <v>302.75</v>
      </c>
      <c r="G87" s="64"/>
    </row>
    <row r="88" spans="1:7" ht="17.25" x14ac:dyDescent="0.35">
      <c r="A88" s="59">
        <v>82</v>
      </c>
      <c r="B88" s="10"/>
      <c r="C88" s="11" t="s">
        <v>652</v>
      </c>
      <c r="D88" s="1092">
        <f>D39</f>
        <v>28.4</v>
      </c>
      <c r="E88" s="1092">
        <f>E39</f>
        <v>8.6</v>
      </c>
      <c r="F88" s="1079">
        <f t="shared" si="7"/>
        <v>37</v>
      </c>
      <c r="G88" s="64"/>
    </row>
    <row r="89" spans="1:7" ht="17.25" x14ac:dyDescent="0.35">
      <c r="A89" s="59">
        <v>83</v>
      </c>
      <c r="B89" s="10"/>
      <c r="C89" s="11" t="s">
        <v>653</v>
      </c>
      <c r="D89" s="1092">
        <f>D75</f>
        <v>190</v>
      </c>
      <c r="E89" s="1092">
        <f>E75</f>
        <v>4</v>
      </c>
      <c r="F89" s="1079">
        <f t="shared" si="7"/>
        <v>194</v>
      </c>
      <c r="G89" s="64"/>
    </row>
    <row r="90" spans="1:7" ht="18" thickBot="1" x14ac:dyDescent="0.4">
      <c r="A90" s="59">
        <v>84</v>
      </c>
      <c r="B90" s="13"/>
      <c r="C90" s="58" t="s">
        <v>654</v>
      </c>
      <c r="D90" s="1093">
        <f>D80</f>
        <v>4</v>
      </c>
      <c r="E90" s="1093">
        <f>E80</f>
        <v>0</v>
      </c>
      <c r="F90" s="1094">
        <f t="shared" si="7"/>
        <v>4</v>
      </c>
      <c r="G90" s="68"/>
    </row>
    <row r="95" spans="1:7" s="12" customFormat="1" ht="17.25" x14ac:dyDescent="0.3">
      <c r="A95" s="126"/>
      <c r="B95" s="3"/>
      <c r="C95" s="17"/>
      <c r="D95" s="18"/>
      <c r="E95" s="18"/>
      <c r="F95" s="18"/>
      <c r="G95" s="69"/>
    </row>
    <row r="97" spans="1:7" s="12" customFormat="1" ht="17.25" x14ac:dyDescent="0.3">
      <c r="A97" s="126"/>
      <c r="B97" s="3"/>
      <c r="C97" s="17"/>
      <c r="D97" s="18"/>
      <c r="E97" s="18"/>
      <c r="F97" s="18"/>
      <c r="G97" s="69"/>
    </row>
    <row r="100" spans="1:7" s="12" customFormat="1" ht="17.25" x14ac:dyDescent="0.3">
      <c r="A100" s="126"/>
      <c r="B100" s="3"/>
      <c r="C100" s="17"/>
      <c r="D100" s="18"/>
      <c r="E100" s="18"/>
      <c r="F100" s="18"/>
      <c r="G100" s="69"/>
    </row>
    <row r="118" spans="1:10" s="12" customFormat="1" ht="17.25" x14ac:dyDescent="0.3">
      <c r="A118" s="126"/>
      <c r="B118" s="3"/>
      <c r="C118" s="17"/>
      <c r="D118" s="18"/>
      <c r="E118" s="18"/>
      <c r="F118" s="18"/>
      <c r="G118" s="69"/>
    </row>
    <row r="127" spans="1:10" s="5" customFormat="1" x14ac:dyDescent="0.3">
      <c r="A127" s="60"/>
      <c r="B127" s="3"/>
      <c r="C127" s="15"/>
      <c r="D127" s="19"/>
      <c r="G127" s="6"/>
      <c r="H127" s="1"/>
      <c r="I127" s="1"/>
      <c r="J127" s="1"/>
    </row>
    <row r="128" spans="1:10" s="5" customFormat="1" x14ac:dyDescent="0.3">
      <c r="A128" s="60"/>
      <c r="B128" s="3"/>
      <c r="C128" s="15"/>
      <c r="D128" s="19"/>
      <c r="G128" s="6"/>
      <c r="H128" s="1"/>
      <c r="I128" s="1"/>
      <c r="J128" s="1"/>
    </row>
    <row r="129" spans="1:10" s="5" customFormat="1" x14ac:dyDescent="0.3">
      <c r="A129" s="60"/>
      <c r="B129" s="3"/>
      <c r="C129" s="15"/>
      <c r="D129" s="19"/>
      <c r="G129" s="6"/>
      <c r="H129" s="1"/>
      <c r="I129" s="1"/>
      <c r="J129" s="1"/>
    </row>
    <row r="130" spans="1:10" s="5" customFormat="1" x14ac:dyDescent="0.3">
      <c r="A130" s="60"/>
      <c r="B130" s="3"/>
      <c r="C130" s="15"/>
      <c r="D130" s="19"/>
      <c r="G130" s="6"/>
      <c r="H130" s="1"/>
      <c r="I130" s="1"/>
      <c r="J130" s="1"/>
    </row>
    <row r="131" spans="1:10" s="5" customFormat="1" x14ac:dyDescent="0.3">
      <c r="A131" s="60"/>
      <c r="B131" s="3"/>
      <c r="C131" s="15"/>
      <c r="D131" s="19"/>
      <c r="G131" s="6"/>
      <c r="H131" s="1"/>
      <c r="I131" s="1"/>
      <c r="J131" s="1"/>
    </row>
    <row r="132" spans="1:10" s="5" customFormat="1" x14ac:dyDescent="0.3">
      <c r="A132" s="60"/>
      <c r="B132" s="3"/>
      <c r="C132" s="15"/>
      <c r="D132" s="19"/>
      <c r="G132" s="6"/>
      <c r="H132" s="1"/>
      <c r="I132" s="1"/>
      <c r="J132" s="1"/>
    </row>
    <row r="133" spans="1:10" s="5" customFormat="1" x14ac:dyDescent="0.3">
      <c r="A133" s="60"/>
      <c r="B133" s="3"/>
      <c r="C133" s="15"/>
      <c r="D133" s="19"/>
      <c r="G133" s="6"/>
      <c r="H133" s="1"/>
      <c r="I133" s="1"/>
      <c r="J133" s="1"/>
    </row>
    <row r="134" spans="1:10" s="5" customFormat="1" x14ac:dyDescent="0.3">
      <c r="A134" s="60"/>
      <c r="B134" s="3"/>
      <c r="C134" s="15"/>
      <c r="D134" s="19"/>
      <c r="G134" s="6"/>
      <c r="H134" s="1"/>
      <c r="I134" s="1"/>
      <c r="J134" s="1"/>
    </row>
  </sheetData>
  <mergeCells count="3">
    <mergeCell ref="B1:C1"/>
    <mergeCell ref="C3:G3"/>
    <mergeCell ref="B4:G4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72" orientation="portrait" r:id="rId1"/>
  <headerFooter alignWithMargins="0">
    <oddFooter>&amp;C- &amp;P -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"/>
  <sheetViews>
    <sheetView tabSelected="1" view="pageBreakPreview" zoomScaleNormal="100" zoomScaleSheetLayoutView="100" workbookViewId="0">
      <selection activeCell="B1" sqref="B1"/>
    </sheetView>
  </sheetViews>
  <sheetFormatPr defaultRowHeight="16.5" x14ac:dyDescent="0.3"/>
  <cols>
    <col min="1" max="1" width="3" style="538" customWidth="1"/>
    <col min="2" max="2" width="3.7109375" style="542" customWidth="1"/>
    <col min="3" max="3" width="16.5703125" style="543" customWidth="1"/>
    <col min="4" max="4" width="15.42578125" style="542" customWidth="1"/>
    <col min="5" max="6" width="9.85546875" style="542" bestFit="1" customWidth="1"/>
    <col min="7" max="7" width="9.42578125" style="542" customWidth="1"/>
    <col min="8" max="8" width="9.85546875" style="542" customWidth="1"/>
    <col min="9" max="9" width="11" style="542" customWidth="1"/>
    <col min="10" max="11" width="9.85546875" style="542" customWidth="1"/>
    <col min="12" max="15" width="9.42578125" style="542" customWidth="1"/>
    <col min="16" max="22" width="9.42578125" style="539" customWidth="1"/>
    <col min="23" max="245" width="8" style="539" customWidth="1"/>
    <col min="246" max="246" width="2.42578125" style="539" bestFit="1" customWidth="1"/>
    <col min="247" max="247" width="28.28515625" style="539" bestFit="1" customWidth="1"/>
    <col min="248" max="248" width="14.28515625" style="539" bestFit="1" customWidth="1"/>
    <col min="249" max="249" width="13.5703125" style="539" bestFit="1" customWidth="1"/>
    <col min="250" max="250" width="10.7109375" style="539" bestFit="1" customWidth="1"/>
    <col min="251" max="251" width="9.42578125" style="539" bestFit="1" customWidth="1"/>
    <col min="252" max="252" width="9.85546875" style="539" bestFit="1" customWidth="1"/>
    <col min="253" max="253" width="11.28515625" style="539" bestFit="1" customWidth="1"/>
    <col min="254" max="254" width="9.140625" style="539"/>
    <col min="255" max="256" width="3.7109375" style="539" customWidth="1"/>
    <col min="257" max="257" width="18.85546875" style="539" customWidth="1"/>
    <col min="258" max="258" width="19.7109375" style="539" customWidth="1"/>
    <col min="259" max="259" width="13.5703125" style="539" customWidth="1"/>
    <col min="260" max="262" width="11.7109375" style="539" customWidth="1"/>
    <col min="263" max="263" width="12.7109375" style="539" customWidth="1"/>
    <col min="264" max="273" width="11.7109375" style="539" customWidth="1"/>
    <col min="274" max="501" width="8" style="539" customWidth="1"/>
    <col min="502" max="502" width="2.42578125" style="539" bestFit="1" customWidth="1"/>
    <col min="503" max="503" width="28.28515625" style="539" bestFit="1" customWidth="1"/>
    <col min="504" max="504" width="14.28515625" style="539" bestFit="1" customWidth="1"/>
    <col min="505" max="505" width="13.5703125" style="539" bestFit="1" customWidth="1"/>
    <col min="506" max="506" width="10.7109375" style="539" bestFit="1" customWidth="1"/>
    <col min="507" max="507" width="9.42578125" style="539" bestFit="1" customWidth="1"/>
    <col min="508" max="508" width="9.85546875" style="539" bestFit="1" customWidth="1"/>
    <col min="509" max="509" width="11.28515625" style="539" bestFit="1" customWidth="1"/>
    <col min="510" max="510" width="9.140625" style="539"/>
    <col min="511" max="512" width="3.7109375" style="539" customWidth="1"/>
    <col min="513" max="513" width="18.85546875" style="539" customWidth="1"/>
    <col min="514" max="514" width="19.7109375" style="539" customWidth="1"/>
    <col min="515" max="515" width="13.5703125" style="539" customWidth="1"/>
    <col min="516" max="518" width="11.7109375" style="539" customWidth="1"/>
    <col min="519" max="519" width="12.7109375" style="539" customWidth="1"/>
    <col min="520" max="529" width="11.7109375" style="539" customWidth="1"/>
    <col min="530" max="757" width="8" style="539" customWidth="1"/>
    <col min="758" max="758" width="2.42578125" style="539" bestFit="1" customWidth="1"/>
    <col min="759" max="759" width="28.28515625" style="539" bestFit="1" customWidth="1"/>
    <col min="760" max="760" width="14.28515625" style="539" bestFit="1" customWidth="1"/>
    <col min="761" max="761" width="13.5703125" style="539" bestFit="1" customWidth="1"/>
    <col min="762" max="762" width="10.7109375" style="539" bestFit="1" customWidth="1"/>
    <col min="763" max="763" width="9.42578125" style="539" bestFit="1" customWidth="1"/>
    <col min="764" max="764" width="9.85546875" style="539" bestFit="1" customWidth="1"/>
    <col min="765" max="765" width="11.28515625" style="539" bestFit="1" customWidth="1"/>
    <col min="766" max="766" width="9.140625" style="539"/>
    <col min="767" max="768" width="3.7109375" style="539" customWidth="1"/>
    <col min="769" max="769" width="18.85546875" style="539" customWidth="1"/>
    <col min="770" max="770" width="19.7109375" style="539" customWidth="1"/>
    <col min="771" max="771" width="13.5703125" style="539" customWidth="1"/>
    <col min="772" max="774" width="11.7109375" style="539" customWidth="1"/>
    <col min="775" max="775" width="12.7109375" style="539" customWidth="1"/>
    <col min="776" max="785" width="11.7109375" style="539" customWidth="1"/>
    <col min="786" max="1013" width="8" style="539" customWidth="1"/>
    <col min="1014" max="1014" width="2.42578125" style="539" bestFit="1" customWidth="1"/>
    <col min="1015" max="1015" width="28.28515625" style="539" bestFit="1" customWidth="1"/>
    <col min="1016" max="1016" width="14.28515625" style="539" bestFit="1" customWidth="1"/>
    <col min="1017" max="1017" width="13.5703125" style="539" bestFit="1" customWidth="1"/>
    <col min="1018" max="1018" width="10.7109375" style="539" bestFit="1" customWidth="1"/>
    <col min="1019" max="1019" width="9.42578125" style="539" bestFit="1" customWidth="1"/>
    <col min="1020" max="1020" width="9.85546875" style="539" bestFit="1" customWidth="1"/>
    <col min="1021" max="1021" width="11.28515625" style="539" bestFit="1" customWidth="1"/>
    <col min="1022" max="1022" width="9.140625" style="539"/>
    <col min="1023" max="1024" width="3.7109375" style="539" customWidth="1"/>
    <col min="1025" max="1025" width="18.85546875" style="539" customWidth="1"/>
    <col min="1026" max="1026" width="19.7109375" style="539" customWidth="1"/>
    <col min="1027" max="1027" width="13.5703125" style="539" customWidth="1"/>
    <col min="1028" max="1030" width="11.7109375" style="539" customWidth="1"/>
    <col min="1031" max="1031" width="12.7109375" style="539" customWidth="1"/>
    <col min="1032" max="1041" width="11.7109375" style="539" customWidth="1"/>
    <col min="1042" max="1269" width="8" style="539" customWidth="1"/>
    <col min="1270" max="1270" width="2.42578125" style="539" bestFit="1" customWidth="1"/>
    <col min="1271" max="1271" width="28.28515625" style="539" bestFit="1" customWidth="1"/>
    <col min="1272" max="1272" width="14.28515625" style="539" bestFit="1" customWidth="1"/>
    <col min="1273" max="1273" width="13.5703125" style="539" bestFit="1" customWidth="1"/>
    <col min="1274" max="1274" width="10.7109375" style="539" bestFit="1" customWidth="1"/>
    <col min="1275" max="1275" width="9.42578125" style="539" bestFit="1" customWidth="1"/>
    <col min="1276" max="1276" width="9.85546875" style="539" bestFit="1" customWidth="1"/>
    <col min="1277" max="1277" width="11.28515625" style="539" bestFit="1" customWidth="1"/>
    <col min="1278" max="1278" width="9.140625" style="539"/>
    <col min="1279" max="1280" width="3.7109375" style="539" customWidth="1"/>
    <col min="1281" max="1281" width="18.85546875" style="539" customWidth="1"/>
    <col min="1282" max="1282" width="19.7109375" style="539" customWidth="1"/>
    <col min="1283" max="1283" width="13.5703125" style="539" customWidth="1"/>
    <col min="1284" max="1286" width="11.7109375" style="539" customWidth="1"/>
    <col min="1287" max="1287" width="12.7109375" style="539" customWidth="1"/>
    <col min="1288" max="1297" width="11.7109375" style="539" customWidth="1"/>
    <col min="1298" max="1525" width="8" style="539" customWidth="1"/>
    <col min="1526" max="1526" width="2.42578125" style="539" bestFit="1" customWidth="1"/>
    <col min="1527" max="1527" width="28.28515625" style="539" bestFit="1" customWidth="1"/>
    <col min="1528" max="1528" width="14.28515625" style="539" bestFit="1" customWidth="1"/>
    <col min="1529" max="1529" width="13.5703125" style="539" bestFit="1" customWidth="1"/>
    <col min="1530" max="1530" width="10.7109375" style="539" bestFit="1" customWidth="1"/>
    <col min="1531" max="1531" width="9.42578125" style="539" bestFit="1" customWidth="1"/>
    <col min="1532" max="1532" width="9.85546875" style="539" bestFit="1" customWidth="1"/>
    <col min="1533" max="1533" width="11.28515625" style="539" bestFit="1" customWidth="1"/>
    <col min="1534" max="1534" width="9.140625" style="539"/>
    <col min="1535" max="1536" width="3.7109375" style="539" customWidth="1"/>
    <col min="1537" max="1537" width="18.85546875" style="539" customWidth="1"/>
    <col min="1538" max="1538" width="19.7109375" style="539" customWidth="1"/>
    <col min="1539" max="1539" width="13.5703125" style="539" customWidth="1"/>
    <col min="1540" max="1542" width="11.7109375" style="539" customWidth="1"/>
    <col min="1543" max="1543" width="12.7109375" style="539" customWidth="1"/>
    <col min="1544" max="1553" width="11.7109375" style="539" customWidth="1"/>
    <col min="1554" max="1781" width="8" style="539" customWidth="1"/>
    <col min="1782" max="1782" width="2.42578125" style="539" bestFit="1" customWidth="1"/>
    <col min="1783" max="1783" width="28.28515625" style="539" bestFit="1" customWidth="1"/>
    <col min="1784" max="1784" width="14.28515625" style="539" bestFit="1" customWidth="1"/>
    <col min="1785" max="1785" width="13.5703125" style="539" bestFit="1" customWidth="1"/>
    <col min="1786" max="1786" width="10.7109375" style="539" bestFit="1" customWidth="1"/>
    <col min="1787" max="1787" width="9.42578125" style="539" bestFit="1" customWidth="1"/>
    <col min="1788" max="1788" width="9.85546875" style="539" bestFit="1" customWidth="1"/>
    <col min="1789" max="1789" width="11.28515625" style="539" bestFit="1" customWidth="1"/>
    <col min="1790" max="1790" width="9.140625" style="539"/>
    <col min="1791" max="1792" width="3.7109375" style="539" customWidth="1"/>
    <col min="1793" max="1793" width="18.85546875" style="539" customWidth="1"/>
    <col min="1794" max="1794" width="19.7109375" style="539" customWidth="1"/>
    <col min="1795" max="1795" width="13.5703125" style="539" customWidth="1"/>
    <col min="1796" max="1798" width="11.7109375" style="539" customWidth="1"/>
    <col min="1799" max="1799" width="12.7109375" style="539" customWidth="1"/>
    <col min="1800" max="1809" width="11.7109375" style="539" customWidth="1"/>
    <col min="1810" max="2037" width="8" style="539" customWidth="1"/>
    <col min="2038" max="2038" width="2.42578125" style="539" bestFit="1" customWidth="1"/>
    <col min="2039" max="2039" width="28.28515625" style="539" bestFit="1" customWidth="1"/>
    <col min="2040" max="2040" width="14.28515625" style="539" bestFit="1" customWidth="1"/>
    <col min="2041" max="2041" width="13.5703125" style="539" bestFit="1" customWidth="1"/>
    <col min="2042" max="2042" width="10.7109375" style="539" bestFit="1" customWidth="1"/>
    <col min="2043" max="2043" width="9.42578125" style="539" bestFit="1" customWidth="1"/>
    <col min="2044" max="2044" width="9.85546875" style="539" bestFit="1" customWidth="1"/>
    <col min="2045" max="2045" width="11.28515625" style="539" bestFit="1" customWidth="1"/>
    <col min="2046" max="2046" width="9.140625" style="539"/>
    <col min="2047" max="2048" width="3.7109375" style="539" customWidth="1"/>
    <col min="2049" max="2049" width="18.85546875" style="539" customWidth="1"/>
    <col min="2050" max="2050" width="19.7109375" style="539" customWidth="1"/>
    <col min="2051" max="2051" width="13.5703125" style="539" customWidth="1"/>
    <col min="2052" max="2054" width="11.7109375" style="539" customWidth="1"/>
    <col min="2055" max="2055" width="12.7109375" style="539" customWidth="1"/>
    <col min="2056" max="2065" width="11.7109375" style="539" customWidth="1"/>
    <col min="2066" max="2293" width="8" style="539" customWidth="1"/>
    <col min="2294" max="2294" width="2.42578125" style="539" bestFit="1" customWidth="1"/>
    <col min="2295" max="2295" width="28.28515625" style="539" bestFit="1" customWidth="1"/>
    <col min="2296" max="2296" width="14.28515625" style="539" bestFit="1" customWidth="1"/>
    <col min="2297" max="2297" width="13.5703125" style="539" bestFit="1" customWidth="1"/>
    <col min="2298" max="2298" width="10.7109375" style="539" bestFit="1" customWidth="1"/>
    <col min="2299" max="2299" width="9.42578125" style="539" bestFit="1" customWidth="1"/>
    <col min="2300" max="2300" width="9.85546875" style="539" bestFit="1" customWidth="1"/>
    <col min="2301" max="2301" width="11.28515625" style="539" bestFit="1" customWidth="1"/>
    <col min="2302" max="2302" width="9.140625" style="539"/>
    <col min="2303" max="2304" width="3.7109375" style="539" customWidth="1"/>
    <col min="2305" max="2305" width="18.85546875" style="539" customWidth="1"/>
    <col min="2306" max="2306" width="19.7109375" style="539" customWidth="1"/>
    <col min="2307" max="2307" width="13.5703125" style="539" customWidth="1"/>
    <col min="2308" max="2310" width="11.7109375" style="539" customWidth="1"/>
    <col min="2311" max="2311" width="12.7109375" style="539" customWidth="1"/>
    <col min="2312" max="2321" width="11.7109375" style="539" customWidth="1"/>
    <col min="2322" max="2549" width="8" style="539" customWidth="1"/>
    <col min="2550" max="2550" width="2.42578125" style="539" bestFit="1" customWidth="1"/>
    <col min="2551" max="2551" width="28.28515625" style="539" bestFit="1" customWidth="1"/>
    <col min="2552" max="2552" width="14.28515625" style="539" bestFit="1" customWidth="1"/>
    <col min="2553" max="2553" width="13.5703125" style="539" bestFit="1" customWidth="1"/>
    <col min="2554" max="2554" width="10.7109375" style="539" bestFit="1" customWidth="1"/>
    <col min="2555" max="2555" width="9.42578125" style="539" bestFit="1" customWidth="1"/>
    <col min="2556" max="2556" width="9.85546875" style="539" bestFit="1" customWidth="1"/>
    <col min="2557" max="2557" width="11.28515625" style="539" bestFit="1" customWidth="1"/>
    <col min="2558" max="2558" width="9.140625" style="539"/>
    <col min="2559" max="2560" width="3.7109375" style="539" customWidth="1"/>
    <col min="2561" max="2561" width="18.85546875" style="539" customWidth="1"/>
    <col min="2562" max="2562" width="19.7109375" style="539" customWidth="1"/>
    <col min="2563" max="2563" width="13.5703125" style="539" customWidth="1"/>
    <col min="2564" max="2566" width="11.7109375" style="539" customWidth="1"/>
    <col min="2567" max="2567" width="12.7109375" style="539" customWidth="1"/>
    <col min="2568" max="2577" width="11.7109375" style="539" customWidth="1"/>
    <col min="2578" max="2805" width="8" style="539" customWidth="1"/>
    <col min="2806" max="2806" width="2.42578125" style="539" bestFit="1" customWidth="1"/>
    <col min="2807" max="2807" width="28.28515625" style="539" bestFit="1" customWidth="1"/>
    <col min="2808" max="2808" width="14.28515625" style="539" bestFit="1" customWidth="1"/>
    <col min="2809" max="2809" width="13.5703125" style="539" bestFit="1" customWidth="1"/>
    <col min="2810" max="2810" width="10.7109375" style="539" bestFit="1" customWidth="1"/>
    <col min="2811" max="2811" width="9.42578125" style="539" bestFit="1" customWidth="1"/>
    <col min="2812" max="2812" width="9.85546875" style="539" bestFit="1" customWidth="1"/>
    <col min="2813" max="2813" width="11.28515625" style="539" bestFit="1" customWidth="1"/>
    <col min="2814" max="2814" width="9.140625" style="539"/>
    <col min="2815" max="2816" width="3.7109375" style="539" customWidth="1"/>
    <col min="2817" max="2817" width="18.85546875" style="539" customWidth="1"/>
    <col min="2818" max="2818" width="19.7109375" style="539" customWidth="1"/>
    <col min="2819" max="2819" width="13.5703125" style="539" customWidth="1"/>
    <col min="2820" max="2822" width="11.7109375" style="539" customWidth="1"/>
    <col min="2823" max="2823" width="12.7109375" style="539" customWidth="1"/>
    <col min="2824" max="2833" width="11.7109375" style="539" customWidth="1"/>
    <col min="2834" max="3061" width="8" style="539" customWidth="1"/>
    <col min="3062" max="3062" width="2.42578125" style="539" bestFit="1" customWidth="1"/>
    <col min="3063" max="3063" width="28.28515625" style="539" bestFit="1" customWidth="1"/>
    <col min="3064" max="3064" width="14.28515625" style="539" bestFit="1" customWidth="1"/>
    <col min="3065" max="3065" width="13.5703125" style="539" bestFit="1" customWidth="1"/>
    <col min="3066" max="3066" width="10.7109375" style="539" bestFit="1" customWidth="1"/>
    <col min="3067" max="3067" width="9.42578125" style="539" bestFit="1" customWidth="1"/>
    <col min="3068" max="3068" width="9.85546875" style="539" bestFit="1" customWidth="1"/>
    <col min="3069" max="3069" width="11.28515625" style="539" bestFit="1" customWidth="1"/>
    <col min="3070" max="3070" width="9.140625" style="539"/>
    <col min="3071" max="3072" width="3.7109375" style="539" customWidth="1"/>
    <col min="3073" max="3073" width="18.85546875" style="539" customWidth="1"/>
    <col min="3074" max="3074" width="19.7109375" style="539" customWidth="1"/>
    <col min="3075" max="3075" width="13.5703125" style="539" customWidth="1"/>
    <col min="3076" max="3078" width="11.7109375" style="539" customWidth="1"/>
    <col min="3079" max="3079" width="12.7109375" style="539" customWidth="1"/>
    <col min="3080" max="3089" width="11.7109375" style="539" customWidth="1"/>
    <col min="3090" max="3317" width="8" style="539" customWidth="1"/>
    <col min="3318" max="3318" width="2.42578125" style="539" bestFit="1" customWidth="1"/>
    <col min="3319" max="3319" width="28.28515625" style="539" bestFit="1" customWidth="1"/>
    <col min="3320" max="3320" width="14.28515625" style="539" bestFit="1" customWidth="1"/>
    <col min="3321" max="3321" width="13.5703125" style="539" bestFit="1" customWidth="1"/>
    <col min="3322" max="3322" width="10.7109375" style="539" bestFit="1" customWidth="1"/>
    <col min="3323" max="3323" width="9.42578125" style="539" bestFit="1" customWidth="1"/>
    <col min="3324" max="3324" width="9.85546875" style="539" bestFit="1" customWidth="1"/>
    <col min="3325" max="3325" width="11.28515625" style="539" bestFit="1" customWidth="1"/>
    <col min="3326" max="3326" width="9.140625" style="539"/>
    <col min="3327" max="3328" width="3.7109375" style="539" customWidth="1"/>
    <col min="3329" max="3329" width="18.85546875" style="539" customWidth="1"/>
    <col min="3330" max="3330" width="19.7109375" style="539" customWidth="1"/>
    <col min="3331" max="3331" width="13.5703125" style="539" customWidth="1"/>
    <col min="3332" max="3334" width="11.7109375" style="539" customWidth="1"/>
    <col min="3335" max="3335" width="12.7109375" style="539" customWidth="1"/>
    <col min="3336" max="3345" width="11.7109375" style="539" customWidth="1"/>
    <col min="3346" max="3573" width="8" style="539" customWidth="1"/>
    <col min="3574" max="3574" width="2.42578125" style="539" bestFit="1" customWidth="1"/>
    <col min="3575" max="3575" width="28.28515625" style="539" bestFit="1" customWidth="1"/>
    <col min="3576" max="3576" width="14.28515625" style="539" bestFit="1" customWidth="1"/>
    <col min="3577" max="3577" width="13.5703125" style="539" bestFit="1" customWidth="1"/>
    <col min="3578" max="3578" width="10.7109375" style="539" bestFit="1" customWidth="1"/>
    <col min="3579" max="3579" width="9.42578125" style="539" bestFit="1" customWidth="1"/>
    <col min="3580" max="3580" width="9.85546875" style="539" bestFit="1" customWidth="1"/>
    <col min="3581" max="3581" width="11.28515625" style="539" bestFit="1" customWidth="1"/>
    <col min="3582" max="3582" width="9.140625" style="539"/>
    <col min="3583" max="3584" width="3.7109375" style="539" customWidth="1"/>
    <col min="3585" max="3585" width="18.85546875" style="539" customWidth="1"/>
    <col min="3586" max="3586" width="19.7109375" style="539" customWidth="1"/>
    <col min="3587" max="3587" width="13.5703125" style="539" customWidth="1"/>
    <col min="3588" max="3590" width="11.7109375" style="539" customWidth="1"/>
    <col min="3591" max="3591" width="12.7109375" style="539" customWidth="1"/>
    <col min="3592" max="3601" width="11.7109375" style="539" customWidth="1"/>
    <col min="3602" max="3829" width="8" style="539" customWidth="1"/>
    <col min="3830" max="3830" width="2.42578125" style="539" bestFit="1" customWidth="1"/>
    <col min="3831" max="3831" width="28.28515625" style="539" bestFit="1" customWidth="1"/>
    <col min="3832" max="3832" width="14.28515625" style="539" bestFit="1" customWidth="1"/>
    <col min="3833" max="3833" width="13.5703125" style="539" bestFit="1" customWidth="1"/>
    <col min="3834" max="3834" width="10.7109375" style="539" bestFit="1" customWidth="1"/>
    <col min="3835" max="3835" width="9.42578125" style="539" bestFit="1" customWidth="1"/>
    <col min="3836" max="3836" width="9.85546875" style="539" bestFit="1" customWidth="1"/>
    <col min="3837" max="3837" width="11.28515625" style="539" bestFit="1" customWidth="1"/>
    <col min="3838" max="3838" width="9.140625" style="539"/>
    <col min="3839" max="3840" width="3.7109375" style="539" customWidth="1"/>
    <col min="3841" max="3841" width="18.85546875" style="539" customWidth="1"/>
    <col min="3842" max="3842" width="19.7109375" style="539" customWidth="1"/>
    <col min="3843" max="3843" width="13.5703125" style="539" customWidth="1"/>
    <col min="3844" max="3846" width="11.7109375" style="539" customWidth="1"/>
    <col min="3847" max="3847" width="12.7109375" style="539" customWidth="1"/>
    <col min="3848" max="3857" width="11.7109375" style="539" customWidth="1"/>
    <col min="3858" max="4085" width="8" style="539" customWidth="1"/>
    <col min="4086" max="4086" width="2.42578125" style="539" bestFit="1" customWidth="1"/>
    <col min="4087" max="4087" width="28.28515625" style="539" bestFit="1" customWidth="1"/>
    <col min="4088" max="4088" width="14.28515625" style="539" bestFit="1" customWidth="1"/>
    <col min="4089" max="4089" width="13.5703125" style="539" bestFit="1" customWidth="1"/>
    <col min="4090" max="4090" width="10.7109375" style="539" bestFit="1" customWidth="1"/>
    <col min="4091" max="4091" width="9.42578125" style="539" bestFit="1" customWidth="1"/>
    <col min="4092" max="4092" width="9.85546875" style="539" bestFit="1" customWidth="1"/>
    <col min="4093" max="4093" width="11.28515625" style="539" bestFit="1" customWidth="1"/>
    <col min="4094" max="4094" width="9.140625" style="539"/>
    <col min="4095" max="4096" width="3.7109375" style="539" customWidth="1"/>
    <col min="4097" max="4097" width="18.85546875" style="539" customWidth="1"/>
    <col min="4098" max="4098" width="19.7109375" style="539" customWidth="1"/>
    <col min="4099" max="4099" width="13.5703125" style="539" customWidth="1"/>
    <col min="4100" max="4102" width="11.7109375" style="539" customWidth="1"/>
    <col min="4103" max="4103" width="12.7109375" style="539" customWidth="1"/>
    <col min="4104" max="4113" width="11.7109375" style="539" customWidth="1"/>
    <col min="4114" max="4341" width="8" style="539" customWidth="1"/>
    <col min="4342" max="4342" width="2.42578125" style="539" bestFit="1" customWidth="1"/>
    <col min="4343" max="4343" width="28.28515625" style="539" bestFit="1" customWidth="1"/>
    <col min="4344" max="4344" width="14.28515625" style="539" bestFit="1" customWidth="1"/>
    <col min="4345" max="4345" width="13.5703125" style="539" bestFit="1" customWidth="1"/>
    <col min="4346" max="4346" width="10.7109375" style="539" bestFit="1" customWidth="1"/>
    <col min="4347" max="4347" width="9.42578125" style="539" bestFit="1" customWidth="1"/>
    <col min="4348" max="4348" width="9.85546875" style="539" bestFit="1" customWidth="1"/>
    <col min="4349" max="4349" width="11.28515625" style="539" bestFit="1" customWidth="1"/>
    <col min="4350" max="4350" width="9.140625" style="539"/>
    <col min="4351" max="4352" width="3.7109375" style="539" customWidth="1"/>
    <col min="4353" max="4353" width="18.85546875" style="539" customWidth="1"/>
    <col min="4354" max="4354" width="19.7109375" style="539" customWidth="1"/>
    <col min="4355" max="4355" width="13.5703125" style="539" customWidth="1"/>
    <col min="4356" max="4358" width="11.7109375" style="539" customWidth="1"/>
    <col min="4359" max="4359" width="12.7109375" style="539" customWidth="1"/>
    <col min="4360" max="4369" width="11.7109375" style="539" customWidth="1"/>
    <col min="4370" max="4597" width="8" style="539" customWidth="1"/>
    <col min="4598" max="4598" width="2.42578125" style="539" bestFit="1" customWidth="1"/>
    <col min="4599" max="4599" width="28.28515625" style="539" bestFit="1" customWidth="1"/>
    <col min="4600" max="4600" width="14.28515625" style="539" bestFit="1" customWidth="1"/>
    <col min="4601" max="4601" width="13.5703125" style="539" bestFit="1" customWidth="1"/>
    <col min="4602" max="4602" width="10.7109375" style="539" bestFit="1" customWidth="1"/>
    <col min="4603" max="4603" width="9.42578125" style="539" bestFit="1" customWidth="1"/>
    <col min="4604" max="4604" width="9.85546875" style="539" bestFit="1" customWidth="1"/>
    <col min="4605" max="4605" width="11.28515625" style="539" bestFit="1" customWidth="1"/>
    <col min="4606" max="4606" width="9.140625" style="539"/>
    <col min="4607" max="4608" width="3.7109375" style="539" customWidth="1"/>
    <col min="4609" max="4609" width="18.85546875" style="539" customWidth="1"/>
    <col min="4610" max="4610" width="19.7109375" style="539" customWidth="1"/>
    <col min="4611" max="4611" width="13.5703125" style="539" customWidth="1"/>
    <col min="4612" max="4614" width="11.7109375" style="539" customWidth="1"/>
    <col min="4615" max="4615" width="12.7109375" style="539" customWidth="1"/>
    <col min="4616" max="4625" width="11.7109375" style="539" customWidth="1"/>
    <col min="4626" max="4853" width="8" style="539" customWidth="1"/>
    <col min="4854" max="4854" width="2.42578125" style="539" bestFit="1" customWidth="1"/>
    <col min="4855" max="4855" width="28.28515625" style="539" bestFit="1" customWidth="1"/>
    <col min="4856" max="4856" width="14.28515625" style="539" bestFit="1" customWidth="1"/>
    <col min="4857" max="4857" width="13.5703125" style="539" bestFit="1" customWidth="1"/>
    <col min="4858" max="4858" width="10.7109375" style="539" bestFit="1" customWidth="1"/>
    <col min="4859" max="4859" width="9.42578125" style="539" bestFit="1" customWidth="1"/>
    <col min="4860" max="4860" width="9.85546875" style="539" bestFit="1" customWidth="1"/>
    <col min="4861" max="4861" width="11.28515625" style="539" bestFit="1" customWidth="1"/>
    <col min="4862" max="4862" width="9.140625" style="539"/>
    <col min="4863" max="4864" width="3.7109375" style="539" customWidth="1"/>
    <col min="4865" max="4865" width="18.85546875" style="539" customWidth="1"/>
    <col min="4866" max="4866" width="19.7109375" style="539" customWidth="1"/>
    <col min="4867" max="4867" width="13.5703125" style="539" customWidth="1"/>
    <col min="4868" max="4870" width="11.7109375" style="539" customWidth="1"/>
    <col min="4871" max="4871" width="12.7109375" style="539" customWidth="1"/>
    <col min="4872" max="4881" width="11.7109375" style="539" customWidth="1"/>
    <col min="4882" max="5109" width="8" style="539" customWidth="1"/>
    <col min="5110" max="5110" width="2.42578125" style="539" bestFit="1" customWidth="1"/>
    <col min="5111" max="5111" width="28.28515625" style="539" bestFit="1" customWidth="1"/>
    <col min="5112" max="5112" width="14.28515625" style="539" bestFit="1" customWidth="1"/>
    <col min="5113" max="5113" width="13.5703125" style="539" bestFit="1" customWidth="1"/>
    <col min="5114" max="5114" width="10.7109375" style="539" bestFit="1" customWidth="1"/>
    <col min="5115" max="5115" width="9.42578125" style="539" bestFit="1" customWidth="1"/>
    <col min="5116" max="5116" width="9.85546875" style="539" bestFit="1" customWidth="1"/>
    <col min="5117" max="5117" width="11.28515625" style="539" bestFit="1" customWidth="1"/>
    <col min="5118" max="5118" width="9.140625" style="539"/>
    <col min="5119" max="5120" width="3.7109375" style="539" customWidth="1"/>
    <col min="5121" max="5121" width="18.85546875" style="539" customWidth="1"/>
    <col min="5122" max="5122" width="19.7109375" style="539" customWidth="1"/>
    <col min="5123" max="5123" width="13.5703125" style="539" customWidth="1"/>
    <col min="5124" max="5126" width="11.7109375" style="539" customWidth="1"/>
    <col min="5127" max="5127" width="12.7109375" style="539" customWidth="1"/>
    <col min="5128" max="5137" width="11.7109375" style="539" customWidth="1"/>
    <col min="5138" max="5365" width="8" style="539" customWidth="1"/>
    <col min="5366" max="5366" width="2.42578125" style="539" bestFit="1" customWidth="1"/>
    <col min="5367" max="5367" width="28.28515625" style="539" bestFit="1" customWidth="1"/>
    <col min="5368" max="5368" width="14.28515625" style="539" bestFit="1" customWidth="1"/>
    <col min="5369" max="5369" width="13.5703125" style="539" bestFit="1" customWidth="1"/>
    <col min="5370" max="5370" width="10.7109375" style="539" bestFit="1" customWidth="1"/>
    <col min="5371" max="5371" width="9.42578125" style="539" bestFit="1" customWidth="1"/>
    <col min="5372" max="5372" width="9.85546875" style="539" bestFit="1" customWidth="1"/>
    <col min="5373" max="5373" width="11.28515625" style="539" bestFit="1" customWidth="1"/>
    <col min="5374" max="5374" width="9.140625" style="539"/>
    <col min="5375" max="5376" width="3.7109375" style="539" customWidth="1"/>
    <col min="5377" max="5377" width="18.85546875" style="539" customWidth="1"/>
    <col min="5378" max="5378" width="19.7109375" style="539" customWidth="1"/>
    <col min="5379" max="5379" width="13.5703125" style="539" customWidth="1"/>
    <col min="5380" max="5382" width="11.7109375" style="539" customWidth="1"/>
    <col min="5383" max="5383" width="12.7109375" style="539" customWidth="1"/>
    <col min="5384" max="5393" width="11.7109375" style="539" customWidth="1"/>
    <col min="5394" max="5621" width="8" style="539" customWidth="1"/>
    <col min="5622" max="5622" width="2.42578125" style="539" bestFit="1" customWidth="1"/>
    <col min="5623" max="5623" width="28.28515625" style="539" bestFit="1" customWidth="1"/>
    <col min="5624" max="5624" width="14.28515625" style="539" bestFit="1" customWidth="1"/>
    <col min="5625" max="5625" width="13.5703125" style="539" bestFit="1" customWidth="1"/>
    <col min="5626" max="5626" width="10.7109375" style="539" bestFit="1" customWidth="1"/>
    <col min="5627" max="5627" width="9.42578125" style="539" bestFit="1" customWidth="1"/>
    <col min="5628" max="5628" width="9.85546875" style="539" bestFit="1" customWidth="1"/>
    <col min="5629" max="5629" width="11.28515625" style="539" bestFit="1" customWidth="1"/>
    <col min="5630" max="5630" width="9.140625" style="539"/>
    <col min="5631" max="5632" width="3.7109375" style="539" customWidth="1"/>
    <col min="5633" max="5633" width="18.85546875" style="539" customWidth="1"/>
    <col min="5634" max="5634" width="19.7109375" style="539" customWidth="1"/>
    <col min="5635" max="5635" width="13.5703125" style="539" customWidth="1"/>
    <col min="5636" max="5638" width="11.7109375" style="539" customWidth="1"/>
    <col min="5639" max="5639" width="12.7109375" style="539" customWidth="1"/>
    <col min="5640" max="5649" width="11.7109375" style="539" customWidth="1"/>
    <col min="5650" max="5877" width="8" style="539" customWidth="1"/>
    <col min="5878" max="5878" width="2.42578125" style="539" bestFit="1" customWidth="1"/>
    <col min="5879" max="5879" width="28.28515625" style="539" bestFit="1" customWidth="1"/>
    <col min="5880" max="5880" width="14.28515625" style="539" bestFit="1" customWidth="1"/>
    <col min="5881" max="5881" width="13.5703125" style="539" bestFit="1" customWidth="1"/>
    <col min="5882" max="5882" width="10.7109375" style="539" bestFit="1" customWidth="1"/>
    <col min="5883" max="5883" width="9.42578125" style="539" bestFit="1" customWidth="1"/>
    <col min="5884" max="5884" width="9.85546875" style="539" bestFit="1" customWidth="1"/>
    <col min="5885" max="5885" width="11.28515625" style="539" bestFit="1" customWidth="1"/>
    <col min="5886" max="5886" width="9.140625" style="539"/>
    <col min="5887" max="5888" width="3.7109375" style="539" customWidth="1"/>
    <col min="5889" max="5889" width="18.85546875" style="539" customWidth="1"/>
    <col min="5890" max="5890" width="19.7109375" style="539" customWidth="1"/>
    <col min="5891" max="5891" width="13.5703125" style="539" customWidth="1"/>
    <col min="5892" max="5894" width="11.7109375" style="539" customWidth="1"/>
    <col min="5895" max="5895" width="12.7109375" style="539" customWidth="1"/>
    <col min="5896" max="5905" width="11.7109375" style="539" customWidth="1"/>
    <col min="5906" max="6133" width="8" style="539" customWidth="1"/>
    <col min="6134" max="6134" width="2.42578125" style="539" bestFit="1" customWidth="1"/>
    <col min="6135" max="6135" width="28.28515625" style="539" bestFit="1" customWidth="1"/>
    <col min="6136" max="6136" width="14.28515625" style="539" bestFit="1" customWidth="1"/>
    <col min="6137" max="6137" width="13.5703125" style="539" bestFit="1" customWidth="1"/>
    <col min="6138" max="6138" width="10.7109375" style="539" bestFit="1" customWidth="1"/>
    <col min="6139" max="6139" width="9.42578125" style="539" bestFit="1" customWidth="1"/>
    <col min="6140" max="6140" width="9.85546875" style="539" bestFit="1" customWidth="1"/>
    <col min="6141" max="6141" width="11.28515625" style="539" bestFit="1" customWidth="1"/>
    <col min="6142" max="6142" width="9.140625" style="539"/>
    <col min="6143" max="6144" width="3.7109375" style="539" customWidth="1"/>
    <col min="6145" max="6145" width="18.85546875" style="539" customWidth="1"/>
    <col min="6146" max="6146" width="19.7109375" style="539" customWidth="1"/>
    <col min="6147" max="6147" width="13.5703125" style="539" customWidth="1"/>
    <col min="6148" max="6150" width="11.7109375" style="539" customWidth="1"/>
    <col min="6151" max="6151" width="12.7109375" style="539" customWidth="1"/>
    <col min="6152" max="6161" width="11.7109375" style="539" customWidth="1"/>
    <col min="6162" max="6389" width="8" style="539" customWidth="1"/>
    <col min="6390" max="6390" width="2.42578125" style="539" bestFit="1" customWidth="1"/>
    <col min="6391" max="6391" width="28.28515625" style="539" bestFit="1" customWidth="1"/>
    <col min="6392" max="6392" width="14.28515625" style="539" bestFit="1" customWidth="1"/>
    <col min="6393" max="6393" width="13.5703125" style="539" bestFit="1" customWidth="1"/>
    <col min="6394" max="6394" width="10.7109375" style="539" bestFit="1" customWidth="1"/>
    <col min="6395" max="6395" width="9.42578125" style="539" bestFit="1" customWidth="1"/>
    <col min="6396" max="6396" width="9.85546875" style="539" bestFit="1" customWidth="1"/>
    <col min="6397" max="6397" width="11.28515625" style="539" bestFit="1" customWidth="1"/>
    <col min="6398" max="6398" width="9.140625" style="539"/>
    <col min="6399" max="6400" width="3.7109375" style="539" customWidth="1"/>
    <col min="6401" max="6401" width="18.85546875" style="539" customWidth="1"/>
    <col min="6402" max="6402" width="19.7109375" style="539" customWidth="1"/>
    <col min="6403" max="6403" width="13.5703125" style="539" customWidth="1"/>
    <col min="6404" max="6406" width="11.7109375" style="539" customWidth="1"/>
    <col min="6407" max="6407" width="12.7109375" style="539" customWidth="1"/>
    <col min="6408" max="6417" width="11.7109375" style="539" customWidth="1"/>
    <col min="6418" max="6645" width="8" style="539" customWidth="1"/>
    <col min="6646" max="6646" width="2.42578125" style="539" bestFit="1" customWidth="1"/>
    <col min="6647" max="6647" width="28.28515625" style="539" bestFit="1" customWidth="1"/>
    <col min="6648" max="6648" width="14.28515625" style="539" bestFit="1" customWidth="1"/>
    <col min="6649" max="6649" width="13.5703125" style="539" bestFit="1" customWidth="1"/>
    <col min="6650" max="6650" width="10.7109375" style="539" bestFit="1" customWidth="1"/>
    <col min="6651" max="6651" width="9.42578125" style="539" bestFit="1" customWidth="1"/>
    <col min="6652" max="6652" width="9.85546875" style="539" bestFit="1" customWidth="1"/>
    <col min="6653" max="6653" width="11.28515625" style="539" bestFit="1" customWidth="1"/>
    <col min="6654" max="6654" width="9.140625" style="539"/>
    <col min="6655" max="6656" width="3.7109375" style="539" customWidth="1"/>
    <col min="6657" max="6657" width="18.85546875" style="539" customWidth="1"/>
    <col min="6658" max="6658" width="19.7109375" style="539" customWidth="1"/>
    <col min="6659" max="6659" width="13.5703125" style="539" customWidth="1"/>
    <col min="6660" max="6662" width="11.7109375" style="539" customWidth="1"/>
    <col min="6663" max="6663" width="12.7109375" style="539" customWidth="1"/>
    <col min="6664" max="6673" width="11.7109375" style="539" customWidth="1"/>
    <col min="6674" max="6901" width="8" style="539" customWidth="1"/>
    <col min="6902" max="6902" width="2.42578125" style="539" bestFit="1" customWidth="1"/>
    <col min="6903" max="6903" width="28.28515625" style="539" bestFit="1" customWidth="1"/>
    <col min="6904" max="6904" width="14.28515625" style="539" bestFit="1" customWidth="1"/>
    <col min="6905" max="6905" width="13.5703125" style="539" bestFit="1" customWidth="1"/>
    <col min="6906" max="6906" width="10.7109375" style="539" bestFit="1" customWidth="1"/>
    <col min="6907" max="6907" width="9.42578125" style="539" bestFit="1" customWidth="1"/>
    <col min="6908" max="6908" width="9.85546875" style="539" bestFit="1" customWidth="1"/>
    <col min="6909" max="6909" width="11.28515625" style="539" bestFit="1" customWidth="1"/>
    <col min="6910" max="6910" width="9.140625" style="539"/>
    <col min="6911" max="6912" width="3.7109375" style="539" customWidth="1"/>
    <col min="6913" max="6913" width="18.85546875" style="539" customWidth="1"/>
    <col min="6914" max="6914" width="19.7109375" style="539" customWidth="1"/>
    <col min="6915" max="6915" width="13.5703125" style="539" customWidth="1"/>
    <col min="6916" max="6918" width="11.7109375" style="539" customWidth="1"/>
    <col min="6919" max="6919" width="12.7109375" style="539" customWidth="1"/>
    <col min="6920" max="6929" width="11.7109375" style="539" customWidth="1"/>
    <col min="6930" max="7157" width="8" style="539" customWidth="1"/>
    <col min="7158" max="7158" width="2.42578125" style="539" bestFit="1" customWidth="1"/>
    <col min="7159" max="7159" width="28.28515625" style="539" bestFit="1" customWidth="1"/>
    <col min="7160" max="7160" width="14.28515625" style="539" bestFit="1" customWidth="1"/>
    <col min="7161" max="7161" width="13.5703125" style="539" bestFit="1" customWidth="1"/>
    <col min="7162" max="7162" width="10.7109375" style="539" bestFit="1" customWidth="1"/>
    <col min="7163" max="7163" width="9.42578125" style="539" bestFit="1" customWidth="1"/>
    <col min="7164" max="7164" width="9.85546875" style="539" bestFit="1" customWidth="1"/>
    <col min="7165" max="7165" width="11.28515625" style="539" bestFit="1" customWidth="1"/>
    <col min="7166" max="7166" width="9.140625" style="539"/>
    <col min="7167" max="7168" width="3.7109375" style="539" customWidth="1"/>
    <col min="7169" max="7169" width="18.85546875" style="539" customWidth="1"/>
    <col min="7170" max="7170" width="19.7109375" style="539" customWidth="1"/>
    <col min="7171" max="7171" width="13.5703125" style="539" customWidth="1"/>
    <col min="7172" max="7174" width="11.7109375" style="539" customWidth="1"/>
    <col min="7175" max="7175" width="12.7109375" style="539" customWidth="1"/>
    <col min="7176" max="7185" width="11.7109375" style="539" customWidth="1"/>
    <col min="7186" max="7413" width="8" style="539" customWidth="1"/>
    <col min="7414" max="7414" width="2.42578125" style="539" bestFit="1" customWidth="1"/>
    <col min="7415" max="7415" width="28.28515625" style="539" bestFit="1" customWidth="1"/>
    <col min="7416" max="7416" width="14.28515625" style="539" bestFit="1" customWidth="1"/>
    <col min="7417" max="7417" width="13.5703125" style="539" bestFit="1" customWidth="1"/>
    <col min="7418" max="7418" width="10.7109375" style="539" bestFit="1" customWidth="1"/>
    <col min="7419" max="7419" width="9.42578125" style="539" bestFit="1" customWidth="1"/>
    <col min="7420" max="7420" width="9.85546875" style="539" bestFit="1" customWidth="1"/>
    <col min="7421" max="7421" width="11.28515625" style="539" bestFit="1" customWidth="1"/>
    <col min="7422" max="7422" width="9.140625" style="539"/>
    <col min="7423" max="7424" width="3.7109375" style="539" customWidth="1"/>
    <col min="7425" max="7425" width="18.85546875" style="539" customWidth="1"/>
    <col min="7426" max="7426" width="19.7109375" style="539" customWidth="1"/>
    <col min="7427" max="7427" width="13.5703125" style="539" customWidth="1"/>
    <col min="7428" max="7430" width="11.7109375" style="539" customWidth="1"/>
    <col min="7431" max="7431" width="12.7109375" style="539" customWidth="1"/>
    <col min="7432" max="7441" width="11.7109375" style="539" customWidth="1"/>
    <col min="7442" max="7669" width="8" style="539" customWidth="1"/>
    <col min="7670" max="7670" width="2.42578125" style="539" bestFit="1" customWidth="1"/>
    <col min="7671" max="7671" width="28.28515625" style="539" bestFit="1" customWidth="1"/>
    <col min="7672" max="7672" width="14.28515625" style="539" bestFit="1" customWidth="1"/>
    <col min="7673" max="7673" width="13.5703125" style="539" bestFit="1" customWidth="1"/>
    <col min="7674" max="7674" width="10.7109375" style="539" bestFit="1" customWidth="1"/>
    <col min="7675" max="7675" width="9.42578125" style="539" bestFit="1" customWidth="1"/>
    <col min="7676" max="7676" width="9.85546875" style="539" bestFit="1" customWidth="1"/>
    <col min="7677" max="7677" width="11.28515625" style="539" bestFit="1" customWidth="1"/>
    <col min="7678" max="7678" width="9.140625" style="539"/>
    <col min="7679" max="7680" width="3.7109375" style="539" customWidth="1"/>
    <col min="7681" max="7681" width="18.85546875" style="539" customWidth="1"/>
    <col min="7682" max="7682" width="19.7109375" style="539" customWidth="1"/>
    <col min="7683" max="7683" width="13.5703125" style="539" customWidth="1"/>
    <col min="7684" max="7686" width="11.7109375" style="539" customWidth="1"/>
    <col min="7687" max="7687" width="12.7109375" style="539" customWidth="1"/>
    <col min="7688" max="7697" width="11.7109375" style="539" customWidth="1"/>
    <col min="7698" max="7925" width="8" style="539" customWidth="1"/>
    <col min="7926" max="7926" width="2.42578125" style="539" bestFit="1" customWidth="1"/>
    <col min="7927" max="7927" width="28.28515625" style="539" bestFit="1" customWidth="1"/>
    <col min="7928" max="7928" width="14.28515625" style="539" bestFit="1" customWidth="1"/>
    <col min="7929" max="7929" width="13.5703125" style="539" bestFit="1" customWidth="1"/>
    <col min="7930" max="7930" width="10.7109375" style="539" bestFit="1" customWidth="1"/>
    <col min="7931" max="7931" width="9.42578125" style="539" bestFit="1" customWidth="1"/>
    <col min="7932" max="7932" width="9.85546875" style="539" bestFit="1" customWidth="1"/>
    <col min="7933" max="7933" width="11.28515625" style="539" bestFit="1" customWidth="1"/>
    <col min="7934" max="7934" width="9.140625" style="539"/>
    <col min="7935" max="7936" width="3.7109375" style="539" customWidth="1"/>
    <col min="7937" max="7937" width="18.85546875" style="539" customWidth="1"/>
    <col min="7938" max="7938" width="19.7109375" style="539" customWidth="1"/>
    <col min="7939" max="7939" width="13.5703125" style="539" customWidth="1"/>
    <col min="7940" max="7942" width="11.7109375" style="539" customWidth="1"/>
    <col min="7943" max="7943" width="12.7109375" style="539" customWidth="1"/>
    <col min="7944" max="7953" width="11.7109375" style="539" customWidth="1"/>
    <col min="7954" max="8181" width="8" style="539" customWidth="1"/>
    <col min="8182" max="8182" width="2.42578125" style="539" bestFit="1" customWidth="1"/>
    <col min="8183" max="8183" width="28.28515625" style="539" bestFit="1" customWidth="1"/>
    <col min="8184" max="8184" width="14.28515625" style="539" bestFit="1" customWidth="1"/>
    <col min="8185" max="8185" width="13.5703125" style="539" bestFit="1" customWidth="1"/>
    <col min="8186" max="8186" width="10.7109375" style="539" bestFit="1" customWidth="1"/>
    <col min="8187" max="8187" width="9.42578125" style="539" bestFit="1" customWidth="1"/>
    <col min="8188" max="8188" width="9.85546875" style="539" bestFit="1" customWidth="1"/>
    <col min="8189" max="8189" width="11.28515625" style="539" bestFit="1" customWidth="1"/>
    <col min="8190" max="8190" width="9.140625" style="539"/>
    <col min="8191" max="8192" width="3.7109375" style="539" customWidth="1"/>
    <col min="8193" max="8193" width="18.85546875" style="539" customWidth="1"/>
    <col min="8194" max="8194" width="19.7109375" style="539" customWidth="1"/>
    <col min="8195" max="8195" width="13.5703125" style="539" customWidth="1"/>
    <col min="8196" max="8198" width="11.7109375" style="539" customWidth="1"/>
    <col min="8199" max="8199" width="12.7109375" style="539" customWidth="1"/>
    <col min="8200" max="8209" width="11.7109375" style="539" customWidth="1"/>
    <col min="8210" max="8437" width="8" style="539" customWidth="1"/>
    <col min="8438" max="8438" width="2.42578125" style="539" bestFit="1" customWidth="1"/>
    <col min="8439" max="8439" width="28.28515625" style="539" bestFit="1" customWidth="1"/>
    <col min="8440" max="8440" width="14.28515625" style="539" bestFit="1" customWidth="1"/>
    <col min="8441" max="8441" width="13.5703125" style="539" bestFit="1" customWidth="1"/>
    <col min="8442" max="8442" width="10.7109375" style="539" bestFit="1" customWidth="1"/>
    <col min="8443" max="8443" width="9.42578125" style="539" bestFit="1" customWidth="1"/>
    <col min="8444" max="8444" width="9.85546875" style="539" bestFit="1" customWidth="1"/>
    <col min="8445" max="8445" width="11.28515625" style="539" bestFit="1" customWidth="1"/>
    <col min="8446" max="8446" width="9.140625" style="539"/>
    <col min="8447" max="8448" width="3.7109375" style="539" customWidth="1"/>
    <col min="8449" max="8449" width="18.85546875" style="539" customWidth="1"/>
    <col min="8450" max="8450" width="19.7109375" style="539" customWidth="1"/>
    <col min="8451" max="8451" width="13.5703125" style="539" customWidth="1"/>
    <col min="8452" max="8454" width="11.7109375" style="539" customWidth="1"/>
    <col min="8455" max="8455" width="12.7109375" style="539" customWidth="1"/>
    <col min="8456" max="8465" width="11.7109375" style="539" customWidth="1"/>
    <col min="8466" max="8693" width="8" style="539" customWidth="1"/>
    <col min="8694" max="8694" width="2.42578125" style="539" bestFit="1" customWidth="1"/>
    <col min="8695" max="8695" width="28.28515625" style="539" bestFit="1" customWidth="1"/>
    <col min="8696" max="8696" width="14.28515625" style="539" bestFit="1" customWidth="1"/>
    <col min="8697" max="8697" width="13.5703125" style="539" bestFit="1" customWidth="1"/>
    <col min="8698" max="8698" width="10.7109375" style="539" bestFit="1" customWidth="1"/>
    <col min="8699" max="8699" width="9.42578125" style="539" bestFit="1" customWidth="1"/>
    <col min="8700" max="8700" width="9.85546875" style="539" bestFit="1" customWidth="1"/>
    <col min="8701" max="8701" width="11.28515625" style="539" bestFit="1" customWidth="1"/>
    <col min="8702" max="8702" width="9.140625" style="539"/>
    <col min="8703" max="8704" width="3.7109375" style="539" customWidth="1"/>
    <col min="8705" max="8705" width="18.85546875" style="539" customWidth="1"/>
    <col min="8706" max="8706" width="19.7109375" style="539" customWidth="1"/>
    <col min="8707" max="8707" width="13.5703125" style="539" customWidth="1"/>
    <col min="8708" max="8710" width="11.7109375" style="539" customWidth="1"/>
    <col min="8711" max="8711" width="12.7109375" style="539" customWidth="1"/>
    <col min="8712" max="8721" width="11.7109375" style="539" customWidth="1"/>
    <col min="8722" max="8949" width="8" style="539" customWidth="1"/>
    <col min="8950" max="8950" width="2.42578125" style="539" bestFit="1" customWidth="1"/>
    <col min="8951" max="8951" width="28.28515625" style="539" bestFit="1" customWidth="1"/>
    <col min="8952" max="8952" width="14.28515625" style="539" bestFit="1" customWidth="1"/>
    <col min="8953" max="8953" width="13.5703125" style="539" bestFit="1" customWidth="1"/>
    <col min="8954" max="8954" width="10.7109375" style="539" bestFit="1" customWidth="1"/>
    <col min="8955" max="8955" width="9.42578125" style="539" bestFit="1" customWidth="1"/>
    <col min="8956" max="8956" width="9.85546875" style="539" bestFit="1" customWidth="1"/>
    <col min="8957" max="8957" width="11.28515625" style="539" bestFit="1" customWidth="1"/>
    <col min="8958" max="8958" width="9.140625" style="539"/>
    <col min="8959" max="8960" width="3.7109375" style="539" customWidth="1"/>
    <col min="8961" max="8961" width="18.85546875" style="539" customWidth="1"/>
    <col min="8962" max="8962" width="19.7109375" style="539" customWidth="1"/>
    <col min="8963" max="8963" width="13.5703125" style="539" customWidth="1"/>
    <col min="8964" max="8966" width="11.7109375" style="539" customWidth="1"/>
    <col min="8967" max="8967" width="12.7109375" style="539" customWidth="1"/>
    <col min="8968" max="8977" width="11.7109375" style="539" customWidth="1"/>
    <col min="8978" max="9205" width="8" style="539" customWidth="1"/>
    <col min="9206" max="9206" width="2.42578125" style="539" bestFit="1" customWidth="1"/>
    <col min="9207" max="9207" width="28.28515625" style="539" bestFit="1" customWidth="1"/>
    <col min="9208" max="9208" width="14.28515625" style="539" bestFit="1" customWidth="1"/>
    <col min="9209" max="9209" width="13.5703125" style="539" bestFit="1" customWidth="1"/>
    <col min="9210" max="9210" width="10.7109375" style="539" bestFit="1" customWidth="1"/>
    <col min="9211" max="9211" width="9.42578125" style="539" bestFit="1" customWidth="1"/>
    <col min="9212" max="9212" width="9.85546875" style="539" bestFit="1" customWidth="1"/>
    <col min="9213" max="9213" width="11.28515625" style="539" bestFit="1" customWidth="1"/>
    <col min="9214" max="9214" width="9.140625" style="539"/>
    <col min="9215" max="9216" width="3.7109375" style="539" customWidth="1"/>
    <col min="9217" max="9217" width="18.85546875" style="539" customWidth="1"/>
    <col min="9218" max="9218" width="19.7109375" style="539" customWidth="1"/>
    <col min="9219" max="9219" width="13.5703125" style="539" customWidth="1"/>
    <col min="9220" max="9222" width="11.7109375" style="539" customWidth="1"/>
    <col min="9223" max="9223" width="12.7109375" style="539" customWidth="1"/>
    <col min="9224" max="9233" width="11.7109375" style="539" customWidth="1"/>
    <col min="9234" max="9461" width="8" style="539" customWidth="1"/>
    <col min="9462" max="9462" width="2.42578125" style="539" bestFit="1" customWidth="1"/>
    <col min="9463" max="9463" width="28.28515625" style="539" bestFit="1" customWidth="1"/>
    <col min="9464" max="9464" width="14.28515625" style="539" bestFit="1" customWidth="1"/>
    <col min="9465" max="9465" width="13.5703125" style="539" bestFit="1" customWidth="1"/>
    <col min="9466" max="9466" width="10.7109375" style="539" bestFit="1" customWidth="1"/>
    <col min="9467" max="9467" width="9.42578125" style="539" bestFit="1" customWidth="1"/>
    <col min="9468" max="9468" width="9.85546875" style="539" bestFit="1" customWidth="1"/>
    <col min="9469" max="9469" width="11.28515625" style="539" bestFit="1" customWidth="1"/>
    <col min="9470" max="9470" width="9.140625" style="539"/>
    <col min="9471" max="9472" width="3.7109375" style="539" customWidth="1"/>
    <col min="9473" max="9473" width="18.85546875" style="539" customWidth="1"/>
    <col min="9474" max="9474" width="19.7109375" style="539" customWidth="1"/>
    <col min="9475" max="9475" width="13.5703125" style="539" customWidth="1"/>
    <col min="9476" max="9478" width="11.7109375" style="539" customWidth="1"/>
    <col min="9479" max="9479" width="12.7109375" style="539" customWidth="1"/>
    <col min="9480" max="9489" width="11.7109375" style="539" customWidth="1"/>
    <col min="9490" max="9717" width="8" style="539" customWidth="1"/>
    <col min="9718" max="9718" width="2.42578125" style="539" bestFit="1" customWidth="1"/>
    <col min="9719" max="9719" width="28.28515625" style="539" bestFit="1" customWidth="1"/>
    <col min="9720" max="9720" width="14.28515625" style="539" bestFit="1" customWidth="1"/>
    <col min="9721" max="9721" width="13.5703125" style="539" bestFit="1" customWidth="1"/>
    <col min="9722" max="9722" width="10.7109375" style="539" bestFit="1" customWidth="1"/>
    <col min="9723" max="9723" width="9.42578125" style="539" bestFit="1" customWidth="1"/>
    <col min="9724" max="9724" width="9.85546875" style="539" bestFit="1" customWidth="1"/>
    <col min="9725" max="9725" width="11.28515625" style="539" bestFit="1" customWidth="1"/>
    <col min="9726" max="9726" width="9.140625" style="539"/>
    <col min="9727" max="9728" width="3.7109375" style="539" customWidth="1"/>
    <col min="9729" max="9729" width="18.85546875" style="539" customWidth="1"/>
    <col min="9730" max="9730" width="19.7109375" style="539" customWidth="1"/>
    <col min="9731" max="9731" width="13.5703125" style="539" customWidth="1"/>
    <col min="9732" max="9734" width="11.7109375" style="539" customWidth="1"/>
    <col min="9735" max="9735" width="12.7109375" style="539" customWidth="1"/>
    <col min="9736" max="9745" width="11.7109375" style="539" customWidth="1"/>
    <col min="9746" max="9973" width="8" style="539" customWidth="1"/>
    <col min="9974" max="9974" width="2.42578125" style="539" bestFit="1" customWidth="1"/>
    <col min="9975" max="9975" width="28.28515625" style="539" bestFit="1" customWidth="1"/>
    <col min="9976" max="9976" width="14.28515625" style="539" bestFit="1" customWidth="1"/>
    <col min="9977" max="9977" width="13.5703125" style="539" bestFit="1" customWidth="1"/>
    <col min="9978" max="9978" width="10.7109375" style="539" bestFit="1" customWidth="1"/>
    <col min="9979" max="9979" width="9.42578125" style="539" bestFit="1" customWidth="1"/>
    <col min="9980" max="9980" width="9.85546875" style="539" bestFit="1" customWidth="1"/>
    <col min="9981" max="9981" width="11.28515625" style="539" bestFit="1" customWidth="1"/>
    <col min="9982" max="9982" width="9.140625" style="539"/>
    <col min="9983" max="9984" width="3.7109375" style="539" customWidth="1"/>
    <col min="9985" max="9985" width="18.85546875" style="539" customWidth="1"/>
    <col min="9986" max="9986" width="19.7109375" style="539" customWidth="1"/>
    <col min="9987" max="9987" width="13.5703125" style="539" customWidth="1"/>
    <col min="9988" max="9990" width="11.7109375" style="539" customWidth="1"/>
    <col min="9991" max="9991" width="12.7109375" style="539" customWidth="1"/>
    <col min="9992" max="10001" width="11.7109375" style="539" customWidth="1"/>
    <col min="10002" max="10229" width="8" style="539" customWidth="1"/>
    <col min="10230" max="10230" width="2.42578125" style="539" bestFit="1" customWidth="1"/>
    <col min="10231" max="10231" width="28.28515625" style="539" bestFit="1" customWidth="1"/>
    <col min="10232" max="10232" width="14.28515625" style="539" bestFit="1" customWidth="1"/>
    <col min="10233" max="10233" width="13.5703125" style="539" bestFit="1" customWidth="1"/>
    <col min="10234" max="10234" width="10.7109375" style="539" bestFit="1" customWidth="1"/>
    <col min="10235" max="10235" width="9.42578125" style="539" bestFit="1" customWidth="1"/>
    <col min="10236" max="10236" width="9.85546875" style="539" bestFit="1" customWidth="1"/>
    <col min="10237" max="10237" width="11.28515625" style="539" bestFit="1" customWidth="1"/>
    <col min="10238" max="10238" width="9.140625" style="539"/>
    <col min="10239" max="10240" width="3.7109375" style="539" customWidth="1"/>
    <col min="10241" max="10241" width="18.85546875" style="539" customWidth="1"/>
    <col min="10242" max="10242" width="19.7109375" style="539" customWidth="1"/>
    <col min="10243" max="10243" width="13.5703125" style="539" customWidth="1"/>
    <col min="10244" max="10246" width="11.7109375" style="539" customWidth="1"/>
    <col min="10247" max="10247" width="12.7109375" style="539" customWidth="1"/>
    <col min="10248" max="10257" width="11.7109375" style="539" customWidth="1"/>
    <col min="10258" max="10485" width="8" style="539" customWidth="1"/>
    <col min="10486" max="10486" width="2.42578125" style="539" bestFit="1" customWidth="1"/>
    <col min="10487" max="10487" width="28.28515625" style="539" bestFit="1" customWidth="1"/>
    <col min="10488" max="10488" width="14.28515625" style="539" bestFit="1" customWidth="1"/>
    <col min="10489" max="10489" width="13.5703125" style="539" bestFit="1" customWidth="1"/>
    <col min="10490" max="10490" width="10.7109375" style="539" bestFit="1" customWidth="1"/>
    <col min="10491" max="10491" width="9.42578125" style="539" bestFit="1" customWidth="1"/>
    <col min="10492" max="10492" width="9.85546875" style="539" bestFit="1" customWidth="1"/>
    <col min="10493" max="10493" width="11.28515625" style="539" bestFit="1" customWidth="1"/>
    <col min="10494" max="10494" width="9.140625" style="539"/>
    <col min="10495" max="10496" width="3.7109375" style="539" customWidth="1"/>
    <col min="10497" max="10497" width="18.85546875" style="539" customWidth="1"/>
    <col min="10498" max="10498" width="19.7109375" style="539" customWidth="1"/>
    <col min="10499" max="10499" width="13.5703125" style="539" customWidth="1"/>
    <col min="10500" max="10502" width="11.7109375" style="539" customWidth="1"/>
    <col min="10503" max="10503" width="12.7109375" style="539" customWidth="1"/>
    <col min="10504" max="10513" width="11.7109375" style="539" customWidth="1"/>
    <col min="10514" max="10741" width="8" style="539" customWidth="1"/>
    <col min="10742" max="10742" width="2.42578125" style="539" bestFit="1" customWidth="1"/>
    <col min="10743" max="10743" width="28.28515625" style="539" bestFit="1" customWidth="1"/>
    <col min="10744" max="10744" width="14.28515625" style="539" bestFit="1" customWidth="1"/>
    <col min="10745" max="10745" width="13.5703125" style="539" bestFit="1" customWidth="1"/>
    <col min="10746" max="10746" width="10.7109375" style="539" bestFit="1" customWidth="1"/>
    <col min="10747" max="10747" width="9.42578125" style="539" bestFit="1" customWidth="1"/>
    <col min="10748" max="10748" width="9.85546875" style="539" bestFit="1" customWidth="1"/>
    <col min="10749" max="10749" width="11.28515625" style="539" bestFit="1" customWidth="1"/>
    <col min="10750" max="10750" width="9.140625" style="539"/>
    <col min="10751" max="10752" width="3.7109375" style="539" customWidth="1"/>
    <col min="10753" max="10753" width="18.85546875" style="539" customWidth="1"/>
    <col min="10754" max="10754" width="19.7109375" style="539" customWidth="1"/>
    <col min="10755" max="10755" width="13.5703125" style="539" customWidth="1"/>
    <col min="10756" max="10758" width="11.7109375" style="539" customWidth="1"/>
    <col min="10759" max="10759" width="12.7109375" style="539" customWidth="1"/>
    <col min="10760" max="10769" width="11.7109375" style="539" customWidth="1"/>
    <col min="10770" max="10997" width="8" style="539" customWidth="1"/>
    <col min="10998" max="10998" width="2.42578125" style="539" bestFit="1" customWidth="1"/>
    <col min="10999" max="10999" width="28.28515625" style="539" bestFit="1" customWidth="1"/>
    <col min="11000" max="11000" width="14.28515625" style="539" bestFit="1" customWidth="1"/>
    <col min="11001" max="11001" width="13.5703125" style="539" bestFit="1" customWidth="1"/>
    <col min="11002" max="11002" width="10.7109375" style="539" bestFit="1" customWidth="1"/>
    <col min="11003" max="11003" width="9.42578125" style="539" bestFit="1" customWidth="1"/>
    <col min="11004" max="11004" width="9.85546875" style="539" bestFit="1" customWidth="1"/>
    <col min="11005" max="11005" width="11.28515625" style="539" bestFit="1" customWidth="1"/>
    <col min="11006" max="11006" width="9.140625" style="539"/>
    <col min="11007" max="11008" width="3.7109375" style="539" customWidth="1"/>
    <col min="11009" max="11009" width="18.85546875" style="539" customWidth="1"/>
    <col min="11010" max="11010" width="19.7109375" style="539" customWidth="1"/>
    <col min="11011" max="11011" width="13.5703125" style="539" customWidth="1"/>
    <col min="11012" max="11014" width="11.7109375" style="539" customWidth="1"/>
    <col min="11015" max="11015" width="12.7109375" style="539" customWidth="1"/>
    <col min="11016" max="11025" width="11.7109375" style="539" customWidth="1"/>
    <col min="11026" max="11253" width="8" style="539" customWidth="1"/>
    <col min="11254" max="11254" width="2.42578125" style="539" bestFit="1" customWidth="1"/>
    <col min="11255" max="11255" width="28.28515625" style="539" bestFit="1" customWidth="1"/>
    <col min="11256" max="11256" width="14.28515625" style="539" bestFit="1" customWidth="1"/>
    <col min="11257" max="11257" width="13.5703125" style="539" bestFit="1" customWidth="1"/>
    <col min="11258" max="11258" width="10.7109375" style="539" bestFit="1" customWidth="1"/>
    <col min="11259" max="11259" width="9.42578125" style="539" bestFit="1" customWidth="1"/>
    <col min="11260" max="11260" width="9.85546875" style="539" bestFit="1" customWidth="1"/>
    <col min="11261" max="11261" width="11.28515625" style="539" bestFit="1" customWidth="1"/>
    <col min="11262" max="11262" width="9.140625" style="539"/>
    <col min="11263" max="11264" width="3.7109375" style="539" customWidth="1"/>
    <col min="11265" max="11265" width="18.85546875" style="539" customWidth="1"/>
    <col min="11266" max="11266" width="19.7109375" style="539" customWidth="1"/>
    <col min="11267" max="11267" width="13.5703125" style="539" customWidth="1"/>
    <col min="11268" max="11270" width="11.7109375" style="539" customWidth="1"/>
    <col min="11271" max="11271" width="12.7109375" style="539" customWidth="1"/>
    <col min="11272" max="11281" width="11.7109375" style="539" customWidth="1"/>
    <col min="11282" max="11509" width="8" style="539" customWidth="1"/>
    <col min="11510" max="11510" width="2.42578125" style="539" bestFit="1" customWidth="1"/>
    <col min="11511" max="11511" width="28.28515625" style="539" bestFit="1" customWidth="1"/>
    <col min="11512" max="11512" width="14.28515625" style="539" bestFit="1" customWidth="1"/>
    <col min="11513" max="11513" width="13.5703125" style="539" bestFit="1" customWidth="1"/>
    <col min="11514" max="11514" width="10.7109375" style="539" bestFit="1" customWidth="1"/>
    <col min="11515" max="11515" width="9.42578125" style="539" bestFit="1" customWidth="1"/>
    <col min="11516" max="11516" width="9.85546875" style="539" bestFit="1" customWidth="1"/>
    <col min="11517" max="11517" width="11.28515625" style="539" bestFit="1" customWidth="1"/>
    <col min="11518" max="11518" width="9.140625" style="539"/>
    <col min="11519" max="11520" width="3.7109375" style="539" customWidth="1"/>
    <col min="11521" max="11521" width="18.85546875" style="539" customWidth="1"/>
    <col min="11522" max="11522" width="19.7109375" style="539" customWidth="1"/>
    <col min="11523" max="11523" width="13.5703125" style="539" customWidth="1"/>
    <col min="11524" max="11526" width="11.7109375" style="539" customWidth="1"/>
    <col min="11527" max="11527" width="12.7109375" style="539" customWidth="1"/>
    <col min="11528" max="11537" width="11.7109375" style="539" customWidth="1"/>
    <col min="11538" max="11765" width="8" style="539" customWidth="1"/>
    <col min="11766" max="11766" width="2.42578125" style="539" bestFit="1" customWidth="1"/>
    <col min="11767" max="11767" width="28.28515625" style="539" bestFit="1" customWidth="1"/>
    <col min="11768" max="11768" width="14.28515625" style="539" bestFit="1" customWidth="1"/>
    <col min="11769" max="11769" width="13.5703125" style="539" bestFit="1" customWidth="1"/>
    <col min="11770" max="11770" width="10.7109375" style="539" bestFit="1" customWidth="1"/>
    <col min="11771" max="11771" width="9.42578125" style="539" bestFit="1" customWidth="1"/>
    <col min="11772" max="11772" width="9.85546875" style="539" bestFit="1" customWidth="1"/>
    <col min="11773" max="11773" width="11.28515625" style="539" bestFit="1" customWidth="1"/>
    <col min="11774" max="11774" width="9.140625" style="539"/>
    <col min="11775" max="11776" width="3.7109375" style="539" customWidth="1"/>
    <col min="11777" max="11777" width="18.85546875" style="539" customWidth="1"/>
    <col min="11778" max="11778" width="19.7109375" style="539" customWidth="1"/>
    <col min="11779" max="11779" width="13.5703125" style="539" customWidth="1"/>
    <col min="11780" max="11782" width="11.7109375" style="539" customWidth="1"/>
    <col min="11783" max="11783" width="12.7109375" style="539" customWidth="1"/>
    <col min="11784" max="11793" width="11.7109375" style="539" customWidth="1"/>
    <col min="11794" max="12021" width="8" style="539" customWidth="1"/>
    <col min="12022" max="12022" width="2.42578125" style="539" bestFit="1" customWidth="1"/>
    <col min="12023" max="12023" width="28.28515625" style="539" bestFit="1" customWidth="1"/>
    <col min="12024" max="12024" width="14.28515625" style="539" bestFit="1" customWidth="1"/>
    <col min="12025" max="12025" width="13.5703125" style="539" bestFit="1" customWidth="1"/>
    <col min="12026" max="12026" width="10.7109375" style="539" bestFit="1" customWidth="1"/>
    <col min="12027" max="12027" width="9.42578125" style="539" bestFit="1" customWidth="1"/>
    <col min="12028" max="12028" width="9.85546875" style="539" bestFit="1" customWidth="1"/>
    <col min="12029" max="12029" width="11.28515625" style="539" bestFit="1" customWidth="1"/>
    <col min="12030" max="12030" width="9.140625" style="539"/>
    <col min="12031" max="12032" width="3.7109375" style="539" customWidth="1"/>
    <col min="12033" max="12033" width="18.85546875" style="539" customWidth="1"/>
    <col min="12034" max="12034" width="19.7109375" style="539" customWidth="1"/>
    <col min="12035" max="12035" width="13.5703125" style="539" customWidth="1"/>
    <col min="12036" max="12038" width="11.7109375" style="539" customWidth="1"/>
    <col min="12039" max="12039" width="12.7109375" style="539" customWidth="1"/>
    <col min="12040" max="12049" width="11.7109375" style="539" customWidth="1"/>
    <col min="12050" max="12277" width="8" style="539" customWidth="1"/>
    <col min="12278" max="12278" width="2.42578125" style="539" bestFit="1" customWidth="1"/>
    <col min="12279" max="12279" width="28.28515625" style="539" bestFit="1" customWidth="1"/>
    <col min="12280" max="12280" width="14.28515625" style="539" bestFit="1" customWidth="1"/>
    <col min="12281" max="12281" width="13.5703125" style="539" bestFit="1" customWidth="1"/>
    <col min="12282" max="12282" width="10.7109375" style="539" bestFit="1" customWidth="1"/>
    <col min="12283" max="12283" width="9.42578125" style="539" bestFit="1" customWidth="1"/>
    <col min="12284" max="12284" width="9.85546875" style="539" bestFit="1" customWidth="1"/>
    <col min="12285" max="12285" width="11.28515625" style="539" bestFit="1" customWidth="1"/>
    <col min="12286" max="12286" width="9.140625" style="539"/>
    <col min="12287" max="12288" width="3.7109375" style="539" customWidth="1"/>
    <col min="12289" max="12289" width="18.85546875" style="539" customWidth="1"/>
    <col min="12290" max="12290" width="19.7109375" style="539" customWidth="1"/>
    <col min="12291" max="12291" width="13.5703125" style="539" customWidth="1"/>
    <col min="12292" max="12294" width="11.7109375" style="539" customWidth="1"/>
    <col min="12295" max="12295" width="12.7109375" style="539" customWidth="1"/>
    <col min="12296" max="12305" width="11.7109375" style="539" customWidth="1"/>
    <col min="12306" max="12533" width="8" style="539" customWidth="1"/>
    <col min="12534" max="12534" width="2.42578125" style="539" bestFit="1" customWidth="1"/>
    <col min="12535" max="12535" width="28.28515625" style="539" bestFit="1" customWidth="1"/>
    <col min="12536" max="12536" width="14.28515625" style="539" bestFit="1" customWidth="1"/>
    <col min="12537" max="12537" width="13.5703125" style="539" bestFit="1" customWidth="1"/>
    <col min="12538" max="12538" width="10.7109375" style="539" bestFit="1" customWidth="1"/>
    <col min="12539" max="12539" width="9.42578125" style="539" bestFit="1" customWidth="1"/>
    <col min="12540" max="12540" width="9.85546875" style="539" bestFit="1" customWidth="1"/>
    <col min="12541" max="12541" width="11.28515625" style="539" bestFit="1" customWidth="1"/>
    <col min="12542" max="12542" width="9.140625" style="539"/>
    <col min="12543" max="12544" width="3.7109375" style="539" customWidth="1"/>
    <col min="12545" max="12545" width="18.85546875" style="539" customWidth="1"/>
    <col min="12546" max="12546" width="19.7109375" style="539" customWidth="1"/>
    <col min="12547" max="12547" width="13.5703125" style="539" customWidth="1"/>
    <col min="12548" max="12550" width="11.7109375" style="539" customWidth="1"/>
    <col min="12551" max="12551" width="12.7109375" style="539" customWidth="1"/>
    <col min="12552" max="12561" width="11.7109375" style="539" customWidth="1"/>
    <col min="12562" max="12789" width="8" style="539" customWidth="1"/>
    <col min="12790" max="12790" width="2.42578125" style="539" bestFit="1" customWidth="1"/>
    <col min="12791" max="12791" width="28.28515625" style="539" bestFit="1" customWidth="1"/>
    <col min="12792" max="12792" width="14.28515625" style="539" bestFit="1" customWidth="1"/>
    <col min="12793" max="12793" width="13.5703125" style="539" bestFit="1" customWidth="1"/>
    <col min="12794" max="12794" width="10.7109375" style="539" bestFit="1" customWidth="1"/>
    <col min="12795" max="12795" width="9.42578125" style="539" bestFit="1" customWidth="1"/>
    <col min="12796" max="12796" width="9.85546875" style="539" bestFit="1" customWidth="1"/>
    <col min="12797" max="12797" width="11.28515625" style="539" bestFit="1" customWidth="1"/>
    <col min="12798" max="12798" width="9.140625" style="539"/>
    <col min="12799" max="12800" width="3.7109375" style="539" customWidth="1"/>
    <col min="12801" max="12801" width="18.85546875" style="539" customWidth="1"/>
    <col min="12802" max="12802" width="19.7109375" style="539" customWidth="1"/>
    <col min="12803" max="12803" width="13.5703125" style="539" customWidth="1"/>
    <col min="12804" max="12806" width="11.7109375" style="539" customWidth="1"/>
    <col min="12807" max="12807" width="12.7109375" style="539" customWidth="1"/>
    <col min="12808" max="12817" width="11.7109375" style="539" customWidth="1"/>
    <col min="12818" max="13045" width="8" style="539" customWidth="1"/>
    <col min="13046" max="13046" width="2.42578125" style="539" bestFit="1" customWidth="1"/>
    <col min="13047" max="13047" width="28.28515625" style="539" bestFit="1" customWidth="1"/>
    <col min="13048" max="13048" width="14.28515625" style="539" bestFit="1" customWidth="1"/>
    <col min="13049" max="13049" width="13.5703125" style="539" bestFit="1" customWidth="1"/>
    <col min="13050" max="13050" width="10.7109375" style="539" bestFit="1" customWidth="1"/>
    <col min="13051" max="13051" width="9.42578125" style="539" bestFit="1" customWidth="1"/>
    <col min="13052" max="13052" width="9.85546875" style="539" bestFit="1" customWidth="1"/>
    <col min="13053" max="13053" width="11.28515625" style="539" bestFit="1" customWidth="1"/>
    <col min="13054" max="13054" width="9.140625" style="539"/>
    <col min="13055" max="13056" width="3.7109375" style="539" customWidth="1"/>
    <col min="13057" max="13057" width="18.85546875" style="539" customWidth="1"/>
    <col min="13058" max="13058" width="19.7109375" style="539" customWidth="1"/>
    <col min="13059" max="13059" width="13.5703125" style="539" customWidth="1"/>
    <col min="13060" max="13062" width="11.7109375" style="539" customWidth="1"/>
    <col min="13063" max="13063" width="12.7109375" style="539" customWidth="1"/>
    <col min="13064" max="13073" width="11.7109375" style="539" customWidth="1"/>
    <col min="13074" max="13301" width="8" style="539" customWidth="1"/>
    <col min="13302" max="13302" width="2.42578125" style="539" bestFit="1" customWidth="1"/>
    <col min="13303" max="13303" width="28.28515625" style="539" bestFit="1" customWidth="1"/>
    <col min="13304" max="13304" width="14.28515625" style="539" bestFit="1" customWidth="1"/>
    <col min="13305" max="13305" width="13.5703125" style="539" bestFit="1" customWidth="1"/>
    <col min="13306" max="13306" width="10.7109375" style="539" bestFit="1" customWidth="1"/>
    <col min="13307" max="13307" width="9.42578125" style="539" bestFit="1" customWidth="1"/>
    <col min="13308" max="13308" width="9.85546875" style="539" bestFit="1" customWidth="1"/>
    <col min="13309" max="13309" width="11.28515625" style="539" bestFit="1" customWidth="1"/>
    <col min="13310" max="13310" width="9.140625" style="539"/>
    <col min="13311" max="13312" width="3.7109375" style="539" customWidth="1"/>
    <col min="13313" max="13313" width="18.85546875" style="539" customWidth="1"/>
    <col min="13314" max="13314" width="19.7109375" style="539" customWidth="1"/>
    <col min="13315" max="13315" width="13.5703125" style="539" customWidth="1"/>
    <col min="13316" max="13318" width="11.7109375" style="539" customWidth="1"/>
    <col min="13319" max="13319" width="12.7109375" style="539" customWidth="1"/>
    <col min="13320" max="13329" width="11.7109375" style="539" customWidth="1"/>
    <col min="13330" max="13557" width="8" style="539" customWidth="1"/>
    <col min="13558" max="13558" width="2.42578125" style="539" bestFit="1" customWidth="1"/>
    <col min="13559" max="13559" width="28.28515625" style="539" bestFit="1" customWidth="1"/>
    <col min="13560" max="13560" width="14.28515625" style="539" bestFit="1" customWidth="1"/>
    <col min="13561" max="13561" width="13.5703125" style="539" bestFit="1" customWidth="1"/>
    <col min="13562" max="13562" width="10.7109375" style="539" bestFit="1" customWidth="1"/>
    <col min="13563" max="13563" width="9.42578125" style="539" bestFit="1" customWidth="1"/>
    <col min="13564" max="13564" width="9.85546875" style="539" bestFit="1" customWidth="1"/>
    <col min="13565" max="13565" width="11.28515625" style="539" bestFit="1" customWidth="1"/>
    <col min="13566" max="13566" width="9.140625" style="539"/>
    <col min="13567" max="13568" width="3.7109375" style="539" customWidth="1"/>
    <col min="13569" max="13569" width="18.85546875" style="539" customWidth="1"/>
    <col min="13570" max="13570" width="19.7109375" style="539" customWidth="1"/>
    <col min="13571" max="13571" width="13.5703125" style="539" customWidth="1"/>
    <col min="13572" max="13574" width="11.7109375" style="539" customWidth="1"/>
    <col min="13575" max="13575" width="12.7109375" style="539" customWidth="1"/>
    <col min="13576" max="13585" width="11.7109375" style="539" customWidth="1"/>
    <col min="13586" max="13813" width="8" style="539" customWidth="1"/>
    <col min="13814" max="13814" width="2.42578125" style="539" bestFit="1" customWidth="1"/>
    <col min="13815" max="13815" width="28.28515625" style="539" bestFit="1" customWidth="1"/>
    <col min="13816" max="13816" width="14.28515625" style="539" bestFit="1" customWidth="1"/>
    <col min="13817" max="13817" width="13.5703125" style="539" bestFit="1" customWidth="1"/>
    <col min="13818" max="13818" width="10.7109375" style="539" bestFit="1" customWidth="1"/>
    <col min="13819" max="13819" width="9.42578125" style="539" bestFit="1" customWidth="1"/>
    <col min="13820" max="13820" width="9.85546875" style="539" bestFit="1" customWidth="1"/>
    <col min="13821" max="13821" width="11.28515625" style="539" bestFit="1" customWidth="1"/>
    <col min="13822" max="13822" width="9.140625" style="539"/>
    <col min="13823" max="13824" width="3.7109375" style="539" customWidth="1"/>
    <col min="13825" max="13825" width="18.85546875" style="539" customWidth="1"/>
    <col min="13826" max="13826" width="19.7109375" style="539" customWidth="1"/>
    <col min="13827" max="13827" width="13.5703125" style="539" customWidth="1"/>
    <col min="13828" max="13830" width="11.7109375" style="539" customWidth="1"/>
    <col min="13831" max="13831" width="12.7109375" style="539" customWidth="1"/>
    <col min="13832" max="13841" width="11.7109375" style="539" customWidth="1"/>
    <col min="13842" max="14069" width="8" style="539" customWidth="1"/>
    <col min="14070" max="14070" width="2.42578125" style="539" bestFit="1" customWidth="1"/>
    <col min="14071" max="14071" width="28.28515625" style="539" bestFit="1" customWidth="1"/>
    <col min="14072" max="14072" width="14.28515625" style="539" bestFit="1" customWidth="1"/>
    <col min="14073" max="14073" width="13.5703125" style="539" bestFit="1" customWidth="1"/>
    <col min="14074" max="14074" width="10.7109375" style="539" bestFit="1" customWidth="1"/>
    <col min="14075" max="14075" width="9.42578125" style="539" bestFit="1" customWidth="1"/>
    <col min="14076" max="14076" width="9.85546875" style="539" bestFit="1" customWidth="1"/>
    <col min="14077" max="14077" width="11.28515625" style="539" bestFit="1" customWidth="1"/>
    <col min="14078" max="14078" width="9.140625" style="539"/>
    <col min="14079" max="14080" width="3.7109375" style="539" customWidth="1"/>
    <col min="14081" max="14081" width="18.85546875" style="539" customWidth="1"/>
    <col min="14082" max="14082" width="19.7109375" style="539" customWidth="1"/>
    <col min="14083" max="14083" width="13.5703125" style="539" customWidth="1"/>
    <col min="14084" max="14086" width="11.7109375" style="539" customWidth="1"/>
    <col min="14087" max="14087" width="12.7109375" style="539" customWidth="1"/>
    <col min="14088" max="14097" width="11.7109375" style="539" customWidth="1"/>
    <col min="14098" max="14325" width="8" style="539" customWidth="1"/>
    <col min="14326" max="14326" width="2.42578125" style="539" bestFit="1" customWidth="1"/>
    <col min="14327" max="14327" width="28.28515625" style="539" bestFit="1" customWidth="1"/>
    <col min="14328" max="14328" width="14.28515625" style="539" bestFit="1" customWidth="1"/>
    <col min="14329" max="14329" width="13.5703125" style="539" bestFit="1" customWidth="1"/>
    <col min="14330" max="14330" width="10.7109375" style="539" bestFit="1" customWidth="1"/>
    <col min="14331" max="14331" width="9.42578125" style="539" bestFit="1" customWidth="1"/>
    <col min="14332" max="14332" width="9.85546875" style="539" bestFit="1" customWidth="1"/>
    <col min="14333" max="14333" width="11.28515625" style="539" bestFit="1" customWidth="1"/>
    <col min="14334" max="14334" width="9.140625" style="539"/>
    <col min="14335" max="14336" width="3.7109375" style="539" customWidth="1"/>
    <col min="14337" max="14337" width="18.85546875" style="539" customWidth="1"/>
    <col min="14338" max="14338" width="19.7109375" style="539" customWidth="1"/>
    <col min="14339" max="14339" width="13.5703125" style="539" customWidth="1"/>
    <col min="14340" max="14342" width="11.7109375" style="539" customWidth="1"/>
    <col min="14343" max="14343" width="12.7109375" style="539" customWidth="1"/>
    <col min="14344" max="14353" width="11.7109375" style="539" customWidth="1"/>
    <col min="14354" max="14581" width="8" style="539" customWidth="1"/>
    <col min="14582" max="14582" width="2.42578125" style="539" bestFit="1" customWidth="1"/>
    <col min="14583" max="14583" width="28.28515625" style="539" bestFit="1" customWidth="1"/>
    <col min="14584" max="14584" width="14.28515625" style="539" bestFit="1" customWidth="1"/>
    <col min="14585" max="14585" width="13.5703125" style="539" bestFit="1" customWidth="1"/>
    <col min="14586" max="14586" width="10.7109375" style="539" bestFit="1" customWidth="1"/>
    <col min="14587" max="14587" width="9.42578125" style="539" bestFit="1" customWidth="1"/>
    <col min="14588" max="14588" width="9.85546875" style="539" bestFit="1" customWidth="1"/>
    <col min="14589" max="14589" width="11.28515625" style="539" bestFit="1" customWidth="1"/>
    <col min="14590" max="14590" width="9.140625" style="539"/>
    <col min="14591" max="14592" width="3.7109375" style="539" customWidth="1"/>
    <col min="14593" max="14593" width="18.85546875" style="539" customWidth="1"/>
    <col min="14594" max="14594" width="19.7109375" style="539" customWidth="1"/>
    <col min="14595" max="14595" width="13.5703125" style="539" customWidth="1"/>
    <col min="14596" max="14598" width="11.7109375" style="539" customWidth="1"/>
    <col min="14599" max="14599" width="12.7109375" style="539" customWidth="1"/>
    <col min="14600" max="14609" width="11.7109375" style="539" customWidth="1"/>
    <col min="14610" max="14837" width="8" style="539" customWidth="1"/>
    <col min="14838" max="14838" width="2.42578125" style="539" bestFit="1" customWidth="1"/>
    <col min="14839" max="14839" width="28.28515625" style="539" bestFit="1" customWidth="1"/>
    <col min="14840" max="14840" width="14.28515625" style="539" bestFit="1" customWidth="1"/>
    <col min="14841" max="14841" width="13.5703125" style="539" bestFit="1" customWidth="1"/>
    <col min="14842" max="14842" width="10.7109375" style="539" bestFit="1" customWidth="1"/>
    <col min="14843" max="14843" width="9.42578125" style="539" bestFit="1" customWidth="1"/>
    <col min="14844" max="14844" width="9.85546875" style="539" bestFit="1" customWidth="1"/>
    <col min="14845" max="14845" width="11.28515625" style="539" bestFit="1" customWidth="1"/>
    <col min="14846" max="14846" width="9.140625" style="539"/>
    <col min="14847" max="14848" width="3.7109375" style="539" customWidth="1"/>
    <col min="14849" max="14849" width="18.85546875" style="539" customWidth="1"/>
    <col min="14850" max="14850" width="19.7109375" style="539" customWidth="1"/>
    <col min="14851" max="14851" width="13.5703125" style="539" customWidth="1"/>
    <col min="14852" max="14854" width="11.7109375" style="539" customWidth="1"/>
    <col min="14855" max="14855" width="12.7109375" style="539" customWidth="1"/>
    <col min="14856" max="14865" width="11.7109375" style="539" customWidth="1"/>
    <col min="14866" max="15093" width="8" style="539" customWidth="1"/>
    <col min="15094" max="15094" width="2.42578125" style="539" bestFit="1" customWidth="1"/>
    <col min="15095" max="15095" width="28.28515625" style="539" bestFit="1" customWidth="1"/>
    <col min="15096" max="15096" width="14.28515625" style="539" bestFit="1" customWidth="1"/>
    <col min="15097" max="15097" width="13.5703125" style="539" bestFit="1" customWidth="1"/>
    <col min="15098" max="15098" width="10.7109375" style="539" bestFit="1" customWidth="1"/>
    <col min="15099" max="15099" width="9.42578125" style="539" bestFit="1" customWidth="1"/>
    <col min="15100" max="15100" width="9.85546875" style="539" bestFit="1" customWidth="1"/>
    <col min="15101" max="15101" width="11.28515625" style="539" bestFit="1" customWidth="1"/>
    <col min="15102" max="15102" width="9.140625" style="539"/>
    <col min="15103" max="15104" width="3.7109375" style="539" customWidth="1"/>
    <col min="15105" max="15105" width="18.85546875" style="539" customWidth="1"/>
    <col min="15106" max="15106" width="19.7109375" style="539" customWidth="1"/>
    <col min="15107" max="15107" width="13.5703125" style="539" customWidth="1"/>
    <col min="15108" max="15110" width="11.7109375" style="539" customWidth="1"/>
    <col min="15111" max="15111" width="12.7109375" style="539" customWidth="1"/>
    <col min="15112" max="15121" width="11.7109375" style="539" customWidth="1"/>
    <col min="15122" max="15349" width="8" style="539" customWidth="1"/>
    <col min="15350" max="15350" width="2.42578125" style="539" bestFit="1" customWidth="1"/>
    <col min="15351" max="15351" width="28.28515625" style="539" bestFit="1" customWidth="1"/>
    <col min="15352" max="15352" width="14.28515625" style="539" bestFit="1" customWidth="1"/>
    <col min="15353" max="15353" width="13.5703125" style="539" bestFit="1" customWidth="1"/>
    <col min="15354" max="15354" width="10.7109375" style="539" bestFit="1" customWidth="1"/>
    <col min="15355" max="15355" width="9.42578125" style="539" bestFit="1" customWidth="1"/>
    <col min="15356" max="15356" width="9.85546875" style="539" bestFit="1" customWidth="1"/>
    <col min="15357" max="15357" width="11.28515625" style="539" bestFit="1" customWidth="1"/>
    <col min="15358" max="15358" width="9.140625" style="539"/>
    <col min="15359" max="15360" width="3.7109375" style="539" customWidth="1"/>
    <col min="15361" max="15361" width="18.85546875" style="539" customWidth="1"/>
    <col min="15362" max="15362" width="19.7109375" style="539" customWidth="1"/>
    <col min="15363" max="15363" width="13.5703125" style="539" customWidth="1"/>
    <col min="15364" max="15366" width="11.7109375" style="539" customWidth="1"/>
    <col min="15367" max="15367" width="12.7109375" style="539" customWidth="1"/>
    <col min="15368" max="15377" width="11.7109375" style="539" customWidth="1"/>
    <col min="15378" max="15605" width="8" style="539" customWidth="1"/>
    <col min="15606" max="15606" width="2.42578125" style="539" bestFit="1" customWidth="1"/>
    <col min="15607" max="15607" width="28.28515625" style="539" bestFit="1" customWidth="1"/>
    <col min="15608" max="15608" width="14.28515625" style="539" bestFit="1" customWidth="1"/>
    <col min="15609" max="15609" width="13.5703125" style="539" bestFit="1" customWidth="1"/>
    <col min="15610" max="15610" width="10.7109375" style="539" bestFit="1" customWidth="1"/>
    <col min="15611" max="15611" width="9.42578125" style="539" bestFit="1" customWidth="1"/>
    <col min="15612" max="15612" width="9.85546875" style="539" bestFit="1" customWidth="1"/>
    <col min="15613" max="15613" width="11.28515625" style="539" bestFit="1" customWidth="1"/>
    <col min="15614" max="15614" width="9.140625" style="539"/>
    <col min="15615" max="15616" width="3.7109375" style="539" customWidth="1"/>
    <col min="15617" max="15617" width="18.85546875" style="539" customWidth="1"/>
    <col min="15618" max="15618" width="19.7109375" style="539" customWidth="1"/>
    <col min="15619" max="15619" width="13.5703125" style="539" customWidth="1"/>
    <col min="15620" max="15622" width="11.7109375" style="539" customWidth="1"/>
    <col min="15623" max="15623" width="12.7109375" style="539" customWidth="1"/>
    <col min="15624" max="15633" width="11.7109375" style="539" customWidth="1"/>
    <col min="15634" max="15861" width="8" style="539" customWidth="1"/>
    <col min="15862" max="15862" width="2.42578125" style="539" bestFit="1" customWidth="1"/>
    <col min="15863" max="15863" width="28.28515625" style="539" bestFit="1" customWidth="1"/>
    <col min="15864" max="15864" width="14.28515625" style="539" bestFit="1" customWidth="1"/>
    <col min="15865" max="15865" width="13.5703125" style="539" bestFit="1" customWidth="1"/>
    <col min="15866" max="15866" width="10.7109375" style="539" bestFit="1" customWidth="1"/>
    <col min="15867" max="15867" width="9.42578125" style="539" bestFit="1" customWidth="1"/>
    <col min="15868" max="15868" width="9.85546875" style="539" bestFit="1" customWidth="1"/>
    <col min="15869" max="15869" width="11.28515625" style="539" bestFit="1" customWidth="1"/>
    <col min="15870" max="15870" width="9.140625" style="539"/>
    <col min="15871" max="15872" width="3.7109375" style="539" customWidth="1"/>
    <col min="15873" max="15873" width="18.85546875" style="539" customWidth="1"/>
    <col min="15874" max="15874" width="19.7109375" style="539" customWidth="1"/>
    <col min="15875" max="15875" width="13.5703125" style="539" customWidth="1"/>
    <col min="15876" max="15878" width="11.7109375" style="539" customWidth="1"/>
    <col min="15879" max="15879" width="12.7109375" style="539" customWidth="1"/>
    <col min="15880" max="15889" width="11.7109375" style="539" customWidth="1"/>
    <col min="15890" max="16117" width="8" style="539" customWidth="1"/>
    <col min="16118" max="16118" width="2.42578125" style="539" bestFit="1" customWidth="1"/>
    <col min="16119" max="16119" width="28.28515625" style="539" bestFit="1" customWidth="1"/>
    <col min="16120" max="16120" width="14.28515625" style="539" bestFit="1" customWidth="1"/>
    <col min="16121" max="16121" width="13.5703125" style="539" bestFit="1" customWidth="1"/>
    <col min="16122" max="16122" width="10.7109375" style="539" bestFit="1" customWidth="1"/>
    <col min="16123" max="16123" width="9.42578125" style="539" bestFit="1" customWidth="1"/>
    <col min="16124" max="16124" width="9.85546875" style="539" bestFit="1" customWidth="1"/>
    <col min="16125" max="16125" width="11.28515625" style="539" bestFit="1" customWidth="1"/>
    <col min="16126" max="16126" width="9.140625" style="539"/>
    <col min="16127" max="16128" width="3.7109375" style="539" customWidth="1"/>
    <col min="16129" max="16129" width="18.85546875" style="539" customWidth="1"/>
    <col min="16130" max="16130" width="19.7109375" style="539" customWidth="1"/>
    <col min="16131" max="16131" width="13.5703125" style="539" customWidth="1"/>
    <col min="16132" max="16134" width="11.7109375" style="539" customWidth="1"/>
    <col min="16135" max="16135" width="12.7109375" style="539" customWidth="1"/>
    <col min="16136" max="16145" width="11.7109375" style="539" customWidth="1"/>
    <col min="16146" max="16373" width="8" style="539" customWidth="1"/>
    <col min="16374" max="16374" width="2.42578125" style="539" bestFit="1" customWidth="1"/>
    <col min="16375" max="16375" width="28.28515625" style="539" bestFit="1" customWidth="1"/>
    <col min="16376" max="16376" width="14.28515625" style="539" bestFit="1" customWidth="1"/>
    <col min="16377" max="16377" width="13.5703125" style="539" bestFit="1" customWidth="1"/>
    <col min="16378" max="16378" width="10.7109375" style="539" bestFit="1" customWidth="1"/>
    <col min="16379" max="16379" width="9.42578125" style="539" bestFit="1" customWidth="1"/>
    <col min="16380" max="16380" width="9.85546875" style="539" bestFit="1" customWidth="1"/>
    <col min="16381" max="16384" width="9.85546875" style="539" customWidth="1"/>
  </cols>
  <sheetData>
    <row r="1" spans="1:23" ht="22.5" x14ac:dyDescent="0.4">
      <c r="B1" s="24" t="s">
        <v>773</v>
      </c>
      <c r="C1" s="24"/>
      <c r="D1" s="24"/>
      <c r="E1" s="24"/>
      <c r="F1" s="24"/>
      <c r="G1" s="1297"/>
      <c r="H1" s="1297"/>
      <c r="I1" s="1297"/>
      <c r="J1" s="1297"/>
      <c r="K1" s="1297"/>
      <c r="L1" s="1297"/>
      <c r="M1" s="1297"/>
      <c r="N1" s="1297"/>
      <c r="O1" s="1297"/>
      <c r="P1" s="1297"/>
      <c r="Q1" s="1297"/>
    </row>
    <row r="2" spans="1:23" ht="22.5" x14ac:dyDescent="0.4">
      <c r="B2" s="44"/>
      <c r="C2" s="44"/>
      <c r="D2" s="44"/>
      <c r="E2" s="44"/>
      <c r="F2" s="44"/>
      <c r="G2" s="656"/>
      <c r="H2" s="656"/>
      <c r="I2" s="656"/>
      <c r="J2" s="656"/>
      <c r="K2" s="656"/>
      <c r="L2" s="656"/>
      <c r="M2" s="656"/>
      <c r="N2" s="656"/>
      <c r="O2" s="656"/>
      <c r="P2" s="656"/>
      <c r="Q2" s="656"/>
    </row>
    <row r="3" spans="1:23" s="540" customFormat="1" ht="17.25" x14ac:dyDescent="0.2">
      <c r="A3" s="538"/>
      <c r="B3" s="1513" t="s">
        <v>90</v>
      </c>
      <c r="C3" s="1513">
        <v>0</v>
      </c>
      <c r="D3" s="1513">
        <v>0</v>
      </c>
      <c r="E3" s="1513">
        <v>0</v>
      </c>
      <c r="F3" s="1513">
        <v>0</v>
      </c>
      <c r="G3" s="1513">
        <v>0</v>
      </c>
      <c r="H3" s="1513">
        <v>0</v>
      </c>
      <c r="I3" s="1513"/>
      <c r="J3" s="1513"/>
      <c r="K3" s="1513"/>
      <c r="L3" s="1513">
        <v>0</v>
      </c>
      <c r="M3" s="1513">
        <v>0</v>
      </c>
      <c r="N3" s="1513">
        <v>0</v>
      </c>
      <c r="O3" s="1513">
        <v>0</v>
      </c>
      <c r="P3" s="1513">
        <v>0</v>
      </c>
      <c r="Q3" s="1513">
        <v>0</v>
      </c>
      <c r="R3" s="1513">
        <v>0</v>
      </c>
      <c r="S3" s="1513">
        <v>0</v>
      </c>
      <c r="T3" s="1513">
        <v>0</v>
      </c>
      <c r="U3" s="1513">
        <v>0</v>
      </c>
      <c r="V3" s="1513">
        <v>0</v>
      </c>
    </row>
    <row r="4" spans="1:23" s="540" customFormat="1" ht="17.25" x14ac:dyDescent="0.2">
      <c r="A4" s="538"/>
      <c r="B4" s="1513" t="s">
        <v>14</v>
      </c>
      <c r="C4" s="1513">
        <v>0</v>
      </c>
      <c r="D4" s="1513">
        <v>0</v>
      </c>
      <c r="E4" s="1513">
        <v>0</v>
      </c>
      <c r="F4" s="1513">
        <v>0</v>
      </c>
      <c r="G4" s="1513">
        <v>0</v>
      </c>
      <c r="H4" s="1513">
        <v>0</v>
      </c>
      <c r="I4" s="1513"/>
      <c r="J4" s="1513"/>
      <c r="K4" s="1513"/>
      <c r="L4" s="1513">
        <v>0</v>
      </c>
      <c r="M4" s="1513">
        <v>0</v>
      </c>
      <c r="N4" s="1513">
        <v>0</v>
      </c>
      <c r="O4" s="1513">
        <v>0</v>
      </c>
      <c r="P4" s="1513">
        <v>0</v>
      </c>
      <c r="Q4" s="1513">
        <v>0</v>
      </c>
      <c r="R4" s="1513">
        <v>0</v>
      </c>
      <c r="S4" s="1513">
        <v>0</v>
      </c>
      <c r="T4" s="1513">
        <v>0</v>
      </c>
      <c r="U4" s="1513">
        <v>0</v>
      </c>
      <c r="V4" s="1513">
        <v>0</v>
      </c>
    </row>
    <row r="5" spans="1:23" s="540" customFormat="1" ht="17.25" x14ac:dyDescent="0.2">
      <c r="A5" s="538"/>
      <c r="B5" s="1513" t="s">
        <v>411</v>
      </c>
      <c r="C5" s="1513">
        <v>0</v>
      </c>
      <c r="D5" s="1513">
        <v>0</v>
      </c>
      <c r="E5" s="1513">
        <v>0</v>
      </c>
      <c r="F5" s="1513">
        <v>0</v>
      </c>
      <c r="G5" s="1513">
        <v>0</v>
      </c>
      <c r="H5" s="1513">
        <v>0</v>
      </c>
      <c r="I5" s="1513"/>
      <c r="J5" s="1513"/>
      <c r="K5" s="1513"/>
      <c r="L5" s="1513">
        <v>0</v>
      </c>
      <c r="M5" s="1513">
        <v>0</v>
      </c>
      <c r="N5" s="1513">
        <v>0</v>
      </c>
      <c r="O5" s="1513">
        <v>0</v>
      </c>
      <c r="P5" s="1513">
        <v>0</v>
      </c>
      <c r="Q5" s="1513">
        <v>0</v>
      </c>
      <c r="R5" s="1513">
        <v>0</v>
      </c>
      <c r="S5" s="1513">
        <v>0</v>
      </c>
      <c r="T5" s="1513">
        <v>0</v>
      </c>
      <c r="U5" s="1513">
        <v>0</v>
      </c>
      <c r="V5" s="1513">
        <v>0</v>
      </c>
    </row>
    <row r="6" spans="1:23" ht="17.25" x14ac:dyDescent="0.35">
      <c r="B6" s="541"/>
      <c r="C6" s="541"/>
      <c r="D6" s="541"/>
      <c r="E6" s="541"/>
      <c r="F6" s="541"/>
      <c r="G6" s="541"/>
      <c r="H6" s="541"/>
      <c r="I6" s="541"/>
      <c r="J6" s="541"/>
      <c r="K6" s="541"/>
      <c r="L6" s="541"/>
      <c r="M6" s="541"/>
      <c r="N6" s="541"/>
      <c r="O6" s="541"/>
      <c r="P6" s="541"/>
      <c r="Q6" s="1512"/>
      <c r="R6" s="1512"/>
      <c r="V6" s="671" t="s">
        <v>0</v>
      </c>
    </row>
    <row r="7" spans="1:23" s="616" customFormat="1" ht="15.75" thickBot="1" x14ac:dyDescent="0.35">
      <c r="A7" s="614"/>
      <c r="B7" s="1515" t="s">
        <v>1</v>
      </c>
      <c r="C7" s="1515">
        <v>0</v>
      </c>
      <c r="D7" s="615" t="s">
        <v>3</v>
      </c>
      <c r="E7" s="615" t="s">
        <v>2</v>
      </c>
      <c r="F7" s="615" t="s">
        <v>4</v>
      </c>
      <c r="G7" s="615" t="s">
        <v>5</v>
      </c>
      <c r="H7" s="615" t="s">
        <v>15</v>
      </c>
      <c r="I7" s="615" t="s">
        <v>16</v>
      </c>
      <c r="J7" s="615" t="s">
        <v>17</v>
      </c>
      <c r="K7" s="615" t="s">
        <v>32</v>
      </c>
      <c r="L7" s="615" t="s">
        <v>28</v>
      </c>
      <c r="M7" s="615" t="s">
        <v>23</v>
      </c>
      <c r="N7" s="615" t="s">
        <v>33</v>
      </c>
      <c r="O7" s="615" t="s">
        <v>34</v>
      </c>
      <c r="P7" s="615" t="s">
        <v>117</v>
      </c>
      <c r="Q7" s="615" t="s">
        <v>118</v>
      </c>
      <c r="R7" s="615" t="s">
        <v>119</v>
      </c>
      <c r="S7" s="615" t="s">
        <v>246</v>
      </c>
      <c r="T7" s="615" t="s">
        <v>303</v>
      </c>
      <c r="U7" s="615" t="s">
        <v>304</v>
      </c>
      <c r="V7" s="615" t="s">
        <v>340</v>
      </c>
    </row>
    <row r="8" spans="1:23" s="618" customFormat="1" ht="75.75" thickBot="1" x14ac:dyDescent="0.25">
      <c r="A8" s="614"/>
      <c r="B8" s="1516" t="s">
        <v>386</v>
      </c>
      <c r="C8" s="1517">
        <v>0</v>
      </c>
      <c r="D8" s="617" t="s">
        <v>387</v>
      </c>
      <c r="E8" s="617" t="s">
        <v>388</v>
      </c>
      <c r="F8" s="617" t="s">
        <v>389</v>
      </c>
      <c r="G8" s="617" t="s">
        <v>390</v>
      </c>
      <c r="H8" s="617" t="s">
        <v>534</v>
      </c>
      <c r="I8" s="617" t="s">
        <v>710</v>
      </c>
      <c r="J8" s="617" t="s">
        <v>711</v>
      </c>
      <c r="K8" s="617" t="s">
        <v>712</v>
      </c>
      <c r="L8" s="617" t="s">
        <v>713</v>
      </c>
      <c r="M8" s="617" t="s">
        <v>403</v>
      </c>
      <c r="N8" s="617" t="s">
        <v>404</v>
      </c>
      <c r="O8" s="617" t="s">
        <v>405</v>
      </c>
      <c r="P8" s="617" t="s">
        <v>406</v>
      </c>
      <c r="Q8" s="617" t="s">
        <v>407</v>
      </c>
      <c r="R8" s="617" t="s">
        <v>408</v>
      </c>
      <c r="S8" s="617" t="s">
        <v>409</v>
      </c>
      <c r="T8" s="617" t="s">
        <v>410</v>
      </c>
      <c r="U8" s="617" t="s">
        <v>535</v>
      </c>
      <c r="V8" s="1161" t="s">
        <v>714</v>
      </c>
    </row>
    <row r="9" spans="1:23" s="616" customFormat="1" ht="15.75" thickTop="1" x14ac:dyDescent="0.3">
      <c r="A9" s="1520">
        <v>1</v>
      </c>
      <c r="B9" s="1521" t="s">
        <v>391</v>
      </c>
      <c r="C9" s="1523" t="s">
        <v>394</v>
      </c>
      <c r="D9" s="1523" t="s">
        <v>395</v>
      </c>
      <c r="E9" s="1527">
        <v>41555</v>
      </c>
      <c r="F9" s="1527">
        <v>48859</v>
      </c>
      <c r="G9" s="1518">
        <v>200000</v>
      </c>
      <c r="H9" s="1518">
        <v>61678.154999999999</v>
      </c>
      <c r="I9" s="1518"/>
      <c r="J9" s="1514">
        <v>8081</v>
      </c>
      <c r="K9" s="1518">
        <f>H9+I9-J9</f>
        <v>53597.154999999999</v>
      </c>
      <c r="L9" s="1518">
        <v>4002</v>
      </c>
      <c r="M9" s="1162">
        <v>7711</v>
      </c>
      <c r="N9" s="1162">
        <v>7711</v>
      </c>
      <c r="O9" s="1162">
        <v>7712</v>
      </c>
      <c r="P9" s="1162">
        <v>7711</v>
      </c>
      <c r="Q9" s="1162">
        <v>7711</v>
      </c>
      <c r="R9" s="1162">
        <v>7712</v>
      </c>
      <c r="S9" s="1162">
        <v>7329</v>
      </c>
      <c r="T9" s="1162"/>
      <c r="U9" s="1163"/>
      <c r="V9" s="1164"/>
      <c r="W9" s="619"/>
    </row>
    <row r="10" spans="1:23" s="616" customFormat="1" ht="15" x14ac:dyDescent="0.3">
      <c r="A10" s="1520">
        <v>0</v>
      </c>
      <c r="B10" s="1522">
        <v>0</v>
      </c>
      <c r="C10" s="1524">
        <v>0</v>
      </c>
      <c r="D10" s="1524">
        <v>0</v>
      </c>
      <c r="E10" s="1528">
        <v>0</v>
      </c>
      <c r="F10" s="1528">
        <v>0</v>
      </c>
      <c r="G10" s="1519">
        <v>0</v>
      </c>
      <c r="H10" s="1519"/>
      <c r="I10" s="1519"/>
      <c r="J10" s="1514"/>
      <c r="K10" s="1519"/>
      <c r="L10" s="1519"/>
      <c r="M10" s="1162">
        <v>3461</v>
      </c>
      <c r="N10" s="1162">
        <v>2934</v>
      </c>
      <c r="O10" s="1162">
        <v>2408</v>
      </c>
      <c r="P10" s="1162">
        <v>1882</v>
      </c>
      <c r="Q10" s="1162">
        <v>1355</v>
      </c>
      <c r="R10" s="1162">
        <v>829</v>
      </c>
      <c r="S10" s="1162">
        <v>276</v>
      </c>
      <c r="T10" s="1162"/>
      <c r="U10" s="1162"/>
      <c r="V10" s="1165"/>
    </row>
    <row r="11" spans="1:23" s="616" customFormat="1" ht="15" x14ac:dyDescent="0.3">
      <c r="A11" s="1520">
        <v>2</v>
      </c>
      <c r="B11" s="1521" t="s">
        <v>393</v>
      </c>
      <c r="C11" s="1523" t="s">
        <v>397</v>
      </c>
      <c r="D11" s="1523" t="s">
        <v>392</v>
      </c>
      <c r="E11" s="1527">
        <v>41759</v>
      </c>
      <c r="F11" s="1527">
        <v>49064</v>
      </c>
      <c r="G11" s="1518">
        <v>200000</v>
      </c>
      <c r="H11" s="1518">
        <v>75524</v>
      </c>
      <c r="I11" s="1518"/>
      <c r="J11" s="1514">
        <v>8886</v>
      </c>
      <c r="K11" s="1518">
        <f t="shared" ref="K11" si="0">H11+I11-J11</f>
        <v>66638</v>
      </c>
      <c r="L11" s="1518">
        <v>4299</v>
      </c>
      <c r="M11" s="1162">
        <v>8886</v>
      </c>
      <c r="N11" s="1162">
        <v>8887</v>
      </c>
      <c r="O11" s="1162">
        <v>8886</v>
      </c>
      <c r="P11" s="1162">
        <v>8886</v>
      </c>
      <c r="Q11" s="1162">
        <v>8886</v>
      </c>
      <c r="R11" s="1162">
        <v>8886</v>
      </c>
      <c r="S11" s="1162">
        <v>8886</v>
      </c>
      <c r="T11" s="1162">
        <v>4435</v>
      </c>
      <c r="U11" s="1162"/>
      <c r="V11" s="1165"/>
    </row>
    <row r="12" spans="1:23" s="616" customFormat="1" ht="15" x14ac:dyDescent="0.3">
      <c r="A12" s="1520">
        <v>0</v>
      </c>
      <c r="B12" s="1522">
        <v>0</v>
      </c>
      <c r="C12" s="1524">
        <v>0</v>
      </c>
      <c r="D12" s="1524">
        <v>0</v>
      </c>
      <c r="E12" s="1528">
        <v>0</v>
      </c>
      <c r="F12" s="1528">
        <v>0</v>
      </c>
      <c r="G12" s="1519">
        <v>0</v>
      </c>
      <c r="H12" s="1519"/>
      <c r="I12" s="1519"/>
      <c r="J12" s="1514"/>
      <c r="K12" s="1519"/>
      <c r="L12" s="1519"/>
      <c r="M12" s="1162">
        <v>3770</v>
      </c>
      <c r="N12" s="1162">
        <v>3421</v>
      </c>
      <c r="O12" s="1162">
        <v>2712</v>
      </c>
      <c r="P12" s="1162">
        <v>2182</v>
      </c>
      <c r="Q12" s="1162">
        <v>1653</v>
      </c>
      <c r="R12" s="1162">
        <v>1124</v>
      </c>
      <c r="S12" s="1162">
        <v>595</v>
      </c>
      <c r="T12" s="1162">
        <v>66</v>
      </c>
      <c r="U12" s="1162"/>
      <c r="V12" s="1165"/>
    </row>
    <row r="13" spans="1:23" s="616" customFormat="1" ht="15" x14ac:dyDescent="0.3">
      <c r="A13" s="1520">
        <v>3</v>
      </c>
      <c r="B13" s="1521" t="s">
        <v>396</v>
      </c>
      <c r="C13" s="1523" t="s">
        <v>400</v>
      </c>
      <c r="D13" s="1523" t="s">
        <v>399</v>
      </c>
      <c r="E13" s="1525">
        <v>43641</v>
      </c>
      <c r="F13" s="1525">
        <v>47299</v>
      </c>
      <c r="G13" s="1518">
        <v>1260000</v>
      </c>
      <c r="H13" s="1518">
        <v>349590</v>
      </c>
      <c r="I13" s="1518"/>
      <c r="J13" s="1514">
        <v>152727</v>
      </c>
      <c r="K13" s="1518">
        <f t="shared" ref="K13" si="1">H13+I13-J13</f>
        <v>196863</v>
      </c>
      <c r="L13" s="1518">
        <v>22070</v>
      </c>
      <c r="M13" s="1162">
        <v>152727</v>
      </c>
      <c r="N13" s="1162">
        <v>44136</v>
      </c>
      <c r="O13" s="1162"/>
      <c r="P13" s="1162"/>
      <c r="Q13" s="1162"/>
      <c r="R13" s="1162"/>
      <c r="S13" s="1162"/>
      <c r="T13" s="1162"/>
      <c r="U13" s="1162"/>
      <c r="V13" s="1165"/>
    </row>
    <row r="14" spans="1:23" s="616" customFormat="1" ht="15" x14ac:dyDescent="0.3">
      <c r="A14" s="1520">
        <v>0</v>
      </c>
      <c r="B14" s="1522">
        <v>0</v>
      </c>
      <c r="C14" s="1524">
        <v>0</v>
      </c>
      <c r="D14" s="1524">
        <v>0</v>
      </c>
      <c r="E14" s="1526">
        <v>0</v>
      </c>
      <c r="F14" s="1526">
        <v>0</v>
      </c>
      <c r="G14" s="1519">
        <v>0</v>
      </c>
      <c r="H14" s="1519"/>
      <c r="I14" s="1519"/>
      <c r="J14" s="1514"/>
      <c r="K14" s="1519"/>
      <c r="L14" s="1519"/>
      <c r="M14" s="1162">
        <v>10539</v>
      </c>
      <c r="N14" s="1162">
        <v>945</v>
      </c>
      <c r="O14" s="1162"/>
      <c r="P14" s="1162"/>
      <c r="Q14" s="1162"/>
      <c r="R14" s="1162"/>
      <c r="S14" s="1162"/>
      <c r="T14" s="1162"/>
      <c r="U14" s="1162"/>
      <c r="V14" s="1165"/>
    </row>
    <row r="15" spans="1:23" s="616" customFormat="1" ht="15" x14ac:dyDescent="0.3">
      <c r="A15" s="1520">
        <v>4</v>
      </c>
      <c r="B15" s="1521" t="s">
        <v>398</v>
      </c>
      <c r="C15" s="1523" t="s">
        <v>401</v>
      </c>
      <c r="D15" s="1523" t="s">
        <v>402</v>
      </c>
      <c r="E15" s="1525">
        <v>44424</v>
      </c>
      <c r="F15" s="1525">
        <v>48029</v>
      </c>
      <c r="G15" s="1518">
        <v>561891</v>
      </c>
      <c r="H15" s="1518">
        <v>386306</v>
      </c>
      <c r="I15" s="1518"/>
      <c r="J15" s="1514">
        <v>68108</v>
      </c>
      <c r="K15" s="1518">
        <f t="shared" ref="K15" si="2">H15+I15-J15</f>
        <v>318198</v>
      </c>
      <c r="L15" s="1518">
        <v>24352</v>
      </c>
      <c r="M15" s="1162">
        <v>68108</v>
      </c>
      <c r="N15" s="1162">
        <v>68108</v>
      </c>
      <c r="O15" s="1162">
        <v>68108</v>
      </c>
      <c r="P15" s="1162">
        <v>68108</v>
      </c>
      <c r="Q15" s="1162">
        <v>45766</v>
      </c>
      <c r="R15" s="1162"/>
      <c r="S15" s="1162"/>
      <c r="T15" s="1162"/>
      <c r="U15" s="1162"/>
      <c r="V15" s="1165"/>
    </row>
    <row r="16" spans="1:23" s="616" customFormat="1" ht="15.75" thickBot="1" x14ac:dyDescent="0.35">
      <c r="A16" s="1520">
        <v>0</v>
      </c>
      <c r="B16" s="1522">
        <v>0</v>
      </c>
      <c r="C16" s="1524">
        <v>0</v>
      </c>
      <c r="D16" s="1524">
        <v>0</v>
      </c>
      <c r="E16" s="1526">
        <v>0</v>
      </c>
      <c r="F16" s="1526">
        <v>0</v>
      </c>
      <c r="G16" s="1519">
        <v>0</v>
      </c>
      <c r="H16" s="1519"/>
      <c r="I16" s="1519"/>
      <c r="J16" s="1514"/>
      <c r="K16" s="1519"/>
      <c r="L16" s="1519"/>
      <c r="M16" s="1162">
        <v>19754</v>
      </c>
      <c r="N16" s="1162">
        <v>15157</v>
      </c>
      <c r="O16" s="1162">
        <v>10560</v>
      </c>
      <c r="P16" s="1162">
        <v>5963</v>
      </c>
      <c r="Q16" s="1162">
        <v>1455</v>
      </c>
      <c r="R16" s="1162"/>
      <c r="S16" s="1162"/>
      <c r="T16" s="1162"/>
      <c r="U16" s="1162"/>
      <c r="V16" s="1165"/>
    </row>
    <row r="17" spans="1:24" s="622" customFormat="1" thickTop="1" thickBot="1" x14ac:dyDescent="0.25">
      <c r="A17" s="614">
        <v>5</v>
      </c>
      <c r="B17" s="620" t="s">
        <v>412</v>
      </c>
      <c r="C17" s="621" t="s">
        <v>413</v>
      </c>
      <c r="D17" s="621"/>
      <c r="E17" s="621"/>
      <c r="F17" s="621"/>
      <c r="G17" s="621"/>
      <c r="H17" s="631">
        <f t="shared" ref="H17:V17" si="3">SUM(H9:H16)</f>
        <v>873098.15500000003</v>
      </c>
      <c r="I17" s="631">
        <f t="shared" si="3"/>
        <v>0</v>
      </c>
      <c r="J17" s="631">
        <f t="shared" si="3"/>
        <v>237802</v>
      </c>
      <c r="K17" s="631">
        <f t="shared" si="3"/>
        <v>635296.15500000003</v>
      </c>
      <c r="L17" s="631">
        <f t="shared" si="3"/>
        <v>54723</v>
      </c>
      <c r="M17" s="631">
        <f t="shared" si="3"/>
        <v>274956</v>
      </c>
      <c r="N17" s="631">
        <f t="shared" si="3"/>
        <v>151299</v>
      </c>
      <c r="O17" s="631">
        <f t="shared" si="3"/>
        <v>100386</v>
      </c>
      <c r="P17" s="631">
        <f t="shared" si="3"/>
        <v>94732</v>
      </c>
      <c r="Q17" s="631">
        <f t="shared" si="3"/>
        <v>66826</v>
      </c>
      <c r="R17" s="631">
        <f t="shared" si="3"/>
        <v>18551</v>
      </c>
      <c r="S17" s="631">
        <f t="shared" si="3"/>
        <v>17086</v>
      </c>
      <c r="T17" s="631">
        <f t="shared" si="3"/>
        <v>4501</v>
      </c>
      <c r="U17" s="631">
        <f t="shared" si="3"/>
        <v>0</v>
      </c>
      <c r="V17" s="1166">
        <f t="shared" si="3"/>
        <v>0</v>
      </c>
    </row>
    <row r="18" spans="1:24" s="616" customFormat="1" ht="15.75" thickTop="1" x14ac:dyDescent="0.3">
      <c r="A18" s="614">
        <v>6</v>
      </c>
      <c r="B18" s="665"/>
      <c r="C18" s="623" t="s">
        <v>414</v>
      </c>
      <c r="D18" s="624"/>
      <c r="E18" s="624"/>
      <c r="F18" s="624"/>
      <c r="G18" s="624"/>
      <c r="H18" s="624"/>
      <c r="I18" s="624"/>
      <c r="J18" s="624"/>
      <c r="K18" s="624"/>
      <c r="L18" s="624"/>
      <c r="M18" s="625">
        <f t="shared" ref="M18:V19" si="4">M9+M11+M13+M15</f>
        <v>237432</v>
      </c>
      <c r="N18" s="625">
        <f t="shared" si="4"/>
        <v>128842</v>
      </c>
      <c r="O18" s="625">
        <f t="shared" si="4"/>
        <v>84706</v>
      </c>
      <c r="P18" s="625">
        <f t="shared" si="4"/>
        <v>84705</v>
      </c>
      <c r="Q18" s="625">
        <f t="shared" si="4"/>
        <v>62363</v>
      </c>
      <c r="R18" s="625">
        <f t="shared" si="4"/>
        <v>16598</v>
      </c>
      <c r="S18" s="625">
        <f t="shared" si="4"/>
        <v>16215</v>
      </c>
      <c r="T18" s="625">
        <f t="shared" si="4"/>
        <v>4435</v>
      </c>
      <c r="U18" s="625">
        <f t="shared" si="4"/>
        <v>0</v>
      </c>
      <c r="V18" s="1167">
        <f t="shared" si="4"/>
        <v>0</v>
      </c>
    </row>
    <row r="19" spans="1:24" s="616" customFormat="1" ht="15.75" thickBot="1" x14ac:dyDescent="0.35">
      <c r="A19" s="614">
        <v>7</v>
      </c>
      <c r="B19" s="626"/>
      <c r="C19" s="627" t="s">
        <v>415</v>
      </c>
      <c r="D19" s="628"/>
      <c r="E19" s="628"/>
      <c r="F19" s="628"/>
      <c r="G19" s="628"/>
      <c r="H19" s="628"/>
      <c r="I19" s="628"/>
      <c r="J19" s="628"/>
      <c r="K19" s="628"/>
      <c r="L19" s="628"/>
      <c r="M19" s="629">
        <f t="shared" si="4"/>
        <v>37524</v>
      </c>
      <c r="N19" s="629">
        <f t="shared" si="4"/>
        <v>22457</v>
      </c>
      <c r="O19" s="629">
        <f t="shared" si="4"/>
        <v>15680</v>
      </c>
      <c r="P19" s="629">
        <f t="shared" si="4"/>
        <v>10027</v>
      </c>
      <c r="Q19" s="629">
        <f t="shared" si="4"/>
        <v>4463</v>
      </c>
      <c r="R19" s="629">
        <f t="shared" si="4"/>
        <v>1953</v>
      </c>
      <c r="S19" s="629">
        <f t="shared" si="4"/>
        <v>871</v>
      </c>
      <c r="T19" s="629">
        <f t="shared" si="4"/>
        <v>66</v>
      </c>
      <c r="U19" s="629">
        <f t="shared" si="4"/>
        <v>0</v>
      </c>
      <c r="V19" s="1168">
        <f t="shared" si="4"/>
        <v>0</v>
      </c>
    </row>
    <row r="20" spans="1:24" x14ac:dyDescent="0.3">
      <c r="M20" s="630"/>
      <c r="N20" s="630"/>
      <c r="O20" s="630"/>
      <c r="P20" s="630"/>
      <c r="Q20" s="630"/>
      <c r="R20" s="630"/>
      <c r="S20" s="630"/>
      <c r="T20" s="630"/>
      <c r="U20" s="630"/>
      <c r="V20" s="630"/>
      <c r="X20" s="616"/>
    </row>
  </sheetData>
  <mergeCells count="54">
    <mergeCell ref="L15:L16"/>
    <mergeCell ref="A15:A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G13:G14"/>
    <mergeCell ref="H13:H14"/>
    <mergeCell ref="I13:I14"/>
    <mergeCell ref="J13:J14"/>
    <mergeCell ref="K13:K14"/>
    <mergeCell ref="L13:L14"/>
    <mergeCell ref="I11:I12"/>
    <mergeCell ref="J11:J12"/>
    <mergeCell ref="K11:K12"/>
    <mergeCell ref="L11:L12"/>
    <mergeCell ref="G11:G12"/>
    <mergeCell ref="H11:H12"/>
    <mergeCell ref="E9:E10"/>
    <mergeCell ref="F9:F10"/>
    <mergeCell ref="G9:G10"/>
    <mergeCell ref="H9:H10"/>
    <mergeCell ref="A9:A10"/>
    <mergeCell ref="B9:B10"/>
    <mergeCell ref="C9:C10"/>
    <mergeCell ref="D9:D10"/>
    <mergeCell ref="F13:F14"/>
    <mergeCell ref="A11:A12"/>
    <mergeCell ref="B11:B12"/>
    <mergeCell ref="C11:C12"/>
    <mergeCell ref="D11:D12"/>
    <mergeCell ref="E11:E12"/>
    <mergeCell ref="F11:F12"/>
    <mergeCell ref="A13:A14"/>
    <mergeCell ref="B13:B14"/>
    <mergeCell ref="C13:C14"/>
    <mergeCell ref="D13:D14"/>
    <mergeCell ref="E13:E14"/>
    <mergeCell ref="Q6:R6"/>
    <mergeCell ref="B3:V3"/>
    <mergeCell ref="B4:V4"/>
    <mergeCell ref="B5:V5"/>
    <mergeCell ref="J9:J10"/>
    <mergeCell ref="B7:C7"/>
    <mergeCell ref="B8:C8"/>
    <mergeCell ref="K9:K10"/>
    <mergeCell ref="L9:L10"/>
    <mergeCell ref="I9:I10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  <headerFooter>
    <oddFooter>&amp;C-&amp;N-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view="pageBreakPreview" zoomScaleNormal="100" workbookViewId="0">
      <selection activeCell="B1" sqref="B1:D1"/>
    </sheetView>
  </sheetViews>
  <sheetFormatPr defaultColWidth="10.42578125" defaultRowHeight="16.5" x14ac:dyDescent="0.3"/>
  <cols>
    <col min="1" max="1" width="3.7109375" style="268" customWidth="1"/>
    <col min="2" max="3" width="5.7109375" style="104" customWidth="1"/>
    <col min="4" max="4" width="51.7109375" style="317" customWidth="1"/>
    <col min="5" max="5" width="19.7109375" style="105" customWidth="1"/>
    <col min="6" max="6" width="3" style="103" customWidth="1"/>
    <col min="7" max="12" width="13.7109375" style="103" customWidth="1"/>
    <col min="13" max="13" width="15.7109375" style="103" customWidth="1"/>
    <col min="14" max="17" width="13.7109375" style="103" customWidth="1"/>
    <col min="18" max="18" width="15.7109375" style="103" customWidth="1"/>
    <col min="19" max="16384" width="10.42578125" style="103"/>
  </cols>
  <sheetData>
    <row r="1" spans="1:18" x14ac:dyDescent="0.3">
      <c r="A1" s="318"/>
      <c r="B1" s="1424" t="s">
        <v>774</v>
      </c>
      <c r="C1" s="1424"/>
      <c r="D1" s="1424"/>
      <c r="E1" s="1424"/>
      <c r="F1" s="1424"/>
      <c r="G1" s="1424"/>
      <c r="H1" s="1424"/>
      <c r="I1" s="1424"/>
      <c r="J1" s="1424"/>
      <c r="K1" s="1424"/>
      <c r="L1" s="1424"/>
      <c r="M1" s="1424"/>
      <c r="N1" s="20"/>
      <c r="O1" s="20"/>
      <c r="P1" s="20"/>
      <c r="Q1" s="20"/>
      <c r="R1" s="20"/>
    </row>
    <row r="2" spans="1:18" ht="24.75" customHeight="1" x14ac:dyDescent="0.35">
      <c r="B2" s="1548" t="s">
        <v>90</v>
      </c>
      <c r="C2" s="1548"/>
      <c r="D2" s="1548"/>
      <c r="E2" s="1548"/>
      <c r="F2" s="1548"/>
      <c r="G2" s="1548"/>
      <c r="H2" s="1548"/>
      <c r="I2" s="1548"/>
      <c r="J2" s="1548"/>
      <c r="K2" s="1548"/>
      <c r="L2" s="1548"/>
      <c r="M2" s="1548"/>
      <c r="N2" s="1548"/>
      <c r="O2" s="1548"/>
      <c r="P2" s="1548"/>
      <c r="Q2" s="1548"/>
      <c r="R2" s="1548"/>
    </row>
    <row r="3" spans="1:18" ht="24.75" customHeight="1" x14ac:dyDescent="0.35">
      <c r="B3" s="1548" t="s">
        <v>759</v>
      </c>
      <c r="C3" s="1548"/>
      <c r="D3" s="1548"/>
      <c r="E3" s="1548"/>
      <c r="F3" s="1548"/>
      <c r="G3" s="1548"/>
      <c r="H3" s="1548"/>
      <c r="I3" s="1548"/>
      <c r="J3" s="1548"/>
      <c r="K3" s="1548"/>
      <c r="L3" s="1548"/>
      <c r="M3" s="1548"/>
      <c r="N3" s="1548"/>
      <c r="O3" s="1548"/>
      <c r="P3" s="1548"/>
      <c r="Q3" s="1548"/>
      <c r="R3" s="1548"/>
    </row>
    <row r="4" spans="1:18" ht="24.75" customHeight="1" x14ac:dyDescent="0.35">
      <c r="B4" s="1548" t="s">
        <v>499</v>
      </c>
      <c r="C4" s="1548"/>
      <c r="D4" s="1548"/>
      <c r="E4" s="1548"/>
      <c r="F4" s="1548"/>
      <c r="G4" s="1548"/>
      <c r="H4" s="1548"/>
      <c r="I4" s="1548"/>
      <c r="J4" s="1548"/>
      <c r="K4" s="1548"/>
      <c r="L4" s="1548"/>
      <c r="M4" s="1548"/>
      <c r="N4" s="1548"/>
      <c r="O4" s="1548"/>
      <c r="P4" s="1548"/>
      <c r="Q4" s="1548"/>
      <c r="R4" s="1548"/>
    </row>
    <row r="5" spans="1:18" s="267" customFormat="1" ht="15" x14ac:dyDescent="0.3">
      <c r="A5" s="268"/>
      <c r="B5" s="268"/>
      <c r="C5" s="268"/>
      <c r="D5" s="269"/>
      <c r="E5" s="270"/>
      <c r="N5" s="1549" t="s">
        <v>0</v>
      </c>
      <c r="O5" s="1549"/>
      <c r="P5" s="1549"/>
      <c r="Q5" s="1549"/>
      <c r="R5" s="1549"/>
    </row>
    <row r="6" spans="1:18" s="268" customFormat="1" ht="15.75" thickBot="1" x14ac:dyDescent="0.35">
      <c r="B6" s="268" t="s">
        <v>339</v>
      </c>
      <c r="C6" s="268" t="s">
        <v>3</v>
      </c>
      <c r="D6" s="275" t="s">
        <v>2</v>
      </c>
      <c r="E6" s="270" t="s">
        <v>4</v>
      </c>
      <c r="G6" s="268" t="s">
        <v>5</v>
      </c>
      <c r="H6" s="268" t="s">
        <v>15</v>
      </c>
      <c r="I6" s="268" t="s">
        <v>16</v>
      </c>
      <c r="J6" s="268" t="s">
        <v>17</v>
      </c>
      <c r="K6" s="268" t="s">
        <v>32</v>
      </c>
      <c r="L6" s="268" t="s">
        <v>28</v>
      </c>
      <c r="M6" s="268" t="s">
        <v>23</v>
      </c>
      <c r="N6" s="268" t="s">
        <v>23</v>
      </c>
      <c r="O6" s="268" t="s">
        <v>34</v>
      </c>
      <c r="P6" s="268" t="s">
        <v>117</v>
      </c>
      <c r="Q6" s="268" t="s">
        <v>118</v>
      </c>
      <c r="R6" s="268" t="s">
        <v>119</v>
      </c>
    </row>
    <row r="7" spans="1:18" s="106" customFormat="1" ht="24.75" customHeight="1" thickBot="1" x14ac:dyDescent="0.25">
      <c r="A7" s="276"/>
      <c r="B7" s="1537" t="s">
        <v>18</v>
      </c>
      <c r="C7" s="1538" t="s">
        <v>19</v>
      </c>
      <c r="D7" s="1539" t="s">
        <v>248</v>
      </c>
      <c r="E7" s="1540" t="s">
        <v>249</v>
      </c>
      <c r="F7" s="277"/>
      <c r="G7" s="1541" t="s">
        <v>254</v>
      </c>
      <c r="H7" s="1541"/>
      <c r="I7" s="1541"/>
      <c r="J7" s="1541"/>
      <c r="K7" s="1541"/>
      <c r="L7" s="1541"/>
      <c r="M7" s="1541"/>
      <c r="N7" s="1542" t="s">
        <v>255</v>
      </c>
      <c r="O7" s="1543"/>
      <c r="P7" s="1543"/>
      <c r="Q7" s="1544"/>
      <c r="R7" s="1530" t="s">
        <v>305</v>
      </c>
    </row>
    <row r="8" spans="1:18" s="106" customFormat="1" ht="24.75" customHeight="1" thickBot="1" x14ac:dyDescent="0.25">
      <c r="A8" s="276"/>
      <c r="B8" s="1537"/>
      <c r="C8" s="1538"/>
      <c r="D8" s="1539"/>
      <c r="E8" s="1540"/>
      <c r="F8" s="278"/>
      <c r="G8" s="1531" t="s">
        <v>250</v>
      </c>
      <c r="H8" s="1532" t="s">
        <v>341</v>
      </c>
      <c r="I8" s="1533"/>
      <c r="J8" s="1533"/>
      <c r="K8" s="1534"/>
      <c r="L8" s="794"/>
      <c r="M8" s="1535" t="s">
        <v>251</v>
      </c>
      <c r="N8" s="1545"/>
      <c r="O8" s="1546"/>
      <c r="P8" s="1546"/>
      <c r="Q8" s="1547"/>
      <c r="R8" s="1530"/>
    </row>
    <row r="9" spans="1:18" s="106" customFormat="1" ht="60.75" customHeight="1" thickBot="1" x14ac:dyDescent="0.25">
      <c r="A9" s="276"/>
      <c r="B9" s="1537"/>
      <c r="C9" s="1538"/>
      <c r="D9" s="1539"/>
      <c r="E9" s="1540"/>
      <c r="F9" s="278"/>
      <c r="G9" s="1531"/>
      <c r="H9" s="1532"/>
      <c r="I9" s="545" t="s">
        <v>425</v>
      </c>
      <c r="J9" s="545" t="s">
        <v>603</v>
      </c>
      <c r="K9" s="545" t="s">
        <v>619</v>
      </c>
      <c r="L9" s="545" t="s">
        <v>581</v>
      </c>
      <c r="M9" s="1535"/>
      <c r="N9" s="795" t="s">
        <v>604</v>
      </c>
      <c r="O9" s="795" t="s">
        <v>603</v>
      </c>
      <c r="P9" s="796" t="s">
        <v>619</v>
      </c>
      <c r="Q9" s="795" t="s">
        <v>581</v>
      </c>
      <c r="R9" s="1530"/>
    </row>
    <row r="10" spans="1:18" s="106" customFormat="1" ht="33" customHeight="1" x14ac:dyDescent="0.35">
      <c r="A10" s="279">
        <v>1</v>
      </c>
      <c r="B10" s="280">
        <v>18</v>
      </c>
      <c r="C10" s="281" t="s">
        <v>14</v>
      </c>
      <c r="D10" s="282"/>
      <c r="E10" s="642"/>
      <c r="G10" s="283"/>
      <c r="H10" s="546"/>
      <c r="I10" s="547"/>
      <c r="J10" s="547"/>
      <c r="K10" s="547"/>
      <c r="L10" s="547"/>
      <c r="M10" s="548"/>
      <c r="N10" s="544"/>
      <c r="O10" s="544"/>
      <c r="P10" s="544"/>
      <c r="Q10" s="544"/>
      <c r="R10" s="284"/>
    </row>
    <row r="11" spans="1:18" s="106" customFormat="1" ht="33" customHeight="1" x14ac:dyDescent="0.3">
      <c r="A11" s="279">
        <v>2</v>
      </c>
      <c r="B11" s="1011"/>
      <c r="C11" s="289">
        <v>1</v>
      </c>
      <c r="D11" s="1012" t="s">
        <v>382</v>
      </c>
      <c r="E11" s="1013" t="s">
        <v>381</v>
      </c>
      <c r="F11" s="1014"/>
      <c r="G11" s="285">
        <f t="shared" ref="G11:G29" si="0">+R11-M11-H11</f>
        <v>11031</v>
      </c>
      <c r="H11" s="1015"/>
      <c r="I11" s="1016">
        <v>74087</v>
      </c>
      <c r="J11" s="1016">
        <v>5911</v>
      </c>
      <c r="K11" s="1016"/>
      <c r="L11" s="1016"/>
      <c r="M11" s="287">
        <f>SUM(I11:L11)</f>
        <v>79998</v>
      </c>
      <c r="N11" s="1016">
        <f>21668+9779</f>
        <v>31447</v>
      </c>
      <c r="O11" s="1016">
        <v>35392</v>
      </c>
      <c r="P11" s="1016">
        <v>6687</v>
      </c>
      <c r="Q11" s="1016">
        <v>17503</v>
      </c>
      <c r="R11" s="288">
        <f>SUM(N11:Q11)</f>
        <v>91029</v>
      </c>
    </row>
    <row r="12" spans="1:18" ht="54" customHeight="1" x14ac:dyDescent="0.3">
      <c r="A12" s="279">
        <v>3</v>
      </c>
      <c r="B12" s="214"/>
      <c r="C12" s="289">
        <v>16</v>
      </c>
      <c r="D12" s="320" t="s">
        <v>426</v>
      </c>
      <c r="E12" s="1017" t="s">
        <v>427</v>
      </c>
      <c r="F12" s="1018"/>
      <c r="G12" s="1019">
        <f t="shared" si="0"/>
        <v>6042</v>
      </c>
      <c r="H12" s="319"/>
      <c r="I12" s="1020"/>
      <c r="J12" s="1020">
        <v>2879</v>
      </c>
      <c r="K12" s="1020">
        <v>6666</v>
      </c>
      <c r="L12" s="1020">
        <v>11423</v>
      </c>
      <c r="M12" s="287">
        <f>SUM(I12:L12)</f>
        <v>20968</v>
      </c>
      <c r="N12" s="1020">
        <v>3451</v>
      </c>
      <c r="O12" s="1020">
        <v>9071</v>
      </c>
      <c r="P12" s="1020">
        <v>13397</v>
      </c>
      <c r="Q12" s="1020">
        <v>1091</v>
      </c>
      <c r="R12" s="288">
        <f t="shared" ref="R12:R29" si="1">SUM(N12:Q12)</f>
        <v>27010</v>
      </c>
    </row>
    <row r="13" spans="1:18" s="106" customFormat="1" ht="82.5" x14ac:dyDescent="0.2">
      <c r="A13" s="279">
        <v>4</v>
      </c>
      <c r="B13" s="214"/>
      <c r="C13" s="289">
        <v>17</v>
      </c>
      <c r="D13" s="320" t="s">
        <v>428</v>
      </c>
      <c r="E13" s="1017" t="s">
        <v>427</v>
      </c>
      <c r="F13" s="1018"/>
      <c r="G13" s="1019">
        <f t="shared" si="0"/>
        <v>5383</v>
      </c>
      <c r="H13" s="319"/>
      <c r="I13" s="1020"/>
      <c r="J13" s="1020">
        <v>2948</v>
      </c>
      <c r="K13" s="1020">
        <v>5969</v>
      </c>
      <c r="L13" s="1020">
        <v>11015</v>
      </c>
      <c r="M13" s="287">
        <f t="shared" ref="M13:M29" si="2">SUM(I13:L13)</f>
        <v>19932</v>
      </c>
      <c r="N13" s="1020">
        <v>3651</v>
      </c>
      <c r="O13" s="1020">
        <v>8037</v>
      </c>
      <c r="P13" s="1020">
        <v>8860</v>
      </c>
      <c r="Q13" s="1020">
        <v>4767</v>
      </c>
      <c r="R13" s="288">
        <f t="shared" si="1"/>
        <v>25315</v>
      </c>
    </row>
    <row r="14" spans="1:18" s="106" customFormat="1" ht="24.95" customHeight="1" x14ac:dyDescent="0.3">
      <c r="A14" s="279">
        <v>5</v>
      </c>
      <c r="B14" s="214"/>
      <c r="C14" s="1021">
        <v>18</v>
      </c>
      <c r="D14" s="155" t="s">
        <v>430</v>
      </c>
      <c r="E14" s="1013" t="s">
        <v>536</v>
      </c>
      <c r="F14" s="215"/>
      <c r="G14" s="1019">
        <f t="shared" si="0"/>
        <v>3570</v>
      </c>
      <c r="H14" s="286"/>
      <c r="I14" s="1016"/>
      <c r="J14" s="286">
        <f>10100+6183</f>
        <v>16283</v>
      </c>
      <c r="K14" s="286">
        <v>15054</v>
      </c>
      <c r="L14" s="1016">
        <v>36493</v>
      </c>
      <c r="M14" s="287">
        <f t="shared" si="2"/>
        <v>67830</v>
      </c>
      <c r="N14" s="1016"/>
      <c r="O14" s="1016">
        <f>1958+12196</f>
        <v>14154</v>
      </c>
      <c r="P14" s="1016">
        <v>26531</v>
      </c>
      <c r="Q14" s="286">
        <v>30715</v>
      </c>
      <c r="R14" s="288">
        <f t="shared" si="1"/>
        <v>71400</v>
      </c>
    </row>
    <row r="15" spans="1:18" ht="24.95" customHeight="1" x14ac:dyDescent="0.3">
      <c r="A15" s="279">
        <v>6</v>
      </c>
      <c r="B15" s="1022"/>
      <c r="C15" s="1023">
        <v>19</v>
      </c>
      <c r="D15" s="1024" t="s">
        <v>431</v>
      </c>
      <c r="E15" s="1017" t="s">
        <v>537</v>
      </c>
      <c r="F15" s="993"/>
      <c r="G15" s="994">
        <f t="shared" si="0"/>
        <v>4088</v>
      </c>
      <c r="H15" s="995"/>
      <c r="I15" s="1020"/>
      <c r="J15" s="1025">
        <v>11500</v>
      </c>
      <c r="K15" s="1025">
        <v>11703</v>
      </c>
      <c r="L15" s="1025">
        <v>54474</v>
      </c>
      <c r="M15" s="996">
        <f t="shared" si="2"/>
        <v>77677</v>
      </c>
      <c r="N15" s="1020"/>
      <c r="O15" s="1025">
        <f>476+8206</f>
        <v>8682</v>
      </c>
      <c r="P15" s="1025">
        <v>16769</v>
      </c>
      <c r="Q15" s="1025">
        <v>56314</v>
      </c>
      <c r="R15" s="997">
        <f t="shared" si="1"/>
        <v>81765</v>
      </c>
    </row>
    <row r="16" spans="1:18" ht="36.75" customHeight="1" x14ac:dyDescent="0.3">
      <c r="A16" s="279">
        <v>7</v>
      </c>
      <c r="B16" s="998"/>
      <c r="C16" s="999">
        <v>23</v>
      </c>
      <c r="D16" s="791" t="s">
        <v>502</v>
      </c>
      <c r="E16" s="1000" t="s">
        <v>605</v>
      </c>
      <c r="F16" s="993"/>
      <c r="G16" s="285">
        <f t="shared" si="0"/>
        <v>0</v>
      </c>
      <c r="H16" s="1001">
        <v>27207</v>
      </c>
      <c r="I16" s="1001"/>
      <c r="J16" s="1001"/>
      <c r="K16" s="1001"/>
      <c r="L16" s="1001">
        <v>200005</v>
      </c>
      <c r="M16" s="996">
        <f t="shared" si="2"/>
        <v>200005</v>
      </c>
      <c r="N16" s="319"/>
      <c r="O16" s="1001"/>
      <c r="P16" s="1001"/>
      <c r="Q16" s="1001">
        <v>227212</v>
      </c>
      <c r="R16" s="997">
        <f t="shared" si="1"/>
        <v>227212</v>
      </c>
    </row>
    <row r="17" spans="1:18" ht="52.5" customHeight="1" x14ac:dyDescent="0.3">
      <c r="A17" s="279">
        <v>8</v>
      </c>
      <c r="B17" s="998"/>
      <c r="C17" s="999">
        <v>43</v>
      </c>
      <c r="D17" s="724" t="s">
        <v>606</v>
      </c>
      <c r="E17" s="1000" t="s">
        <v>605</v>
      </c>
      <c r="F17" s="993"/>
      <c r="G17" s="285">
        <f t="shared" si="0"/>
        <v>0</v>
      </c>
      <c r="H17" s="1001"/>
      <c r="I17" s="1001"/>
      <c r="J17" s="1001"/>
      <c r="K17" s="1001"/>
      <c r="L17" s="1001">
        <v>160000</v>
      </c>
      <c r="M17" s="996">
        <f t="shared" si="2"/>
        <v>160000</v>
      </c>
      <c r="N17" s="319"/>
      <c r="O17" s="1001"/>
      <c r="P17" s="1001"/>
      <c r="Q17" s="1001">
        <v>160000</v>
      </c>
      <c r="R17" s="997">
        <f t="shared" si="1"/>
        <v>160000</v>
      </c>
    </row>
    <row r="18" spans="1:18" ht="52.5" customHeight="1" x14ac:dyDescent="0.3">
      <c r="A18" s="279">
        <v>9</v>
      </c>
      <c r="B18" s="998"/>
      <c r="C18" s="999">
        <v>45</v>
      </c>
      <c r="D18" s="1002" t="s">
        <v>607</v>
      </c>
      <c r="E18" s="1000" t="s">
        <v>608</v>
      </c>
      <c r="F18" s="993"/>
      <c r="G18" s="285">
        <f t="shared" si="0"/>
        <v>0</v>
      </c>
      <c r="H18" s="1001"/>
      <c r="I18" s="1001"/>
      <c r="J18" s="1001"/>
      <c r="K18" s="1001"/>
      <c r="L18" s="1001">
        <v>688012</v>
      </c>
      <c r="M18" s="996">
        <f t="shared" si="2"/>
        <v>688012</v>
      </c>
      <c r="N18" s="319"/>
      <c r="O18" s="1001"/>
      <c r="P18" s="1001"/>
      <c r="Q18" s="1001">
        <v>688012</v>
      </c>
      <c r="R18" s="997">
        <f t="shared" si="1"/>
        <v>688012</v>
      </c>
    </row>
    <row r="19" spans="1:18" ht="49.5" customHeight="1" x14ac:dyDescent="0.3">
      <c r="A19" s="279">
        <v>10</v>
      </c>
      <c r="B19" s="1003"/>
      <c r="C19" s="289">
        <v>46</v>
      </c>
      <c r="D19" s="791" t="s">
        <v>609</v>
      </c>
      <c r="E19" s="1004" t="s">
        <v>605</v>
      </c>
      <c r="F19" s="108"/>
      <c r="G19" s="285">
        <f t="shared" si="0"/>
        <v>80296</v>
      </c>
      <c r="H19" s="286"/>
      <c r="I19" s="286"/>
      <c r="J19" s="286"/>
      <c r="K19" s="286"/>
      <c r="L19" s="286">
        <v>1416024</v>
      </c>
      <c r="M19" s="996">
        <f t="shared" si="2"/>
        <v>1416024</v>
      </c>
      <c r="N19" s="1005"/>
      <c r="O19" s="286"/>
      <c r="P19" s="286"/>
      <c r="Q19" s="286">
        <f>1416024+80296</f>
        <v>1496320</v>
      </c>
      <c r="R19" s="997">
        <f t="shared" si="1"/>
        <v>1496320</v>
      </c>
    </row>
    <row r="20" spans="1:18" ht="36.75" customHeight="1" x14ac:dyDescent="0.3">
      <c r="A20" s="279">
        <v>11</v>
      </c>
      <c r="B20" s="1003"/>
      <c r="C20" s="289">
        <v>47</v>
      </c>
      <c r="D20" s="791" t="s">
        <v>610</v>
      </c>
      <c r="E20" s="1004" t="s">
        <v>611</v>
      </c>
      <c r="F20" s="108"/>
      <c r="G20" s="994">
        <f t="shared" si="0"/>
        <v>0</v>
      </c>
      <c r="H20" s="286"/>
      <c r="I20" s="286"/>
      <c r="J20" s="286"/>
      <c r="K20" s="286"/>
      <c r="L20" s="286">
        <v>128417</v>
      </c>
      <c r="M20" s="996">
        <f t="shared" si="2"/>
        <v>128417</v>
      </c>
      <c r="N20" s="1005"/>
      <c r="O20" s="286"/>
      <c r="P20" s="286"/>
      <c r="Q20" s="286">
        <v>128417</v>
      </c>
      <c r="R20" s="997">
        <f t="shared" si="1"/>
        <v>128417</v>
      </c>
    </row>
    <row r="21" spans="1:18" ht="34.5" customHeight="1" x14ac:dyDescent="0.3">
      <c r="A21" s="279">
        <v>12</v>
      </c>
      <c r="B21" s="1003"/>
      <c r="C21" s="289">
        <v>48</v>
      </c>
      <c r="D21" s="791" t="s">
        <v>612</v>
      </c>
      <c r="E21" s="1004" t="s">
        <v>605</v>
      </c>
      <c r="F21" s="108"/>
      <c r="G21" s="285">
        <f t="shared" si="0"/>
        <v>0</v>
      </c>
      <c r="H21" s="286"/>
      <c r="I21" s="286"/>
      <c r="J21" s="286"/>
      <c r="K21" s="286"/>
      <c r="L21" s="286">
        <v>265801</v>
      </c>
      <c r="M21" s="996">
        <f t="shared" si="2"/>
        <v>265801</v>
      </c>
      <c r="N21" s="1005"/>
      <c r="O21" s="286"/>
      <c r="P21" s="286"/>
      <c r="Q21" s="286">
        <f>10350+255451</f>
        <v>265801</v>
      </c>
      <c r="R21" s="997">
        <f t="shared" si="1"/>
        <v>265801</v>
      </c>
    </row>
    <row r="22" spans="1:18" ht="50.25" customHeight="1" x14ac:dyDescent="0.3">
      <c r="A22" s="279">
        <v>13</v>
      </c>
      <c r="B22" s="1003"/>
      <c r="C22" s="289">
        <v>49</v>
      </c>
      <c r="D22" s="791" t="s">
        <v>613</v>
      </c>
      <c r="E22" s="1004" t="s">
        <v>605</v>
      </c>
      <c r="F22" s="108"/>
      <c r="G22" s="994">
        <f t="shared" si="0"/>
        <v>0</v>
      </c>
      <c r="H22" s="286"/>
      <c r="I22" s="286"/>
      <c r="J22" s="286"/>
      <c r="K22" s="286"/>
      <c r="L22" s="286">
        <v>232172</v>
      </c>
      <c r="M22" s="996">
        <f t="shared" si="2"/>
        <v>232172</v>
      </c>
      <c r="N22" s="1005"/>
      <c r="O22" s="286"/>
      <c r="P22" s="286"/>
      <c r="Q22" s="286">
        <f>8060+224112</f>
        <v>232172</v>
      </c>
      <c r="R22" s="997">
        <f t="shared" si="1"/>
        <v>232172</v>
      </c>
    </row>
    <row r="23" spans="1:18" ht="38.25" customHeight="1" x14ac:dyDescent="0.3">
      <c r="A23" s="279">
        <v>14</v>
      </c>
      <c r="B23" s="1003"/>
      <c r="C23" s="289">
        <v>50</v>
      </c>
      <c r="D23" s="791" t="s">
        <v>614</v>
      </c>
      <c r="E23" s="1004" t="s">
        <v>608</v>
      </c>
      <c r="F23" s="108"/>
      <c r="G23" s="285">
        <f t="shared" si="0"/>
        <v>0</v>
      </c>
      <c r="H23" s="286"/>
      <c r="I23" s="286"/>
      <c r="J23" s="286"/>
      <c r="K23" s="286"/>
      <c r="L23" s="286">
        <f>1905+89059</f>
        <v>90964</v>
      </c>
      <c r="M23" s="287">
        <f t="shared" si="2"/>
        <v>90964</v>
      </c>
      <c r="N23" s="1005"/>
      <c r="O23" s="286"/>
      <c r="P23" s="286"/>
      <c r="Q23" s="286">
        <v>90964</v>
      </c>
      <c r="R23" s="288">
        <f t="shared" si="1"/>
        <v>90964</v>
      </c>
    </row>
    <row r="24" spans="1:18" ht="51" customHeight="1" x14ac:dyDescent="0.3">
      <c r="A24" s="279">
        <v>15</v>
      </c>
      <c r="B24" s="214"/>
      <c r="C24" s="289">
        <v>51</v>
      </c>
      <c r="D24" s="791" t="s">
        <v>615</v>
      </c>
      <c r="E24" s="1006" t="s">
        <v>605</v>
      </c>
      <c r="F24" s="108"/>
      <c r="G24" s="285">
        <f t="shared" si="0"/>
        <v>0</v>
      </c>
      <c r="H24" s="286"/>
      <c r="I24" s="286"/>
      <c r="J24" s="286"/>
      <c r="K24" s="286"/>
      <c r="L24" s="286">
        <v>498000</v>
      </c>
      <c r="M24" s="287">
        <f t="shared" si="2"/>
        <v>498000</v>
      </c>
      <c r="N24" s="1005"/>
      <c r="O24" s="286"/>
      <c r="P24" s="286"/>
      <c r="Q24" s="286">
        <v>498000</v>
      </c>
      <c r="R24" s="288">
        <f t="shared" si="1"/>
        <v>498000</v>
      </c>
    </row>
    <row r="25" spans="1:18" ht="36" customHeight="1" x14ac:dyDescent="0.3">
      <c r="A25" s="279">
        <v>16</v>
      </c>
      <c r="B25" s="214"/>
      <c r="C25" s="289">
        <v>52</v>
      </c>
      <c r="D25" s="791" t="s">
        <v>616</v>
      </c>
      <c r="E25" s="1006" t="s">
        <v>608</v>
      </c>
      <c r="F25" s="108"/>
      <c r="G25" s="285">
        <f t="shared" si="0"/>
        <v>0</v>
      </c>
      <c r="H25" s="286"/>
      <c r="I25" s="286"/>
      <c r="J25" s="286"/>
      <c r="K25" s="286"/>
      <c r="L25" s="286">
        <f>19663+9040</f>
        <v>28703</v>
      </c>
      <c r="M25" s="287">
        <f t="shared" si="2"/>
        <v>28703</v>
      </c>
      <c r="N25" s="1005"/>
      <c r="O25" s="286"/>
      <c r="P25" s="286"/>
      <c r="Q25" s="286">
        <f>19663+9040</f>
        <v>28703</v>
      </c>
      <c r="R25" s="288">
        <f t="shared" si="1"/>
        <v>28703</v>
      </c>
    </row>
    <row r="26" spans="1:18" ht="54.75" customHeight="1" x14ac:dyDescent="0.3">
      <c r="A26" s="279">
        <v>17</v>
      </c>
      <c r="B26" s="214"/>
      <c r="C26" s="289">
        <v>53</v>
      </c>
      <c r="D26" s="791" t="s">
        <v>617</v>
      </c>
      <c r="E26" s="1006" t="s">
        <v>605</v>
      </c>
      <c r="F26" s="108"/>
      <c r="G26" s="285">
        <f t="shared" si="0"/>
        <v>0</v>
      </c>
      <c r="H26" s="286"/>
      <c r="I26" s="286"/>
      <c r="J26" s="286"/>
      <c r="K26" s="286"/>
      <c r="L26" s="286">
        <v>303610</v>
      </c>
      <c r="M26" s="287">
        <f t="shared" si="2"/>
        <v>303610</v>
      </c>
      <c r="N26" s="1005"/>
      <c r="O26" s="286"/>
      <c r="P26" s="286"/>
      <c r="Q26" s="286">
        <v>303610</v>
      </c>
      <c r="R26" s="288">
        <f t="shared" si="1"/>
        <v>303610</v>
      </c>
    </row>
    <row r="27" spans="1:18" ht="54.75" customHeight="1" x14ac:dyDescent="0.3">
      <c r="A27" s="279">
        <v>18</v>
      </c>
      <c r="B27" s="1007"/>
      <c r="C27" s="999">
        <v>54</v>
      </c>
      <c r="D27" s="1281" t="s">
        <v>618</v>
      </c>
      <c r="E27" s="1008" t="s">
        <v>608</v>
      </c>
      <c r="F27" s="215"/>
      <c r="G27" s="1282">
        <f t="shared" si="0"/>
        <v>0</v>
      </c>
      <c r="H27" s="1009"/>
      <c r="I27" s="1009"/>
      <c r="J27" s="1009"/>
      <c r="K27" s="1009"/>
      <c r="L27" s="1009">
        <v>2335276</v>
      </c>
      <c r="M27" s="996">
        <f t="shared" si="2"/>
        <v>2335276</v>
      </c>
      <c r="N27" s="995"/>
      <c r="O27" s="1009"/>
      <c r="P27" s="1009"/>
      <c r="Q27" s="1009">
        <v>2335276</v>
      </c>
      <c r="R27" s="288">
        <f t="shared" si="1"/>
        <v>2335276</v>
      </c>
    </row>
    <row r="28" spans="1:18" ht="36.75" customHeight="1" x14ac:dyDescent="0.3">
      <c r="A28" s="279">
        <v>19</v>
      </c>
      <c r="B28" s="214"/>
      <c r="C28" s="289">
        <v>58</v>
      </c>
      <c r="D28" s="791" t="s">
        <v>635</v>
      </c>
      <c r="E28" s="1006" t="s">
        <v>605</v>
      </c>
      <c r="F28" s="108"/>
      <c r="G28" s="285">
        <f t="shared" si="0"/>
        <v>8400</v>
      </c>
      <c r="H28" s="286"/>
      <c r="I28" s="286"/>
      <c r="J28" s="286"/>
      <c r="K28" s="286"/>
      <c r="L28" s="286">
        <v>33600</v>
      </c>
      <c r="M28" s="287">
        <f t="shared" si="2"/>
        <v>33600</v>
      </c>
      <c r="N28" s="1005"/>
      <c r="O28" s="1005"/>
      <c r="P28" s="1005"/>
      <c r="Q28" s="1005">
        <v>42000</v>
      </c>
      <c r="R28" s="288">
        <f t="shared" si="1"/>
        <v>42000</v>
      </c>
    </row>
    <row r="29" spans="1:18" ht="40.5" customHeight="1" thickBot="1" x14ac:dyDescent="0.35">
      <c r="A29" s="279">
        <v>20</v>
      </c>
      <c r="B29" s="1007"/>
      <c r="C29" s="1284">
        <v>59</v>
      </c>
      <c r="D29" s="791" t="s">
        <v>636</v>
      </c>
      <c r="E29" s="1008" t="s">
        <v>605</v>
      </c>
      <c r="F29" s="215"/>
      <c r="G29" s="1019">
        <f t="shared" si="0"/>
        <v>6970</v>
      </c>
      <c r="H29" s="1009"/>
      <c r="I29" s="1009"/>
      <c r="J29" s="1009"/>
      <c r="K29" s="1009"/>
      <c r="L29" s="1009">
        <v>27880</v>
      </c>
      <c r="M29" s="1283">
        <f t="shared" si="2"/>
        <v>27880</v>
      </c>
      <c r="N29" s="995"/>
      <c r="O29" s="995"/>
      <c r="P29" s="995"/>
      <c r="Q29" s="995">
        <v>34850</v>
      </c>
      <c r="R29" s="288">
        <f t="shared" si="1"/>
        <v>34850</v>
      </c>
    </row>
    <row r="30" spans="1:18" ht="33" customHeight="1" thickBot="1" x14ac:dyDescent="0.35">
      <c r="A30" s="279">
        <v>21</v>
      </c>
      <c r="B30" s="1536" t="s">
        <v>97</v>
      </c>
      <c r="C30" s="1536"/>
      <c r="D30" s="1536"/>
      <c r="E30" s="1536"/>
      <c r="F30" s="107"/>
      <c r="G30" s="290">
        <f>SUM(G11:G27)</f>
        <v>110410</v>
      </c>
      <c r="H30" s="291">
        <f>SUM(H11:H29)</f>
        <v>27207</v>
      </c>
      <c r="I30" s="291">
        <f t="shared" ref="I30:L30" si="3">SUM(I11:I29)</f>
        <v>74087</v>
      </c>
      <c r="J30" s="291">
        <f t="shared" si="3"/>
        <v>39521</v>
      </c>
      <c r="K30" s="291">
        <f t="shared" si="3"/>
        <v>39392</v>
      </c>
      <c r="L30" s="291">
        <f t="shared" si="3"/>
        <v>6521869</v>
      </c>
      <c r="M30" s="798">
        <f>SUM(M11:M29)</f>
        <v>6674869</v>
      </c>
      <c r="N30" s="797">
        <f>SUM(N11:N29)</f>
        <v>38549</v>
      </c>
      <c r="O30" s="797">
        <f t="shared" ref="O30:P30" si="4">SUM(O11:O29)</f>
        <v>75336</v>
      </c>
      <c r="P30" s="797">
        <f t="shared" si="4"/>
        <v>72244</v>
      </c>
      <c r="Q30" s="797">
        <f>SUM(Q11:Q29)</f>
        <v>6641727</v>
      </c>
      <c r="R30" s="1010">
        <f>SUM(R11:R29)</f>
        <v>6827856</v>
      </c>
    </row>
    <row r="31" spans="1:18" ht="24.75" customHeight="1" x14ac:dyDescent="0.3">
      <c r="B31" s="1529" t="s">
        <v>429</v>
      </c>
      <c r="C31" s="1529"/>
      <c r="D31" s="1529"/>
      <c r="E31" s="1529"/>
      <c r="F31" s="1529"/>
      <c r="G31" s="1529"/>
      <c r="H31" s="1529"/>
      <c r="I31" s="1529"/>
      <c r="J31" s="1529"/>
      <c r="K31" s="1529"/>
      <c r="L31" s="1529"/>
      <c r="M31" s="1529"/>
      <c r="N31" s="1529"/>
      <c r="O31" s="1529"/>
      <c r="P31" s="1529"/>
      <c r="Q31" s="1529"/>
      <c r="R31" s="1529"/>
    </row>
    <row r="32" spans="1:18" s="268" customFormat="1" ht="24.75" customHeight="1" x14ac:dyDescent="0.3">
      <c r="B32" s="104"/>
      <c r="C32" s="104"/>
      <c r="D32" s="317"/>
      <c r="E32" s="105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</row>
    <row r="33" spans="2:18" s="268" customFormat="1" ht="24.75" customHeight="1" x14ac:dyDescent="0.3">
      <c r="B33" s="104"/>
      <c r="C33" s="104"/>
      <c r="D33" s="317"/>
      <c r="E33" s="105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</row>
    <row r="34" spans="2:18" s="268" customFormat="1" ht="24.75" customHeight="1" x14ac:dyDescent="0.3">
      <c r="B34" s="104"/>
      <c r="C34" s="104"/>
      <c r="D34" s="317"/>
      <c r="E34" s="105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</row>
    <row r="35" spans="2:18" s="268" customFormat="1" ht="24.75" customHeight="1" x14ac:dyDescent="0.3">
      <c r="B35" s="104"/>
      <c r="C35" s="104"/>
      <c r="D35" s="317"/>
      <c r="E35" s="105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</row>
    <row r="36" spans="2:18" s="268" customFormat="1" ht="24.75" customHeight="1" x14ac:dyDescent="0.3">
      <c r="B36" s="104"/>
      <c r="C36" s="104"/>
      <c r="D36" s="317"/>
      <c r="E36" s="105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</row>
    <row r="37" spans="2:18" s="268" customFormat="1" ht="24.75" customHeight="1" x14ac:dyDescent="0.3">
      <c r="B37" s="104"/>
      <c r="C37" s="104"/>
      <c r="D37" s="317"/>
      <c r="E37" s="105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</row>
  </sheetData>
  <mergeCells count="21">
    <mergeCell ref="N7:Q8"/>
    <mergeCell ref="B2:R2"/>
    <mergeCell ref="B3:R3"/>
    <mergeCell ref="B4:R4"/>
    <mergeCell ref="N5:R5"/>
    <mergeCell ref="B31:R31"/>
    <mergeCell ref="B1:D1"/>
    <mergeCell ref="E1:G1"/>
    <mergeCell ref="H1:J1"/>
    <mergeCell ref="K1:M1"/>
    <mergeCell ref="R7:R9"/>
    <mergeCell ref="G8:G9"/>
    <mergeCell ref="H8:H9"/>
    <mergeCell ref="I8:K8"/>
    <mergeCell ref="M8:M9"/>
    <mergeCell ref="B30:E30"/>
    <mergeCell ref="B7:B9"/>
    <mergeCell ref="C7:C9"/>
    <mergeCell ref="D7:D9"/>
    <mergeCell ref="E7:E9"/>
    <mergeCell ref="G7:M7"/>
  </mergeCells>
  <printOptions horizontalCentered="1"/>
  <pageMargins left="0.196527777777778" right="0.196527777777778" top="0.59027777777777801" bottom="0.59027777777777801" header="0.511811023622047" footer="0.51180555555555596"/>
  <pageSetup paperSize="9" scale="56" fitToHeight="0" orientation="landscape" verticalDpi="300" r:id="rId1"/>
  <headerFooter>
    <oddFooter>&amp;C- &amp;P -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view="pageBreakPreview" zoomScaleNormal="100" zoomScaleSheetLayoutView="100" workbookViewId="0">
      <selection activeCell="B1" sqref="B1:H1"/>
    </sheetView>
  </sheetViews>
  <sheetFormatPr defaultColWidth="31.28515625" defaultRowHeight="16.5" x14ac:dyDescent="0.3"/>
  <cols>
    <col min="1" max="1" width="3.7109375" style="60" customWidth="1"/>
    <col min="2" max="5" width="5.7109375" style="3" customWidth="1"/>
    <col min="6" max="6" width="50.28515625" style="15" customWidth="1"/>
    <col min="7" max="7" width="15.7109375" style="1139" customWidth="1"/>
    <col min="8" max="8" width="15.7109375" style="170" customWidth="1"/>
    <col min="9" max="9" width="12.28515625" style="1" customWidth="1"/>
    <col min="10" max="10" width="12.7109375" style="1" customWidth="1"/>
    <col min="11" max="16384" width="31.28515625" style="1"/>
  </cols>
  <sheetData>
    <row r="1" spans="1:8" x14ac:dyDescent="0.3">
      <c r="A1" s="70"/>
      <c r="B1" s="1550" t="s">
        <v>775</v>
      </c>
      <c r="C1" s="1550"/>
      <c r="D1" s="1550"/>
      <c r="E1" s="1550"/>
      <c r="F1" s="1550"/>
      <c r="G1" s="1550"/>
      <c r="H1" s="1550"/>
    </row>
    <row r="2" spans="1:8" ht="25.15" customHeight="1" x14ac:dyDescent="0.3">
      <c r="A2" s="70"/>
      <c r="B2" s="1305" t="s">
        <v>90</v>
      </c>
      <c r="C2" s="1305"/>
      <c r="D2" s="1305"/>
      <c r="E2" s="1305"/>
      <c r="F2" s="1305"/>
      <c r="G2" s="1305"/>
      <c r="H2" s="1305"/>
    </row>
    <row r="3" spans="1:8" ht="25.35" customHeight="1" x14ac:dyDescent="0.3">
      <c r="A3" s="70"/>
      <c r="B3" s="1305" t="s">
        <v>692</v>
      </c>
      <c r="C3" s="1305"/>
      <c r="D3" s="1305"/>
      <c r="E3" s="1305"/>
      <c r="F3" s="1305"/>
      <c r="G3" s="1305"/>
      <c r="H3" s="1305"/>
    </row>
    <row r="4" spans="1:8" ht="18" customHeight="1" x14ac:dyDescent="0.3">
      <c r="A4" s="70"/>
      <c r="B4" s="1099"/>
      <c r="C4" s="1099"/>
      <c r="D4" s="1099"/>
      <c r="E4" s="1099"/>
      <c r="F4" s="1099"/>
      <c r="G4" s="1100"/>
      <c r="H4" s="222" t="s">
        <v>0</v>
      </c>
    </row>
    <row r="5" spans="1:8" s="62" customFormat="1" ht="18" customHeight="1" thickBot="1" x14ac:dyDescent="0.35">
      <c r="A5" s="60"/>
      <c r="B5" s="59" t="s">
        <v>1</v>
      </c>
      <c r="C5" s="59" t="s">
        <v>3</v>
      </c>
      <c r="D5" s="59" t="s">
        <v>2</v>
      </c>
      <c r="E5" s="59" t="s">
        <v>4</v>
      </c>
      <c r="F5" s="61" t="s">
        <v>5</v>
      </c>
      <c r="G5" s="1136"/>
      <c r="H5" s="324" t="s">
        <v>15</v>
      </c>
    </row>
    <row r="6" spans="1:8" ht="72" customHeight="1" thickBot="1" x14ac:dyDescent="0.35">
      <c r="B6" s="1114" t="s">
        <v>18</v>
      </c>
      <c r="C6" s="1115" t="s">
        <v>19</v>
      </c>
      <c r="D6" s="1116" t="s">
        <v>314</v>
      </c>
      <c r="E6" s="1116" t="s">
        <v>315</v>
      </c>
      <c r="F6" s="1117" t="s">
        <v>6</v>
      </c>
      <c r="G6" s="1118" t="s">
        <v>705</v>
      </c>
      <c r="H6" s="1290" t="s">
        <v>704</v>
      </c>
    </row>
    <row r="7" spans="1:8" s="20" customFormat="1" ht="21.75" customHeight="1" x14ac:dyDescent="0.35">
      <c r="A7" s="59">
        <v>1</v>
      </c>
      <c r="B7" s="1551" t="s">
        <v>693</v>
      </c>
      <c r="C7" s="1552"/>
      <c r="D7" s="1552"/>
      <c r="E7" s="1552"/>
      <c r="F7" s="1552"/>
      <c r="G7" s="1552"/>
      <c r="H7" s="1553"/>
    </row>
    <row r="8" spans="1:8" s="20" customFormat="1" ht="22.5" customHeight="1" x14ac:dyDescent="0.35">
      <c r="A8" s="59">
        <v>2</v>
      </c>
      <c r="B8" s="1119"/>
      <c r="C8" s="1120"/>
      <c r="D8" s="1121">
        <v>1</v>
      </c>
      <c r="E8" s="1121">
        <v>2</v>
      </c>
      <c r="F8" s="1122" t="s">
        <v>134</v>
      </c>
      <c r="G8" s="1122"/>
      <c r="H8" s="1291"/>
    </row>
    <row r="9" spans="1:8" s="20" customFormat="1" x14ac:dyDescent="0.3">
      <c r="A9" s="59">
        <v>3</v>
      </c>
      <c r="B9" s="1119">
        <v>18</v>
      </c>
      <c r="C9" s="1120"/>
      <c r="D9" s="1120"/>
      <c r="E9" s="1120"/>
      <c r="F9" s="1123" t="s">
        <v>694</v>
      </c>
      <c r="G9" s="1137"/>
      <c r="H9" s="1291"/>
    </row>
    <row r="10" spans="1:8" s="20" customFormat="1" x14ac:dyDescent="0.3">
      <c r="A10" s="59">
        <v>4</v>
      </c>
      <c r="B10" s="1119">
        <v>18</v>
      </c>
      <c r="C10" s="1120"/>
      <c r="D10" s="1120"/>
      <c r="E10" s="1120"/>
      <c r="F10" s="1123" t="s">
        <v>416</v>
      </c>
      <c r="G10" s="1128">
        <v>11500</v>
      </c>
      <c r="H10" s="1291"/>
    </row>
    <row r="11" spans="1:8" s="20" customFormat="1" ht="22.5" customHeight="1" x14ac:dyDescent="0.35">
      <c r="A11" s="59">
        <v>5</v>
      </c>
      <c r="B11" s="1124"/>
      <c r="C11" s="1125"/>
      <c r="D11" s="1126">
        <v>1</v>
      </c>
      <c r="E11" s="1126">
        <v>8</v>
      </c>
      <c r="F11" s="1127" t="s">
        <v>695</v>
      </c>
      <c r="G11" s="1128"/>
      <c r="H11" s="1292"/>
    </row>
    <row r="12" spans="1:8" s="20" customFormat="1" ht="17.25" thickBot="1" x14ac:dyDescent="0.35">
      <c r="A12" s="59">
        <v>6</v>
      </c>
      <c r="B12" s="1124">
        <v>18</v>
      </c>
      <c r="C12" s="1125"/>
      <c r="D12" s="1125"/>
      <c r="E12" s="1125"/>
      <c r="F12" s="1129" t="s">
        <v>95</v>
      </c>
      <c r="G12" s="1128">
        <v>21912</v>
      </c>
      <c r="H12" s="1292">
        <v>20912</v>
      </c>
    </row>
    <row r="13" spans="1:8" s="20" customFormat="1" ht="34.5" customHeight="1" thickTop="1" thickBot="1" x14ac:dyDescent="0.35">
      <c r="A13" s="59">
        <v>7</v>
      </c>
      <c r="B13" s="1130"/>
      <c r="C13" s="1131"/>
      <c r="D13" s="1131"/>
      <c r="E13" s="1131"/>
      <c r="F13" s="1132" t="s">
        <v>696</v>
      </c>
      <c r="G13" s="1141">
        <f>SUM(G9:G12)</f>
        <v>33412</v>
      </c>
      <c r="H13" s="1293">
        <f>SUM(H10:H12)</f>
        <v>20912</v>
      </c>
    </row>
    <row r="14" spans="1:8" s="20" customFormat="1" ht="21.75" customHeight="1" x14ac:dyDescent="0.35">
      <c r="A14" s="59">
        <v>8</v>
      </c>
      <c r="B14" s="1551" t="s">
        <v>697</v>
      </c>
      <c r="C14" s="1552"/>
      <c r="D14" s="1552"/>
      <c r="E14" s="1552"/>
      <c r="F14" s="1552"/>
      <c r="G14" s="1552"/>
      <c r="H14" s="1553"/>
    </row>
    <row r="15" spans="1:8" s="20" customFormat="1" ht="22.5" customHeight="1" x14ac:dyDescent="0.35">
      <c r="A15" s="59">
        <v>9</v>
      </c>
      <c r="B15" s="1119"/>
      <c r="C15" s="1120"/>
      <c r="D15" s="1121">
        <v>1</v>
      </c>
      <c r="E15" s="1120"/>
      <c r="F15" s="1122" t="s">
        <v>35</v>
      </c>
      <c r="G15" s="1122"/>
      <c r="H15" s="1291"/>
    </row>
    <row r="16" spans="1:8" s="20" customFormat="1" ht="33" x14ac:dyDescent="0.3">
      <c r="A16" s="59">
        <v>10</v>
      </c>
      <c r="B16" s="1124"/>
      <c r="C16" s="1125"/>
      <c r="D16" s="1125"/>
      <c r="E16" s="1125"/>
      <c r="F16" s="1294" t="s">
        <v>698</v>
      </c>
      <c r="G16" s="1128">
        <v>500</v>
      </c>
      <c r="H16" s="1292"/>
    </row>
    <row r="17" spans="1:8" s="20" customFormat="1" ht="22.5" customHeight="1" x14ac:dyDescent="0.35">
      <c r="A17" s="59">
        <v>11</v>
      </c>
      <c r="B17" s="1119"/>
      <c r="C17" s="1120"/>
      <c r="D17" s="1121">
        <v>1</v>
      </c>
      <c r="E17" s="1121">
        <v>6</v>
      </c>
      <c r="F17" s="1122" t="s">
        <v>301</v>
      </c>
      <c r="G17" s="1128"/>
      <c r="H17" s="1291"/>
    </row>
    <row r="18" spans="1:8" s="20" customFormat="1" x14ac:dyDescent="0.3">
      <c r="A18" s="59">
        <v>12</v>
      </c>
      <c r="B18" s="1124">
        <v>18</v>
      </c>
      <c r="C18" s="1125"/>
      <c r="D18" s="1125"/>
      <c r="E18" s="1125"/>
      <c r="F18" s="33" t="s">
        <v>699</v>
      </c>
      <c r="G18" s="1128">
        <v>20912</v>
      </c>
      <c r="H18" s="1292">
        <v>20912</v>
      </c>
    </row>
    <row r="19" spans="1:8" s="20" customFormat="1" x14ac:dyDescent="0.3">
      <c r="A19" s="59">
        <v>13</v>
      </c>
      <c r="B19" s="1124"/>
      <c r="C19" s="1125"/>
      <c r="D19" s="1125"/>
      <c r="E19" s="1125"/>
      <c r="F19" s="1133"/>
      <c r="G19" s="1128"/>
      <c r="H19" s="1292"/>
    </row>
    <row r="20" spans="1:8" s="20" customFormat="1" ht="22.5" customHeight="1" x14ac:dyDescent="0.35">
      <c r="A20" s="59">
        <v>14</v>
      </c>
      <c r="B20" s="1119"/>
      <c r="C20" s="1120"/>
      <c r="D20" s="1121">
        <v>2</v>
      </c>
      <c r="E20" s="1120"/>
      <c r="F20" s="1122" t="s">
        <v>120</v>
      </c>
      <c r="G20" s="1128"/>
      <c r="H20" s="1291"/>
    </row>
    <row r="21" spans="1:8" s="20" customFormat="1" x14ac:dyDescent="0.3">
      <c r="A21" s="59">
        <v>15</v>
      </c>
      <c r="B21" s="1124"/>
      <c r="C21" s="1125"/>
      <c r="D21" s="1125"/>
      <c r="E21" s="1125"/>
      <c r="F21" s="33" t="s">
        <v>700</v>
      </c>
      <c r="G21" s="1128">
        <v>7000</v>
      </c>
      <c r="H21" s="1292"/>
    </row>
    <row r="22" spans="1:8" s="20" customFormat="1" x14ac:dyDescent="0.3">
      <c r="A22" s="59">
        <v>16</v>
      </c>
      <c r="B22" s="1124"/>
      <c r="C22" s="1125"/>
      <c r="D22" s="1125"/>
      <c r="E22" s="1125"/>
      <c r="F22" s="1134" t="s">
        <v>701</v>
      </c>
      <c r="G22" s="1128">
        <v>5000</v>
      </c>
      <c r="H22" s="1292"/>
    </row>
    <row r="23" spans="1:8" s="20" customFormat="1" ht="17.25" thickBot="1" x14ac:dyDescent="0.35">
      <c r="A23" s="59">
        <v>17</v>
      </c>
      <c r="B23" s="1124"/>
      <c r="C23" s="1125"/>
      <c r="D23" s="1125"/>
      <c r="E23" s="1125"/>
      <c r="F23" s="1133"/>
      <c r="G23" s="1138"/>
      <c r="H23" s="1292"/>
    </row>
    <row r="24" spans="1:8" s="20" customFormat="1" ht="34.5" customHeight="1" thickTop="1" thickBot="1" x14ac:dyDescent="0.35">
      <c r="A24" s="59">
        <v>18</v>
      </c>
      <c r="B24" s="1130"/>
      <c r="C24" s="1131"/>
      <c r="D24" s="1131"/>
      <c r="E24" s="1131"/>
      <c r="F24" s="1132" t="s">
        <v>702</v>
      </c>
      <c r="G24" s="1141">
        <f>SUM(G16:G23)</f>
        <v>33412</v>
      </c>
      <c r="H24" s="1293">
        <f>SUM(H15:H23)</f>
        <v>20912</v>
      </c>
    </row>
    <row r="25" spans="1:8" x14ac:dyDescent="0.2">
      <c r="A25" s="59"/>
    </row>
    <row r="26" spans="1:8" ht="25.5" customHeight="1" x14ac:dyDescent="0.2">
      <c r="A26" s="59"/>
    </row>
    <row r="27" spans="1:8" x14ac:dyDescent="0.2">
      <c r="A27" s="59"/>
    </row>
    <row r="28" spans="1:8" ht="17.25" x14ac:dyDescent="0.2">
      <c r="A28" s="59"/>
      <c r="F28" s="17"/>
      <c r="G28" s="1140"/>
      <c r="H28" s="1135"/>
    </row>
    <row r="29" spans="1:8" s="12" customFormat="1" ht="17.25" x14ac:dyDescent="0.2">
      <c r="A29" s="59"/>
      <c r="B29" s="3"/>
      <c r="C29" s="3"/>
      <c r="D29" s="3"/>
      <c r="E29" s="3"/>
      <c r="F29" s="15"/>
      <c r="G29" s="1139"/>
      <c r="H29" s="170"/>
    </row>
    <row r="30" spans="1:8" x14ac:dyDescent="0.2">
      <c r="A30" s="59"/>
    </row>
    <row r="31" spans="1:8" s="12" customFormat="1" ht="17.25" x14ac:dyDescent="0.2">
      <c r="A31" s="59"/>
      <c r="B31" s="3"/>
      <c r="C31" s="3"/>
      <c r="D31" s="3"/>
      <c r="E31" s="3"/>
      <c r="F31" s="15"/>
      <c r="G31" s="1139"/>
      <c r="H31" s="170"/>
    </row>
    <row r="32" spans="1:8" x14ac:dyDescent="0.2">
      <c r="A32" s="59"/>
    </row>
    <row r="33" spans="1:8" s="12" customFormat="1" ht="17.25" x14ac:dyDescent="0.2">
      <c r="A33" s="59"/>
      <c r="B33" s="3"/>
      <c r="C33" s="3"/>
      <c r="D33" s="3"/>
      <c r="E33" s="3"/>
      <c r="F33" s="15"/>
      <c r="G33" s="1139"/>
      <c r="H33" s="170"/>
    </row>
    <row r="34" spans="1:8" x14ac:dyDescent="0.2">
      <c r="A34" s="59"/>
    </row>
    <row r="35" spans="1:8" x14ac:dyDescent="0.2">
      <c r="A35" s="59"/>
    </row>
    <row r="36" spans="1:8" x14ac:dyDescent="0.2">
      <c r="A36" s="59"/>
    </row>
    <row r="37" spans="1:8" x14ac:dyDescent="0.2">
      <c r="A37" s="59"/>
      <c r="H37" s="401"/>
    </row>
    <row r="38" spans="1:8" x14ac:dyDescent="0.2">
      <c r="A38" s="59"/>
      <c r="H38" s="401"/>
    </row>
    <row r="39" spans="1:8" x14ac:dyDescent="0.2">
      <c r="A39" s="59"/>
      <c r="H39" s="401"/>
    </row>
    <row r="40" spans="1:8" x14ac:dyDescent="0.2">
      <c r="A40" s="59"/>
      <c r="H40" s="401"/>
    </row>
    <row r="41" spans="1:8" x14ac:dyDescent="0.2">
      <c r="A41" s="59"/>
      <c r="H41" s="401"/>
    </row>
    <row r="42" spans="1:8" x14ac:dyDescent="0.2">
      <c r="A42" s="59"/>
      <c r="H42" s="401"/>
    </row>
    <row r="43" spans="1:8" x14ac:dyDescent="0.2">
      <c r="A43" s="59"/>
      <c r="H43" s="401"/>
    </row>
    <row r="44" spans="1:8" x14ac:dyDescent="0.3">
      <c r="H44" s="401"/>
    </row>
    <row r="48" spans="1:8" s="12" customFormat="1" ht="17.25" x14ac:dyDescent="0.3">
      <c r="A48" s="126"/>
      <c r="B48" s="3"/>
      <c r="C48" s="3"/>
      <c r="D48" s="3"/>
      <c r="E48" s="3"/>
      <c r="F48" s="15"/>
      <c r="G48" s="1139"/>
      <c r="H48" s="170"/>
    </row>
    <row r="57" spans="1:11" s="5" customFormat="1" x14ac:dyDescent="0.3">
      <c r="A57" s="60"/>
      <c r="B57" s="3"/>
      <c r="C57" s="3"/>
      <c r="D57" s="3"/>
      <c r="E57" s="3"/>
      <c r="F57" s="15"/>
      <c r="G57" s="1139"/>
      <c r="H57" s="170"/>
      <c r="I57" s="1"/>
      <c r="J57" s="1"/>
      <c r="K57" s="1"/>
    </row>
    <row r="58" spans="1:11" s="5" customFormat="1" x14ac:dyDescent="0.3">
      <c r="A58" s="60"/>
      <c r="B58" s="3"/>
      <c r="C58" s="3"/>
      <c r="D58" s="3"/>
      <c r="E58" s="3"/>
      <c r="F58" s="15"/>
      <c r="G58" s="1139"/>
      <c r="H58" s="170"/>
      <c r="I58" s="1"/>
      <c r="J58" s="1"/>
      <c r="K58" s="1"/>
    </row>
    <row r="59" spans="1:11" s="5" customFormat="1" x14ac:dyDescent="0.3">
      <c r="A59" s="60"/>
      <c r="B59" s="3"/>
      <c r="C59" s="3"/>
      <c r="D59" s="3"/>
      <c r="E59" s="3"/>
      <c r="F59" s="15"/>
      <c r="G59" s="1139"/>
      <c r="H59" s="170"/>
      <c r="I59" s="1"/>
      <c r="J59" s="1"/>
      <c r="K59" s="1"/>
    </row>
    <row r="60" spans="1:11" s="5" customFormat="1" x14ac:dyDescent="0.3">
      <c r="A60" s="60"/>
      <c r="B60" s="3"/>
      <c r="C60" s="3"/>
      <c r="D60" s="3"/>
      <c r="E60" s="3"/>
      <c r="F60" s="15"/>
      <c r="G60" s="1139"/>
      <c r="H60" s="170"/>
      <c r="I60" s="1"/>
      <c r="J60" s="1"/>
      <c r="K60" s="1"/>
    </row>
    <row r="61" spans="1:11" s="5" customFormat="1" x14ac:dyDescent="0.3">
      <c r="A61" s="60"/>
      <c r="B61" s="3"/>
      <c r="C61" s="3"/>
      <c r="D61" s="3"/>
      <c r="E61" s="3"/>
      <c r="F61" s="15"/>
      <c r="G61" s="1139"/>
      <c r="H61" s="170"/>
      <c r="I61" s="1"/>
      <c r="J61" s="1"/>
      <c r="K61" s="1"/>
    </row>
    <row r="62" spans="1:11" s="5" customFormat="1" x14ac:dyDescent="0.3">
      <c r="A62" s="60"/>
      <c r="B62" s="3"/>
      <c r="C62" s="3"/>
      <c r="D62" s="3"/>
      <c r="E62" s="3"/>
      <c r="F62" s="15"/>
      <c r="G62" s="1139"/>
      <c r="H62" s="170"/>
      <c r="I62" s="1"/>
      <c r="J62" s="1"/>
      <c r="K62" s="1"/>
    </row>
    <row r="63" spans="1:11" s="5" customFormat="1" x14ac:dyDescent="0.3">
      <c r="A63" s="60"/>
      <c r="B63" s="3"/>
      <c r="C63" s="3"/>
      <c r="D63" s="3"/>
      <c r="E63" s="3"/>
      <c r="F63" s="15"/>
      <c r="G63" s="1139"/>
      <c r="H63" s="170"/>
      <c r="I63" s="1"/>
      <c r="J63" s="1"/>
      <c r="K63" s="1"/>
    </row>
    <row r="64" spans="1:11" s="5" customFormat="1" x14ac:dyDescent="0.3">
      <c r="A64" s="60"/>
      <c r="B64" s="3"/>
      <c r="C64" s="3"/>
      <c r="D64" s="3"/>
      <c r="E64" s="3"/>
      <c r="F64" s="15"/>
      <c r="G64" s="1139"/>
      <c r="H64" s="170"/>
      <c r="I64" s="1"/>
      <c r="J64" s="1"/>
      <c r="K64" s="1"/>
    </row>
  </sheetData>
  <mergeCells count="5">
    <mergeCell ref="B1:H1"/>
    <mergeCell ref="B2:H2"/>
    <mergeCell ref="B3:H3"/>
    <mergeCell ref="B7:H7"/>
    <mergeCell ref="B14:H14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72" orientation="portrait" r:id="rId1"/>
  <headerFooter alignWithMargins="0">
    <oddFooter>&amp;C-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view="pageBreakPreview" zoomScaleNormal="100" zoomScaleSheetLayoutView="100" workbookViewId="0">
      <selection activeCell="B1" sqref="B1:E1"/>
    </sheetView>
  </sheetViews>
  <sheetFormatPr defaultColWidth="9.28515625" defaultRowHeight="16.5" x14ac:dyDescent="0.3"/>
  <cols>
    <col min="1" max="1" width="3.7109375" style="246" customWidth="1"/>
    <col min="2" max="2" width="5.7109375" style="54" customWidth="1"/>
    <col min="3" max="4" width="5.7109375" style="32" customWidth="1"/>
    <col min="5" max="5" width="59.7109375" style="24" customWidth="1"/>
    <col min="6" max="8" width="13.7109375" style="24" customWidth="1"/>
    <col min="9" max="9" width="15.7109375" style="24" customWidth="1"/>
    <col min="10" max="10" width="10.28515625" style="24" bestFit="1" customWidth="1"/>
    <col min="11" max="11" width="12.5703125" style="24" customWidth="1"/>
    <col min="12" max="16384" width="9.28515625" style="24"/>
  </cols>
  <sheetData>
    <row r="1" spans="1:9" x14ac:dyDescent="0.3">
      <c r="B1" s="1306" t="s">
        <v>764</v>
      </c>
      <c r="C1" s="1306"/>
      <c r="D1" s="1306"/>
      <c r="E1" s="1306"/>
      <c r="G1" s="1159"/>
    </row>
    <row r="2" spans="1:9" x14ac:dyDescent="0.3">
      <c r="B2" s="44"/>
      <c r="C2" s="44"/>
      <c r="D2" s="44"/>
      <c r="E2" s="44"/>
      <c r="G2" s="1159"/>
    </row>
    <row r="3" spans="1:9" s="25" customFormat="1" ht="25.15" customHeight="1" x14ac:dyDescent="0.2">
      <c r="A3" s="246"/>
      <c r="B3" s="1307" t="s">
        <v>128</v>
      </c>
      <c r="C3" s="1307"/>
      <c r="D3" s="1307"/>
      <c r="E3" s="1307"/>
      <c r="F3" s="1307"/>
      <c r="G3" s="1307"/>
      <c r="H3" s="1307"/>
      <c r="I3" s="1307"/>
    </row>
    <row r="4" spans="1:9" s="25" customFormat="1" ht="25.15" customHeight="1" x14ac:dyDescent="0.2">
      <c r="A4" s="246"/>
      <c r="B4" s="1307" t="s">
        <v>707</v>
      </c>
      <c r="C4" s="1307"/>
      <c r="D4" s="1307"/>
      <c r="E4" s="1307"/>
      <c r="F4" s="1307"/>
      <c r="G4" s="1307"/>
      <c r="H4" s="1307"/>
      <c r="I4" s="1307"/>
    </row>
    <row r="5" spans="1:9" ht="17.25" x14ac:dyDescent="0.35">
      <c r="D5" s="37"/>
      <c r="E5" s="37"/>
      <c r="F5" s="37"/>
      <c r="G5" s="1159"/>
      <c r="I5" s="980" t="s">
        <v>0</v>
      </c>
    </row>
    <row r="6" spans="1:9" s="247" customFormat="1" ht="15" thickBot="1" x14ac:dyDescent="0.35">
      <c r="A6" s="246"/>
      <c r="B6" s="978" t="s">
        <v>1</v>
      </c>
      <c r="C6" s="247" t="s">
        <v>3</v>
      </c>
      <c r="D6" s="247" t="s">
        <v>2</v>
      </c>
      <c r="E6" s="247" t="s">
        <v>4</v>
      </c>
      <c r="F6" s="247" t="s">
        <v>5</v>
      </c>
      <c r="G6" s="247" t="s">
        <v>15</v>
      </c>
      <c r="H6" s="979" t="s">
        <v>16</v>
      </c>
      <c r="I6" s="979" t="s">
        <v>17</v>
      </c>
    </row>
    <row r="7" spans="1:9" s="26" customFormat="1" ht="80.099999999999994" customHeight="1" thickBot="1" x14ac:dyDescent="0.25">
      <c r="A7" s="246"/>
      <c r="B7" s="151" t="s">
        <v>157</v>
      </c>
      <c r="C7" s="141" t="s">
        <v>314</v>
      </c>
      <c r="D7" s="141" t="s">
        <v>316</v>
      </c>
      <c r="E7" s="152" t="s">
        <v>6</v>
      </c>
      <c r="F7" s="1144" t="s">
        <v>709</v>
      </c>
      <c r="G7" s="1144" t="s">
        <v>532</v>
      </c>
      <c r="H7" s="1160" t="s">
        <v>619</v>
      </c>
      <c r="I7" s="111" t="s">
        <v>581</v>
      </c>
    </row>
    <row r="8" spans="1:9" s="30" customFormat="1" ht="30" customHeight="1" x14ac:dyDescent="0.35">
      <c r="A8" s="246">
        <v>1</v>
      </c>
      <c r="B8" s="137" t="s">
        <v>293</v>
      </c>
      <c r="C8" s="28"/>
      <c r="D8" s="27"/>
      <c r="E8" s="29" t="s">
        <v>158</v>
      </c>
      <c r="F8" s="1158">
        <f>SUM(F9:F10)</f>
        <v>13552260</v>
      </c>
      <c r="G8" s="1158">
        <f>SUM(G9:G10)</f>
        <v>14196982</v>
      </c>
      <c r="H8" s="1158">
        <f>SUM(H9:H10)</f>
        <v>16813381</v>
      </c>
      <c r="I8" s="117">
        <f>SUM(I9:I10)</f>
        <v>16153314</v>
      </c>
    </row>
    <row r="9" spans="1:9" ht="26.1" customHeight="1" x14ac:dyDescent="0.3">
      <c r="A9" s="246">
        <v>2</v>
      </c>
      <c r="B9" s="31"/>
      <c r="C9" s="32">
        <v>1</v>
      </c>
      <c r="E9" s="24" t="s">
        <v>35</v>
      </c>
      <c r="F9" s="24">
        <v>13083406</v>
      </c>
      <c r="G9" s="24">
        <v>13949288</v>
      </c>
      <c r="H9" s="24">
        <v>16258540</v>
      </c>
      <c r="I9" s="118">
        <f>'4.Inki'!K97+'4.Inki'!L97+'4.Inki'!M97+'4.Inki'!O97</f>
        <v>15968476</v>
      </c>
    </row>
    <row r="10" spans="1:9" ht="25.5" customHeight="1" x14ac:dyDescent="0.3">
      <c r="A10" s="246">
        <v>3</v>
      </c>
      <c r="B10" s="31"/>
      <c r="C10" s="32">
        <v>2</v>
      </c>
      <c r="E10" s="24" t="s">
        <v>120</v>
      </c>
      <c r="F10" s="24">
        <f>SUM(F11:F13)</f>
        <v>468854</v>
      </c>
      <c r="G10" s="24">
        <f>SUM(G11:G13)</f>
        <v>247694</v>
      </c>
      <c r="H10" s="24">
        <f>SUM(H11:H13)</f>
        <v>554841</v>
      </c>
      <c r="I10" s="118">
        <f>SUM(I11:I13)</f>
        <v>184838</v>
      </c>
    </row>
    <row r="11" spans="1:9" x14ac:dyDescent="0.3">
      <c r="A11" s="246">
        <v>4</v>
      </c>
      <c r="B11" s="31"/>
      <c r="D11" s="32">
        <v>7</v>
      </c>
      <c r="E11" s="33" t="s">
        <v>181</v>
      </c>
      <c r="F11" s="24">
        <v>466880</v>
      </c>
      <c r="G11" s="24">
        <v>247694</v>
      </c>
      <c r="H11" s="24">
        <v>553341</v>
      </c>
      <c r="I11" s="118">
        <f>'4.Inki'!P97</f>
        <v>184838</v>
      </c>
    </row>
    <row r="12" spans="1:9" x14ac:dyDescent="0.3">
      <c r="A12" s="246">
        <v>5</v>
      </c>
      <c r="B12" s="31"/>
      <c r="D12" s="32">
        <v>8</v>
      </c>
      <c r="E12" s="33" t="s">
        <v>121</v>
      </c>
      <c r="F12" s="24">
        <v>1974</v>
      </c>
      <c r="I12" s="118"/>
    </row>
    <row r="13" spans="1:9" x14ac:dyDescent="0.3">
      <c r="A13" s="246">
        <v>6</v>
      </c>
      <c r="B13" s="31"/>
      <c r="D13" s="32">
        <v>9</v>
      </c>
      <c r="E13" s="33" t="s">
        <v>182</v>
      </c>
      <c r="H13" s="24">
        <v>1500</v>
      </c>
      <c r="I13" s="118"/>
    </row>
    <row r="14" spans="1:9" s="30" customFormat="1" ht="30" customHeight="1" x14ac:dyDescent="0.35">
      <c r="A14" s="246">
        <v>7</v>
      </c>
      <c r="B14" s="138" t="s">
        <v>294</v>
      </c>
      <c r="C14" s="35"/>
      <c r="D14" s="35"/>
      <c r="E14" s="36" t="s">
        <v>95</v>
      </c>
      <c r="F14" s="36">
        <f>SUM(F15:F16,F30,F31)</f>
        <v>20194264</v>
      </c>
      <c r="G14" s="36">
        <f>SUM(G15:G16,G30,G31)</f>
        <v>24237463</v>
      </c>
      <c r="H14" s="36">
        <f>SUM(H15:H16,H30,H31)</f>
        <v>34638305</v>
      </c>
      <c r="I14" s="119">
        <f>SUM(I15:I16,I30,I31)</f>
        <v>30354210</v>
      </c>
    </row>
    <row r="15" spans="1:9" s="30" customFormat="1" ht="25.5" customHeight="1" x14ac:dyDescent="0.35">
      <c r="A15" s="246">
        <v>8</v>
      </c>
      <c r="B15" s="31"/>
      <c r="C15" s="32">
        <v>1</v>
      </c>
      <c r="D15" s="37"/>
      <c r="E15" s="30" t="s">
        <v>35</v>
      </c>
      <c r="F15" s="30">
        <v>13385531</v>
      </c>
      <c r="G15" s="30">
        <v>15280082</v>
      </c>
      <c r="H15" s="30">
        <v>17465136</v>
      </c>
      <c r="I15" s="120">
        <f>'6.Önk.műk.'!I425+'7.Beruh.'!I82+'8.Felúj.'!I28+'9.Ter.Fejl.Alap'!H62+'10.Projekt'!I95+'10.Projekt'!J95+'10.Projekt'!K95+'10.Projekt'!L95</f>
        <v>15780380</v>
      </c>
    </row>
    <row r="16" spans="1:9" ht="25.5" customHeight="1" x14ac:dyDescent="0.35">
      <c r="A16" s="246">
        <v>9</v>
      </c>
      <c r="B16" s="31"/>
      <c r="C16" s="37"/>
      <c r="D16" s="37"/>
      <c r="E16" s="30" t="s">
        <v>159</v>
      </c>
      <c r="F16" s="30">
        <f>SUM(F17,F25)</f>
        <v>0</v>
      </c>
      <c r="G16" s="30">
        <f>SUM(G17,G25)</f>
        <v>749826</v>
      </c>
      <c r="H16" s="30">
        <f>SUM(H17,H25)</f>
        <v>388442</v>
      </c>
      <c r="I16" s="120">
        <f>SUM(I17,I25)</f>
        <v>441965</v>
      </c>
    </row>
    <row r="17" spans="1:9" s="40" customFormat="1" ht="25.5" customHeight="1" x14ac:dyDescent="0.35">
      <c r="A17" s="246">
        <v>10</v>
      </c>
      <c r="B17" s="139"/>
      <c r="C17" s="32">
        <v>1</v>
      </c>
      <c r="D17" s="32">
        <v>6</v>
      </c>
      <c r="E17" s="39" t="s">
        <v>301</v>
      </c>
      <c r="F17" s="40">
        <f>SUM(F18:F24)</f>
        <v>0</v>
      </c>
      <c r="G17" s="40">
        <f>SUM(G18:G24)</f>
        <v>747344</v>
      </c>
      <c r="H17" s="40">
        <f>SUM(H18:H24)</f>
        <v>379334</v>
      </c>
      <c r="I17" s="121">
        <f>SUM(I18:I24)</f>
        <v>432857</v>
      </c>
    </row>
    <row r="18" spans="1:9" x14ac:dyDescent="0.3">
      <c r="A18" s="246">
        <v>11</v>
      </c>
      <c r="B18" s="31"/>
      <c r="E18" s="41" t="s">
        <v>567</v>
      </c>
      <c r="G18" s="24">
        <v>255932</v>
      </c>
      <c r="H18" s="24">
        <v>150239</v>
      </c>
      <c r="I18" s="118">
        <v>265745</v>
      </c>
    </row>
    <row r="19" spans="1:9" x14ac:dyDescent="0.3">
      <c r="A19" s="246">
        <v>12</v>
      </c>
      <c r="B19" s="31"/>
      <c r="E19" s="41" t="s">
        <v>379</v>
      </c>
      <c r="G19" s="24">
        <v>36000</v>
      </c>
      <c r="I19" s="118">
        <v>36000</v>
      </c>
    </row>
    <row r="20" spans="1:9" x14ac:dyDescent="0.3">
      <c r="A20" s="246">
        <v>13</v>
      </c>
      <c r="B20" s="31"/>
      <c r="E20" s="41" t="s">
        <v>380</v>
      </c>
      <c r="G20" s="24">
        <v>265000</v>
      </c>
      <c r="H20" s="24">
        <v>197983</v>
      </c>
      <c r="I20" s="118"/>
    </row>
    <row r="21" spans="1:9" x14ac:dyDescent="0.3">
      <c r="A21" s="246">
        <v>14</v>
      </c>
      <c r="B21" s="31"/>
      <c r="E21" s="41" t="s">
        <v>310</v>
      </c>
      <c r="G21" s="24">
        <v>150000</v>
      </c>
      <c r="I21" s="118">
        <v>100000</v>
      </c>
    </row>
    <row r="22" spans="1:9" x14ac:dyDescent="0.3">
      <c r="A22" s="246">
        <v>15</v>
      </c>
      <c r="B22" s="31"/>
      <c r="E22" s="41" t="s">
        <v>568</v>
      </c>
      <c r="G22" s="24">
        <v>21912</v>
      </c>
      <c r="H22" s="24">
        <v>20912</v>
      </c>
      <c r="I22" s="118">
        <v>20912</v>
      </c>
    </row>
    <row r="23" spans="1:9" x14ac:dyDescent="0.3">
      <c r="A23" s="246">
        <v>16</v>
      </c>
      <c r="B23" s="31"/>
      <c r="E23" s="41" t="s">
        <v>419</v>
      </c>
      <c r="G23" s="24">
        <v>8500</v>
      </c>
      <c r="H23" s="24">
        <v>10200</v>
      </c>
      <c r="I23" s="118">
        <v>10200</v>
      </c>
    </row>
    <row r="24" spans="1:9" x14ac:dyDescent="0.3">
      <c r="A24" s="246">
        <v>17</v>
      </c>
      <c r="B24" s="31"/>
      <c r="E24" s="41" t="s">
        <v>420</v>
      </c>
      <c r="G24" s="24">
        <v>10000</v>
      </c>
      <c r="I24" s="118"/>
    </row>
    <row r="25" spans="1:9" s="40" customFormat="1" ht="25.5" customHeight="1" x14ac:dyDescent="0.35">
      <c r="A25" s="246">
        <v>18</v>
      </c>
      <c r="B25" s="139"/>
      <c r="C25" s="32">
        <v>2</v>
      </c>
      <c r="D25" s="32">
        <v>10</v>
      </c>
      <c r="E25" s="39" t="s">
        <v>302</v>
      </c>
      <c r="F25" s="40">
        <f>SUM(F26:F28)</f>
        <v>0</v>
      </c>
      <c r="G25" s="40">
        <f>SUM(G26:G28)</f>
        <v>2482</v>
      </c>
      <c r="H25" s="40">
        <f>SUM(H26:H29)</f>
        <v>9108</v>
      </c>
      <c r="I25" s="121">
        <f>SUM(I26:I29)</f>
        <v>9108</v>
      </c>
    </row>
    <row r="26" spans="1:9" ht="17.25" x14ac:dyDescent="0.35">
      <c r="A26" s="246">
        <v>19</v>
      </c>
      <c r="B26" s="31"/>
      <c r="C26" s="38"/>
      <c r="E26" s="41" t="s">
        <v>355</v>
      </c>
      <c r="I26" s="118"/>
    </row>
    <row r="27" spans="1:9" ht="17.25" x14ac:dyDescent="0.35">
      <c r="A27" s="246">
        <v>20</v>
      </c>
      <c r="B27" s="31"/>
      <c r="C27" s="38"/>
      <c r="E27" s="218" t="s">
        <v>421</v>
      </c>
      <c r="G27" s="25">
        <v>2482</v>
      </c>
      <c r="H27" s="25">
        <v>2608</v>
      </c>
      <c r="I27" s="219">
        <v>2608</v>
      </c>
    </row>
    <row r="28" spans="1:9" ht="17.25" x14ac:dyDescent="0.35">
      <c r="A28" s="246">
        <v>21</v>
      </c>
      <c r="B28" s="31"/>
      <c r="C28" s="38"/>
      <c r="E28" s="218" t="s">
        <v>422</v>
      </c>
      <c r="G28" s="25"/>
      <c r="H28" s="25"/>
      <c r="I28" s="219"/>
    </row>
    <row r="29" spans="1:9" ht="17.25" x14ac:dyDescent="0.35">
      <c r="A29" s="246">
        <v>22</v>
      </c>
      <c r="B29" s="31"/>
      <c r="C29" s="38"/>
      <c r="E29" s="41" t="s">
        <v>708</v>
      </c>
      <c r="H29" s="24">
        <v>6500</v>
      </c>
      <c r="I29" s="118">
        <v>6500</v>
      </c>
    </row>
    <row r="30" spans="1:9" s="25" customFormat="1" ht="25.5" customHeight="1" x14ac:dyDescent="0.2">
      <c r="A30" s="246">
        <v>23</v>
      </c>
      <c r="B30" s="140"/>
      <c r="C30" s="42"/>
      <c r="D30" s="42"/>
      <c r="E30" s="43" t="s">
        <v>160</v>
      </c>
      <c r="F30" s="43"/>
      <c r="G30" s="43">
        <v>150000</v>
      </c>
      <c r="H30" s="43">
        <v>50000</v>
      </c>
      <c r="I30" s="122">
        <v>100000</v>
      </c>
    </row>
    <row r="31" spans="1:9" s="30" customFormat="1" ht="25.5" customHeight="1" x14ac:dyDescent="0.35">
      <c r="A31" s="246">
        <v>24</v>
      </c>
      <c r="B31" s="31"/>
      <c r="C31" s="32">
        <v>2</v>
      </c>
      <c r="D31" s="37"/>
      <c r="E31" s="30" t="s">
        <v>120</v>
      </c>
      <c r="F31" s="30">
        <f>SUM(F32:F34)</f>
        <v>6808733</v>
      </c>
      <c r="G31" s="30">
        <f>SUM(G32:G34)</f>
        <v>8057555</v>
      </c>
      <c r="H31" s="30">
        <f>SUM(H32:H34)</f>
        <v>16734727</v>
      </c>
      <c r="I31" s="120">
        <f>SUM(I32:I34)</f>
        <v>14031865</v>
      </c>
    </row>
    <row r="32" spans="1:9" x14ac:dyDescent="0.3">
      <c r="A32" s="246">
        <v>25</v>
      </c>
      <c r="B32" s="31"/>
      <c r="D32" s="32">
        <v>7</v>
      </c>
      <c r="E32" s="33" t="s">
        <v>181</v>
      </c>
      <c r="F32" s="24">
        <v>5665878</v>
      </c>
      <c r="G32" s="24">
        <v>7110614</v>
      </c>
      <c r="H32" s="24">
        <v>15330330</v>
      </c>
      <c r="I32" s="118">
        <f>'7.Beruh.'!J82+'9.Ter.Fejl.Alap'!I62+'10.Projekt'!M95</f>
        <v>13328401</v>
      </c>
    </row>
    <row r="33" spans="1:9" x14ac:dyDescent="0.3">
      <c r="A33" s="246">
        <v>26</v>
      </c>
      <c r="B33" s="31"/>
      <c r="D33" s="32">
        <v>8</v>
      </c>
      <c r="E33" s="33" t="s">
        <v>121</v>
      </c>
      <c r="F33" s="24">
        <v>632216</v>
      </c>
      <c r="G33" s="24">
        <v>358458</v>
      </c>
      <c r="H33" s="24">
        <v>661752</v>
      </c>
      <c r="I33" s="118">
        <f>'7.Beruh.'!K82+'10.Projekt'!N95</f>
        <v>457194</v>
      </c>
    </row>
    <row r="34" spans="1:9" x14ac:dyDescent="0.3">
      <c r="A34" s="246">
        <v>27</v>
      </c>
      <c r="B34" s="31"/>
      <c r="D34" s="32">
        <v>9</v>
      </c>
      <c r="E34" s="33" t="s">
        <v>182</v>
      </c>
      <c r="F34" s="24">
        <v>510639</v>
      </c>
      <c r="G34" s="24">
        <v>588483</v>
      </c>
      <c r="H34" s="24">
        <v>742645</v>
      </c>
      <c r="I34" s="118">
        <f>'8.Felúj.'!J28+'9.Ter.Fejl.Alap'!J62+'10.Projekt'!O95</f>
        <v>246270</v>
      </c>
    </row>
    <row r="35" spans="1:9" s="30" customFormat="1" ht="30" customHeight="1" x14ac:dyDescent="0.35">
      <c r="A35" s="246">
        <v>28</v>
      </c>
      <c r="B35" s="138" t="s">
        <v>294</v>
      </c>
      <c r="C35" s="35"/>
      <c r="D35" s="34"/>
      <c r="E35" s="36" t="s">
        <v>161</v>
      </c>
      <c r="F35" s="36">
        <f>SUM(F36:F37)</f>
        <v>0</v>
      </c>
      <c r="G35" s="36">
        <f>SUM(G36:G37)</f>
        <v>0</v>
      </c>
      <c r="H35" s="36">
        <f>SUM(H36:H37)</f>
        <v>0</v>
      </c>
      <c r="I35" s="119">
        <f>SUM(I36:I37)</f>
        <v>0</v>
      </c>
    </row>
    <row r="36" spans="1:9" ht="24" customHeight="1" x14ac:dyDescent="0.3">
      <c r="A36" s="246">
        <v>29</v>
      </c>
      <c r="B36" s="31"/>
      <c r="C36" s="32">
        <v>1</v>
      </c>
      <c r="E36" s="44" t="s">
        <v>35</v>
      </c>
      <c r="I36" s="118"/>
    </row>
    <row r="37" spans="1:9" ht="24" customHeight="1" thickBot="1" x14ac:dyDescent="0.35">
      <c r="A37" s="246">
        <v>30</v>
      </c>
      <c r="B37" s="31"/>
      <c r="C37" s="32">
        <v>2</v>
      </c>
      <c r="E37" s="239" t="s">
        <v>120</v>
      </c>
      <c r="I37" s="118"/>
    </row>
    <row r="38" spans="1:9" s="43" customFormat="1" ht="40.15" customHeight="1" thickBot="1" x14ac:dyDescent="0.25">
      <c r="A38" s="246">
        <v>31</v>
      </c>
      <c r="B38" s="48"/>
      <c r="C38" s="50"/>
      <c r="D38" s="49"/>
      <c r="E38" s="51" t="s">
        <v>162</v>
      </c>
      <c r="F38" s="51">
        <f>SUM(F8,F14,F35)</f>
        <v>33746524</v>
      </c>
      <c r="G38" s="51">
        <f>SUM(G8,G14,G35)</f>
        <v>38434445</v>
      </c>
      <c r="H38" s="51">
        <f>SUM(H8,H14,H35)</f>
        <v>51451686</v>
      </c>
      <c r="I38" s="124">
        <f>SUM(I8,I14,I35)</f>
        <v>46507524</v>
      </c>
    </row>
    <row r="39" spans="1:9" ht="30" customHeight="1" x14ac:dyDescent="0.35">
      <c r="A39" s="246">
        <v>32</v>
      </c>
      <c r="B39" s="31" t="s">
        <v>294</v>
      </c>
      <c r="E39" s="30" t="s">
        <v>163</v>
      </c>
      <c r="F39" s="30">
        <f>SUM(F44:F45,F40:F42)</f>
        <v>2304689</v>
      </c>
      <c r="G39" s="30">
        <f t="shared" ref="G39:H39" si="0">SUM(G44:G45,G40:G42)</f>
        <v>460233</v>
      </c>
      <c r="H39" s="30">
        <f t="shared" si="0"/>
        <v>10830346</v>
      </c>
      <c r="I39" s="120">
        <f>SUM(I44:I45,I40:I42)</f>
        <v>3427746</v>
      </c>
    </row>
    <row r="40" spans="1:9" x14ac:dyDescent="0.3">
      <c r="A40" s="246">
        <v>33</v>
      </c>
      <c r="B40" s="31"/>
      <c r="C40" s="32">
        <v>1</v>
      </c>
      <c r="E40" s="24" t="s">
        <v>164</v>
      </c>
      <c r="I40" s="118"/>
    </row>
    <row r="41" spans="1:9" x14ac:dyDescent="0.3">
      <c r="A41" s="246">
        <v>34</v>
      </c>
      <c r="B41" s="31"/>
      <c r="D41" s="32">
        <v>11</v>
      </c>
      <c r="E41" s="24" t="s">
        <v>533</v>
      </c>
      <c r="F41" s="24">
        <v>1500000</v>
      </c>
      <c r="H41" s="24">
        <v>7900000</v>
      </c>
      <c r="I41" s="118">
        <f>2410810+500000</f>
        <v>2910810</v>
      </c>
    </row>
    <row r="42" spans="1:9" x14ac:dyDescent="0.3">
      <c r="A42" s="246">
        <v>35</v>
      </c>
      <c r="B42" s="31"/>
      <c r="D42" s="32">
        <v>12</v>
      </c>
      <c r="E42" s="24" t="s">
        <v>210</v>
      </c>
      <c r="F42" s="24">
        <v>566850</v>
      </c>
      <c r="G42" s="24">
        <v>222394</v>
      </c>
      <c r="H42" s="24">
        <v>2692507</v>
      </c>
      <c r="I42" s="118">
        <f>279070+46+18</f>
        <v>279134</v>
      </c>
    </row>
    <row r="43" spans="1:9" x14ac:dyDescent="0.3">
      <c r="A43" s="246">
        <v>36</v>
      </c>
      <c r="B43" s="31"/>
      <c r="C43" s="32">
        <v>2</v>
      </c>
      <c r="E43" s="24" t="s">
        <v>165</v>
      </c>
      <c r="I43" s="118"/>
    </row>
    <row r="44" spans="1:9" x14ac:dyDescent="0.3">
      <c r="A44" s="246">
        <v>37</v>
      </c>
      <c r="B44" s="31"/>
      <c r="D44" s="32">
        <v>13</v>
      </c>
      <c r="E44" s="52" t="s">
        <v>166</v>
      </c>
      <c r="F44" s="24">
        <v>237839</v>
      </c>
      <c r="G44" s="24">
        <v>237839</v>
      </c>
      <c r="H44" s="24">
        <v>237839</v>
      </c>
      <c r="I44" s="118">
        <v>237802</v>
      </c>
    </row>
    <row r="45" spans="1:9" s="47" customFormat="1" ht="18" customHeight="1" thickBot="1" x14ac:dyDescent="0.25">
      <c r="A45" s="246">
        <v>38</v>
      </c>
      <c r="B45" s="45"/>
      <c r="C45" s="46"/>
      <c r="D45" s="46">
        <v>13</v>
      </c>
      <c r="E45" s="53" t="s">
        <v>167</v>
      </c>
      <c r="I45" s="123"/>
    </row>
    <row r="46" spans="1:9" s="43" customFormat="1" ht="40.15" customHeight="1" thickBot="1" x14ac:dyDescent="0.25">
      <c r="A46" s="246">
        <v>39</v>
      </c>
      <c r="B46" s="48"/>
      <c r="C46" s="50"/>
      <c r="D46" s="49"/>
      <c r="E46" s="51" t="s">
        <v>168</v>
      </c>
      <c r="F46" s="51">
        <f>SUM(F38:F39)</f>
        <v>36051213</v>
      </c>
      <c r="G46" s="51">
        <f>SUM(G38:G39)</f>
        <v>38894678</v>
      </c>
      <c r="H46" s="51">
        <f>SUM(H38:H39)</f>
        <v>62282032</v>
      </c>
      <c r="I46" s="124">
        <f>SUM(I38:I39)</f>
        <v>49935270</v>
      </c>
    </row>
    <row r="51" spans="1:8" ht="17.25" x14ac:dyDescent="0.35">
      <c r="D51" s="37"/>
      <c r="E51" s="30"/>
      <c r="F51" s="30"/>
      <c r="G51" s="30"/>
      <c r="H51" s="30"/>
    </row>
    <row r="62" spans="1:8" s="30" customFormat="1" ht="17.25" x14ac:dyDescent="0.35">
      <c r="A62" s="248"/>
      <c r="B62" s="54"/>
      <c r="C62" s="32"/>
      <c r="D62" s="37"/>
    </row>
    <row r="67" spans="1:4" s="30" customFormat="1" ht="17.25" x14ac:dyDescent="0.35">
      <c r="A67" s="248"/>
      <c r="B67" s="54"/>
      <c r="C67" s="32"/>
      <c r="D67" s="37"/>
    </row>
    <row r="69" spans="1:4" s="30" customFormat="1" ht="17.25" x14ac:dyDescent="0.35">
      <c r="A69" s="248"/>
      <c r="B69" s="54"/>
      <c r="C69" s="32"/>
      <c r="D69" s="37"/>
    </row>
  </sheetData>
  <mergeCells count="3">
    <mergeCell ref="B1:E1"/>
    <mergeCell ref="B3:I3"/>
    <mergeCell ref="B4:I4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70" fitToHeight="2" orientation="portrait" r:id="rId1"/>
  <headerFooter alignWithMargins="0">
    <oddFooter>&amp;C- &amp;P--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1"/>
  <sheetViews>
    <sheetView view="pageBreakPreview" zoomScaleNormal="100" zoomScaleSheetLayoutView="100" workbookViewId="0">
      <selection activeCell="B1" sqref="B1:E1"/>
    </sheetView>
  </sheetViews>
  <sheetFormatPr defaultColWidth="9.28515625" defaultRowHeight="12.75" x14ac:dyDescent="0.2"/>
  <cols>
    <col min="1" max="1" width="3.7109375" style="400" customWidth="1"/>
    <col min="2" max="3" width="5.7109375" customWidth="1"/>
    <col min="4" max="4" width="4.7109375" customWidth="1"/>
    <col min="5" max="5" width="51.7109375" customWidth="1"/>
    <col min="6" max="8" width="10.5703125" customWidth="1"/>
    <col min="9" max="9" width="13.5703125" customWidth="1"/>
    <col min="10" max="10" width="10" customWidth="1"/>
    <col min="11" max="11" width="14" bestFit="1" customWidth="1"/>
    <col min="12" max="12" width="11.7109375" customWidth="1"/>
    <col min="13" max="13" width="12.42578125" bestFit="1" customWidth="1"/>
    <col min="14" max="14" width="14" customWidth="1"/>
    <col min="15" max="16" width="12.7109375" customWidth="1"/>
    <col min="17" max="17" width="10.7109375" customWidth="1"/>
    <col min="18" max="18" width="12.7109375" style="381" customWidth="1"/>
  </cols>
  <sheetData>
    <row r="1" spans="1:19" s="326" customFormat="1" ht="18" customHeight="1" x14ac:dyDescent="0.2">
      <c r="A1" s="324"/>
      <c r="B1" s="1312" t="s">
        <v>765</v>
      </c>
      <c r="C1" s="1312"/>
      <c r="D1" s="1312"/>
      <c r="E1" s="1312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325"/>
      <c r="S1" s="170"/>
    </row>
    <row r="2" spans="1:19" s="326" customFormat="1" ht="18" customHeight="1" x14ac:dyDescent="0.2">
      <c r="A2" s="324"/>
      <c r="B2" s="966"/>
      <c r="C2" s="966"/>
      <c r="D2" s="966"/>
      <c r="E2" s="966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325"/>
      <c r="S2" s="170"/>
    </row>
    <row r="3" spans="1:19" s="326" customFormat="1" ht="24.75" customHeight="1" x14ac:dyDescent="0.2">
      <c r="A3" s="324"/>
      <c r="B3" s="1313" t="s">
        <v>754</v>
      </c>
      <c r="C3" s="1313"/>
      <c r="D3" s="1313"/>
      <c r="E3" s="1313"/>
      <c r="F3" s="1313"/>
      <c r="G3" s="1313"/>
      <c r="H3" s="1313"/>
      <c r="I3" s="1313"/>
      <c r="J3" s="1313"/>
      <c r="K3" s="1313"/>
      <c r="L3" s="1313"/>
      <c r="M3" s="1313"/>
      <c r="N3" s="1313"/>
      <c r="O3" s="1313"/>
      <c r="P3" s="1313"/>
      <c r="Q3" s="1313"/>
      <c r="R3" s="1313"/>
      <c r="S3" s="170"/>
    </row>
    <row r="4" spans="1:19" s="326" customFormat="1" ht="24.75" customHeight="1" x14ac:dyDescent="0.2">
      <c r="A4" s="324"/>
      <c r="B4" s="1313" t="s">
        <v>706</v>
      </c>
      <c r="C4" s="1313"/>
      <c r="D4" s="1313"/>
      <c r="E4" s="1313"/>
      <c r="F4" s="1313"/>
      <c r="G4" s="1313"/>
      <c r="H4" s="1313"/>
      <c r="I4" s="1313"/>
      <c r="J4" s="1313"/>
      <c r="K4" s="1313"/>
      <c r="L4" s="1313"/>
      <c r="M4" s="1313"/>
      <c r="N4" s="1313"/>
      <c r="O4" s="1313"/>
      <c r="P4" s="1313"/>
      <c r="Q4" s="1313"/>
      <c r="R4" s="1313"/>
      <c r="S4" s="170"/>
    </row>
    <row r="5" spans="1:19" ht="18" customHeight="1" x14ac:dyDescent="0.3">
      <c r="A5" s="324"/>
      <c r="B5" s="327"/>
      <c r="C5" s="101"/>
      <c r="D5" s="101"/>
      <c r="E5" s="101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72" t="s">
        <v>0</v>
      </c>
      <c r="S5" s="328"/>
    </row>
    <row r="6" spans="1:19" s="324" customFormat="1" ht="18" customHeight="1" thickBot="1" x14ac:dyDescent="0.25">
      <c r="B6" s="324" t="s">
        <v>1</v>
      </c>
      <c r="C6" s="324" t="s">
        <v>3</v>
      </c>
      <c r="D6" s="1314" t="s">
        <v>2</v>
      </c>
      <c r="E6" s="1314"/>
      <c r="F6" s="324" t="s">
        <v>4</v>
      </c>
      <c r="G6" s="324" t="s">
        <v>5</v>
      </c>
      <c r="H6" s="324" t="s">
        <v>15</v>
      </c>
      <c r="I6" s="324" t="s">
        <v>16</v>
      </c>
      <c r="J6" s="324" t="s">
        <v>17</v>
      </c>
      <c r="K6" s="324" t="s">
        <v>32</v>
      </c>
      <c r="L6" s="324" t="s">
        <v>28</v>
      </c>
      <c r="M6" s="324" t="s">
        <v>23</v>
      </c>
      <c r="N6" s="324" t="s">
        <v>33</v>
      </c>
      <c r="O6" s="324" t="s">
        <v>34</v>
      </c>
      <c r="P6" s="324" t="s">
        <v>117</v>
      </c>
      <c r="Q6" s="324" t="s">
        <v>118</v>
      </c>
      <c r="R6" s="324" t="s">
        <v>119</v>
      </c>
    </row>
    <row r="7" spans="1:19" s="327" customFormat="1" ht="30" customHeight="1" x14ac:dyDescent="0.2">
      <c r="A7" s="324"/>
      <c r="B7" s="1315" t="s">
        <v>18</v>
      </c>
      <c r="C7" s="1317" t="s">
        <v>19</v>
      </c>
      <c r="D7" s="1319" t="s">
        <v>6</v>
      </c>
      <c r="E7" s="1320"/>
      <c r="F7" s="1323" t="s">
        <v>603</v>
      </c>
      <c r="G7" s="1323" t="s">
        <v>532</v>
      </c>
      <c r="H7" s="1325" t="s">
        <v>619</v>
      </c>
      <c r="I7" s="1327" t="s">
        <v>718</v>
      </c>
      <c r="J7" s="1329" t="s">
        <v>103</v>
      </c>
      <c r="K7" s="1329"/>
      <c r="L7" s="1329"/>
      <c r="M7" s="1308" t="s">
        <v>104</v>
      </c>
      <c r="N7" s="1308"/>
      <c r="O7" s="1308"/>
      <c r="P7" s="1308" t="s">
        <v>208</v>
      </c>
      <c r="Q7" s="1308" t="s">
        <v>105</v>
      </c>
      <c r="R7" s="1308"/>
    </row>
    <row r="8" spans="1:19" ht="45.75" thickBot="1" x14ac:dyDescent="0.25">
      <c r="A8" s="324"/>
      <c r="B8" s="1316"/>
      <c r="C8" s="1318"/>
      <c r="D8" s="1321"/>
      <c r="E8" s="1322"/>
      <c r="F8" s="1324"/>
      <c r="G8" s="1324"/>
      <c r="H8" s="1326"/>
      <c r="I8" s="1328"/>
      <c r="J8" s="584" t="s">
        <v>106</v>
      </c>
      <c r="K8" s="584" t="s">
        <v>570</v>
      </c>
      <c r="L8" s="584" t="s">
        <v>107</v>
      </c>
      <c r="M8" s="584" t="s">
        <v>108</v>
      </c>
      <c r="N8" s="584" t="s">
        <v>569</v>
      </c>
      <c r="O8" s="584" t="s">
        <v>109</v>
      </c>
      <c r="P8" s="1330"/>
      <c r="Q8" s="584" t="s">
        <v>97</v>
      </c>
      <c r="R8" s="330" t="s">
        <v>253</v>
      </c>
      <c r="S8" s="328"/>
    </row>
    <row r="9" spans="1:19" s="101" customFormat="1" ht="22.5" customHeight="1" x14ac:dyDescent="0.3">
      <c r="A9" s="324">
        <v>1</v>
      </c>
      <c r="B9" s="331">
        <v>1</v>
      </c>
      <c r="C9" s="332"/>
      <c r="D9" s="333" t="s">
        <v>241</v>
      </c>
      <c r="E9" s="334"/>
      <c r="F9" s="335">
        <v>407643</v>
      </c>
      <c r="G9" s="335">
        <v>414088</v>
      </c>
      <c r="H9" s="1178">
        <v>440794</v>
      </c>
      <c r="I9" s="336"/>
      <c r="J9" s="335"/>
      <c r="K9" s="335"/>
      <c r="L9" s="335"/>
      <c r="M9" s="335"/>
      <c r="N9" s="335"/>
      <c r="O9" s="335"/>
      <c r="P9" s="335"/>
      <c r="Q9" s="335"/>
      <c r="R9" s="573"/>
    </row>
    <row r="10" spans="1:19" s="101" customFormat="1" ht="18" customHeight="1" x14ac:dyDescent="0.3">
      <c r="A10" s="324">
        <v>2</v>
      </c>
      <c r="B10" s="337"/>
      <c r="C10" s="338"/>
      <c r="D10" s="339" t="s">
        <v>245</v>
      </c>
      <c r="E10" s="585"/>
      <c r="F10" s="340"/>
      <c r="G10" s="340"/>
      <c r="H10" s="1179"/>
      <c r="I10" s="341"/>
      <c r="J10" s="340"/>
      <c r="K10" s="340"/>
      <c r="L10" s="340"/>
      <c r="M10" s="340"/>
      <c r="N10" s="340"/>
      <c r="O10" s="340"/>
      <c r="P10" s="340"/>
      <c r="Q10" s="340"/>
      <c r="R10" s="497"/>
    </row>
    <row r="11" spans="1:19" s="348" customFormat="1" ht="18" customHeight="1" x14ac:dyDescent="0.3">
      <c r="A11" s="324">
        <v>3</v>
      </c>
      <c r="B11" s="342"/>
      <c r="C11" s="343"/>
      <c r="D11" s="344"/>
      <c r="E11" s="345" t="s">
        <v>238</v>
      </c>
      <c r="F11" s="346"/>
      <c r="G11" s="346"/>
      <c r="H11" s="1180"/>
      <c r="I11" s="293">
        <f>SUM(J11:Q11)</f>
        <v>463126</v>
      </c>
      <c r="J11" s="346">
        <v>9928</v>
      </c>
      <c r="K11" s="346"/>
      <c r="L11" s="346"/>
      <c r="M11" s="346"/>
      <c r="N11" s="346"/>
      <c r="O11" s="346"/>
      <c r="P11" s="346">
        <v>500</v>
      </c>
      <c r="Q11" s="346">
        <v>452698</v>
      </c>
      <c r="R11" s="574">
        <v>354675</v>
      </c>
      <c r="S11" s="347"/>
    </row>
    <row r="12" spans="1:19" s="350" customFormat="1" ht="22.5" customHeight="1" x14ac:dyDescent="0.3">
      <c r="A12" s="324">
        <v>4</v>
      </c>
      <c r="B12" s="337">
        <v>2</v>
      </c>
      <c r="C12" s="338"/>
      <c r="D12" s="349" t="s">
        <v>252</v>
      </c>
      <c r="E12" s="349"/>
      <c r="F12" s="340">
        <v>645806</v>
      </c>
      <c r="G12" s="340">
        <v>652476</v>
      </c>
      <c r="H12" s="1179">
        <v>689613</v>
      </c>
      <c r="I12" s="341"/>
      <c r="J12" s="340"/>
      <c r="K12" s="340"/>
      <c r="L12" s="340"/>
      <c r="M12" s="340"/>
      <c r="N12" s="340"/>
      <c r="O12" s="340"/>
      <c r="P12" s="340"/>
      <c r="Q12" s="340"/>
      <c r="R12" s="497"/>
    </row>
    <row r="13" spans="1:19" s="350" customFormat="1" ht="18" customHeight="1" x14ac:dyDescent="0.3">
      <c r="A13" s="324">
        <v>5</v>
      </c>
      <c r="B13" s="337"/>
      <c r="C13" s="338"/>
      <c r="D13" s="585" t="s">
        <v>239</v>
      </c>
      <c r="E13" s="585"/>
      <c r="F13" s="340"/>
      <c r="G13" s="340"/>
      <c r="H13" s="1179"/>
      <c r="I13" s="341"/>
      <c r="J13" s="340"/>
      <c r="K13" s="340"/>
      <c r="L13" s="340"/>
      <c r="M13" s="340"/>
      <c r="N13" s="340"/>
      <c r="O13" s="340"/>
      <c r="P13" s="340"/>
      <c r="Q13" s="340"/>
      <c r="R13" s="497"/>
    </row>
    <row r="14" spans="1:19" s="351" customFormat="1" ht="18" customHeight="1" x14ac:dyDescent="0.3">
      <c r="A14" s="324">
        <v>6</v>
      </c>
      <c r="B14" s="342"/>
      <c r="C14" s="343"/>
      <c r="D14" s="344"/>
      <c r="E14" s="345" t="s">
        <v>238</v>
      </c>
      <c r="F14" s="346"/>
      <c r="G14" s="346"/>
      <c r="H14" s="1180"/>
      <c r="I14" s="293">
        <f>SUM(J14:Q14)</f>
        <v>683935</v>
      </c>
      <c r="J14" s="346">
        <v>13598</v>
      </c>
      <c r="K14" s="346"/>
      <c r="L14" s="346"/>
      <c r="M14" s="346"/>
      <c r="N14" s="346"/>
      <c r="O14" s="346"/>
      <c r="P14" s="346">
        <v>19000</v>
      </c>
      <c r="Q14" s="346">
        <v>651337</v>
      </c>
      <c r="R14" s="574">
        <v>481099</v>
      </c>
    </row>
    <row r="15" spans="1:19" s="352" customFormat="1" ht="22.5" customHeight="1" x14ac:dyDescent="0.3">
      <c r="A15" s="324">
        <v>7</v>
      </c>
      <c r="B15" s="337">
        <v>3</v>
      </c>
      <c r="C15" s="338"/>
      <c r="D15" s="349" t="s">
        <v>211</v>
      </c>
      <c r="E15" s="349"/>
      <c r="F15" s="340">
        <v>656186</v>
      </c>
      <c r="G15" s="340">
        <v>701980</v>
      </c>
      <c r="H15" s="1179">
        <v>734968</v>
      </c>
      <c r="I15" s="341"/>
      <c r="J15" s="340"/>
      <c r="K15" s="340"/>
      <c r="L15" s="340"/>
      <c r="M15" s="340"/>
      <c r="N15" s="340"/>
      <c r="O15" s="340"/>
      <c r="P15" s="340"/>
      <c r="Q15" s="340"/>
      <c r="R15" s="497"/>
    </row>
    <row r="16" spans="1:19" s="101" customFormat="1" ht="18" customHeight="1" x14ac:dyDescent="0.3">
      <c r="A16" s="324">
        <v>8</v>
      </c>
      <c r="B16" s="353"/>
      <c r="C16" s="338"/>
      <c r="D16" s="354" t="s">
        <v>110</v>
      </c>
      <c r="E16" s="354"/>
      <c r="F16" s="355"/>
      <c r="G16" s="355"/>
      <c r="H16" s="1181"/>
      <c r="I16" s="356"/>
      <c r="J16" s="355"/>
      <c r="K16" s="355"/>
      <c r="L16" s="355"/>
      <c r="M16" s="355"/>
      <c r="N16" s="355"/>
      <c r="O16" s="355"/>
      <c r="P16" s="355"/>
      <c r="Q16" s="355"/>
      <c r="R16" s="575"/>
    </row>
    <row r="17" spans="1:19" s="348" customFormat="1" ht="18" customHeight="1" x14ac:dyDescent="0.3">
      <c r="A17" s="324">
        <v>9</v>
      </c>
      <c r="B17" s="342"/>
      <c r="C17" s="343"/>
      <c r="D17" s="344"/>
      <c r="E17" s="345" t="s">
        <v>238</v>
      </c>
      <c r="F17" s="346"/>
      <c r="G17" s="346"/>
      <c r="H17" s="1180"/>
      <c r="I17" s="293">
        <f>SUM(J17:Q17)</f>
        <v>759351</v>
      </c>
      <c r="J17" s="346">
        <v>16706</v>
      </c>
      <c r="K17" s="346"/>
      <c r="L17" s="346"/>
      <c r="M17" s="346"/>
      <c r="N17" s="346"/>
      <c r="O17" s="346"/>
      <c r="P17" s="346">
        <v>26000</v>
      </c>
      <c r="Q17" s="346">
        <v>716645</v>
      </c>
      <c r="R17" s="574">
        <v>529812</v>
      </c>
      <c r="S17" s="347"/>
    </row>
    <row r="18" spans="1:19" s="350" customFormat="1" ht="22.5" customHeight="1" x14ac:dyDescent="0.3">
      <c r="A18" s="324">
        <v>10</v>
      </c>
      <c r="B18" s="337">
        <v>4</v>
      </c>
      <c r="C18" s="338"/>
      <c r="D18" s="357" t="s">
        <v>212</v>
      </c>
      <c r="E18" s="357"/>
      <c r="F18" s="340">
        <v>580767</v>
      </c>
      <c r="G18" s="340">
        <v>616150</v>
      </c>
      <c r="H18" s="1179">
        <v>651784</v>
      </c>
      <c r="I18" s="341"/>
      <c r="J18" s="340"/>
      <c r="K18" s="340"/>
      <c r="L18" s="340"/>
      <c r="M18" s="340"/>
      <c r="N18" s="340"/>
      <c r="O18" s="340"/>
      <c r="P18" s="340"/>
      <c r="Q18" s="340"/>
      <c r="R18" s="497"/>
    </row>
    <row r="19" spans="1:19" s="352" customFormat="1" ht="18" customHeight="1" x14ac:dyDescent="0.3">
      <c r="A19" s="324">
        <v>11</v>
      </c>
      <c r="B19" s="353"/>
      <c r="C19" s="338"/>
      <c r="D19" s="354" t="s">
        <v>111</v>
      </c>
      <c r="E19" s="354"/>
      <c r="F19" s="355"/>
      <c r="G19" s="355"/>
      <c r="H19" s="1181"/>
      <c r="I19" s="356"/>
      <c r="J19" s="355"/>
      <c r="K19" s="355"/>
      <c r="L19" s="355"/>
      <c r="M19" s="355"/>
      <c r="N19" s="355"/>
      <c r="O19" s="355"/>
      <c r="P19" s="355"/>
      <c r="Q19" s="355"/>
      <c r="R19" s="575"/>
    </row>
    <row r="20" spans="1:19" s="358" customFormat="1" ht="18" customHeight="1" x14ac:dyDescent="0.3">
      <c r="A20" s="324">
        <v>12</v>
      </c>
      <c r="B20" s="342"/>
      <c r="C20" s="343"/>
      <c r="D20" s="344"/>
      <c r="E20" s="345" t="s">
        <v>238</v>
      </c>
      <c r="F20" s="346"/>
      <c r="G20" s="346"/>
      <c r="H20" s="1180"/>
      <c r="I20" s="293">
        <f>SUM(J20:Q20)</f>
        <v>704293</v>
      </c>
      <c r="J20" s="346">
        <v>25011</v>
      </c>
      <c r="K20" s="346"/>
      <c r="L20" s="346"/>
      <c r="M20" s="346"/>
      <c r="N20" s="346"/>
      <c r="O20" s="346"/>
      <c r="P20" s="346">
        <v>4000</v>
      </c>
      <c r="Q20" s="346">
        <v>675282</v>
      </c>
      <c r="R20" s="574">
        <v>559302</v>
      </c>
    </row>
    <row r="21" spans="1:19" s="359" customFormat="1" ht="22.5" customHeight="1" x14ac:dyDescent="0.3">
      <c r="A21" s="324">
        <v>13</v>
      </c>
      <c r="B21" s="337">
        <v>5</v>
      </c>
      <c r="C21" s="338"/>
      <c r="D21" s="357" t="s">
        <v>213</v>
      </c>
      <c r="E21" s="357"/>
      <c r="F21" s="340">
        <v>619336</v>
      </c>
      <c r="G21" s="340">
        <v>658480</v>
      </c>
      <c r="H21" s="1179">
        <v>698105</v>
      </c>
      <c r="I21" s="341"/>
      <c r="J21" s="340"/>
      <c r="K21" s="340"/>
      <c r="L21" s="340"/>
      <c r="M21" s="340"/>
      <c r="N21" s="340"/>
      <c r="O21" s="340"/>
      <c r="P21" s="340"/>
      <c r="Q21" s="340"/>
      <c r="R21" s="497"/>
    </row>
    <row r="22" spans="1:19" s="350" customFormat="1" ht="18" customHeight="1" x14ac:dyDescent="0.3">
      <c r="A22" s="324">
        <v>14</v>
      </c>
      <c r="B22" s="353"/>
      <c r="C22" s="338"/>
      <c r="D22" s="354" t="s">
        <v>112</v>
      </c>
      <c r="E22" s="354"/>
      <c r="F22" s="355"/>
      <c r="G22" s="355"/>
      <c r="H22" s="1181"/>
      <c r="I22" s="356"/>
      <c r="J22" s="355"/>
      <c r="K22" s="355"/>
      <c r="L22" s="355"/>
      <c r="M22" s="355"/>
      <c r="N22" s="355"/>
      <c r="O22" s="355"/>
      <c r="P22" s="355"/>
      <c r="Q22" s="355"/>
      <c r="R22" s="575"/>
    </row>
    <row r="23" spans="1:19" s="351" customFormat="1" ht="18" customHeight="1" x14ac:dyDescent="0.3">
      <c r="A23" s="324">
        <v>15</v>
      </c>
      <c r="B23" s="342"/>
      <c r="C23" s="343"/>
      <c r="D23" s="344"/>
      <c r="E23" s="345" t="s">
        <v>238</v>
      </c>
      <c r="F23" s="346"/>
      <c r="G23" s="346"/>
      <c r="H23" s="1180"/>
      <c r="I23" s="293">
        <f>SUM(J23:Q23)</f>
        <v>739562</v>
      </c>
      <c r="J23" s="346">
        <v>25038</v>
      </c>
      <c r="K23" s="346"/>
      <c r="L23" s="346"/>
      <c r="M23" s="346"/>
      <c r="N23" s="346"/>
      <c r="O23" s="346"/>
      <c r="P23" s="346">
        <v>4762</v>
      </c>
      <c r="Q23" s="346">
        <v>709762</v>
      </c>
      <c r="R23" s="574">
        <v>548945</v>
      </c>
    </row>
    <row r="24" spans="1:19" s="359" customFormat="1" ht="22.5" customHeight="1" x14ac:dyDescent="0.3">
      <c r="A24" s="324">
        <v>16</v>
      </c>
      <c r="B24" s="337">
        <v>6</v>
      </c>
      <c r="C24" s="338"/>
      <c r="D24" s="357" t="s">
        <v>214</v>
      </c>
      <c r="E24" s="357"/>
      <c r="F24" s="340">
        <v>366099</v>
      </c>
      <c r="G24" s="340">
        <v>386867</v>
      </c>
      <c r="H24" s="1179">
        <v>413157</v>
      </c>
      <c r="I24" s="341"/>
      <c r="J24" s="340"/>
      <c r="K24" s="340"/>
      <c r="L24" s="340"/>
      <c r="M24" s="340"/>
      <c r="N24" s="340"/>
      <c r="O24" s="340"/>
      <c r="P24" s="340"/>
      <c r="Q24" s="340"/>
      <c r="R24" s="497"/>
    </row>
    <row r="25" spans="1:19" s="359" customFormat="1" ht="18" customHeight="1" x14ac:dyDescent="0.3">
      <c r="A25" s="324">
        <v>17</v>
      </c>
      <c r="B25" s="353"/>
      <c r="C25" s="338"/>
      <c r="D25" s="354" t="s">
        <v>113</v>
      </c>
      <c r="E25" s="354"/>
      <c r="F25" s="355"/>
      <c r="G25" s="355"/>
      <c r="H25" s="1181"/>
      <c r="I25" s="356"/>
      <c r="J25" s="355"/>
      <c r="K25" s="355"/>
      <c r="L25" s="355"/>
      <c r="M25" s="355"/>
      <c r="N25" s="355"/>
      <c r="O25" s="355"/>
      <c r="P25" s="355"/>
      <c r="Q25" s="355"/>
      <c r="R25" s="575"/>
    </row>
    <row r="26" spans="1:19" s="360" customFormat="1" ht="18" customHeight="1" thickBot="1" x14ac:dyDescent="0.35">
      <c r="A26" s="324">
        <v>18</v>
      </c>
      <c r="B26" s="342"/>
      <c r="C26" s="343"/>
      <c r="D26" s="344"/>
      <c r="E26" s="345" t="s">
        <v>238</v>
      </c>
      <c r="F26" s="346"/>
      <c r="G26" s="346"/>
      <c r="H26" s="1180"/>
      <c r="I26" s="293">
        <f>SUM(J26:Q26)</f>
        <v>434415</v>
      </c>
      <c r="J26" s="346">
        <v>11935</v>
      </c>
      <c r="K26" s="346"/>
      <c r="L26" s="346"/>
      <c r="M26" s="346"/>
      <c r="N26" s="346"/>
      <c r="O26" s="346"/>
      <c r="P26" s="346">
        <v>10000</v>
      </c>
      <c r="Q26" s="346">
        <v>412480</v>
      </c>
      <c r="R26" s="574">
        <v>308761</v>
      </c>
    </row>
    <row r="27" spans="1:19" s="328" customFormat="1" ht="22.5" customHeight="1" thickTop="1" x14ac:dyDescent="0.3">
      <c r="A27" s="324">
        <v>19</v>
      </c>
      <c r="B27" s="353"/>
      <c r="C27" s="1309" t="s">
        <v>311</v>
      </c>
      <c r="D27" s="1310"/>
      <c r="E27" s="1311"/>
      <c r="F27" s="361">
        <f>SUM(F9:F26)</f>
        <v>3275837</v>
      </c>
      <c r="G27" s="361">
        <f>SUM(G9:G26)</f>
        <v>3430041</v>
      </c>
      <c r="H27" s="1182">
        <f>SUM(H9:H26)</f>
        <v>3628421</v>
      </c>
      <c r="I27" s="362"/>
      <c r="J27" s="361"/>
      <c r="K27" s="361"/>
      <c r="L27" s="361"/>
      <c r="M27" s="361"/>
      <c r="N27" s="361"/>
      <c r="O27" s="361"/>
      <c r="P27" s="361"/>
      <c r="Q27" s="361"/>
      <c r="R27" s="576"/>
    </row>
    <row r="28" spans="1:19" s="348" customFormat="1" ht="18" customHeight="1" thickBot="1" x14ac:dyDescent="0.35">
      <c r="A28" s="324">
        <v>20</v>
      </c>
      <c r="B28" s="363"/>
      <c r="C28" s="364"/>
      <c r="D28" s="365"/>
      <c r="E28" s="366" t="s">
        <v>238</v>
      </c>
      <c r="F28" s="367"/>
      <c r="G28" s="367"/>
      <c r="H28" s="1183"/>
      <c r="I28" s="368">
        <f>SUM(I11,I14,I17,I20,I23,I26,)</f>
        <v>3784682</v>
      </c>
      <c r="J28" s="367">
        <f>SUM(J11,J14,J17,J20,J23,J26,)</f>
        <v>102216</v>
      </c>
      <c r="K28" s="367">
        <f t="shared" ref="K28:Q28" si="0">SUM(K11,K14,K17,K20,K23,K26,)</f>
        <v>0</v>
      </c>
      <c r="L28" s="367">
        <f t="shared" si="0"/>
        <v>0</v>
      </c>
      <c r="M28" s="367">
        <f t="shared" si="0"/>
        <v>0</v>
      </c>
      <c r="N28" s="367">
        <f t="shared" si="0"/>
        <v>0</v>
      </c>
      <c r="O28" s="367">
        <f t="shared" si="0"/>
        <v>0</v>
      </c>
      <c r="P28" s="367">
        <f t="shared" si="0"/>
        <v>64262</v>
      </c>
      <c r="Q28" s="367">
        <f t="shared" si="0"/>
        <v>3618204</v>
      </c>
      <c r="R28" s="577">
        <f>SUM(R11,R14,R17,R20,R23,R26,)</f>
        <v>2782594</v>
      </c>
      <c r="S28" s="347"/>
    </row>
    <row r="29" spans="1:19" s="101" customFormat="1" ht="30" customHeight="1" thickTop="1" x14ac:dyDescent="0.3">
      <c r="A29" s="324">
        <v>21</v>
      </c>
      <c r="B29" s="369">
        <v>7</v>
      </c>
      <c r="C29" s="332"/>
      <c r="D29" s="1331" t="s">
        <v>247</v>
      </c>
      <c r="E29" s="1332"/>
      <c r="F29" s="335">
        <v>2059425</v>
      </c>
      <c r="G29" s="335">
        <v>1983101</v>
      </c>
      <c r="H29" s="1178">
        <v>2194665</v>
      </c>
      <c r="I29" s="336"/>
      <c r="J29" s="335"/>
      <c r="K29" s="335"/>
      <c r="L29" s="335"/>
      <c r="M29" s="335"/>
      <c r="N29" s="335"/>
      <c r="O29" s="335"/>
      <c r="P29" s="335"/>
      <c r="Q29" s="335"/>
      <c r="R29" s="573"/>
    </row>
    <row r="30" spans="1:19" s="347" customFormat="1" ht="18" customHeight="1" x14ac:dyDescent="0.3">
      <c r="A30" s="324">
        <v>22</v>
      </c>
      <c r="B30" s="342"/>
      <c r="C30" s="343"/>
      <c r="D30" s="344"/>
      <c r="E30" s="345" t="s">
        <v>238</v>
      </c>
      <c r="F30" s="346"/>
      <c r="G30" s="346"/>
      <c r="H30" s="1180"/>
      <c r="I30" s="293">
        <f>SUM(J30:Q30)</f>
        <v>2316839</v>
      </c>
      <c r="J30" s="346">
        <v>20736</v>
      </c>
      <c r="K30" s="346">
        <v>1945</v>
      </c>
      <c r="L30" s="346"/>
      <c r="M30" s="346"/>
      <c r="N30" s="346"/>
      <c r="O30" s="346"/>
      <c r="P30" s="346">
        <v>1000</v>
      </c>
      <c r="Q30" s="346">
        <v>2293158</v>
      </c>
      <c r="R30" s="574">
        <v>1709958</v>
      </c>
    </row>
    <row r="31" spans="1:19" ht="22.5" customHeight="1" x14ac:dyDescent="0.3">
      <c r="A31" s="324">
        <v>23</v>
      </c>
      <c r="B31" s="337">
        <v>8</v>
      </c>
      <c r="C31" s="338"/>
      <c r="D31" s="357" t="s">
        <v>93</v>
      </c>
      <c r="E31" s="357"/>
      <c r="F31" s="340">
        <v>175961</v>
      </c>
      <c r="G31" s="340">
        <v>130030</v>
      </c>
      <c r="H31" s="1179">
        <v>173180</v>
      </c>
      <c r="I31" s="341"/>
      <c r="J31" s="340"/>
      <c r="K31" s="340"/>
      <c r="L31" s="340"/>
      <c r="M31" s="340"/>
      <c r="N31" s="340"/>
      <c r="O31" s="340"/>
      <c r="P31" s="340"/>
      <c r="Q31" s="340"/>
      <c r="R31" s="497"/>
      <c r="S31" s="101"/>
    </row>
    <row r="32" spans="1:19" s="351" customFormat="1" ht="18" customHeight="1" x14ac:dyDescent="0.3">
      <c r="A32" s="324">
        <v>24</v>
      </c>
      <c r="B32" s="342"/>
      <c r="C32" s="343"/>
      <c r="D32" s="344"/>
      <c r="E32" s="345" t="s">
        <v>238</v>
      </c>
      <c r="F32" s="346"/>
      <c r="G32" s="346"/>
      <c r="H32" s="1180"/>
      <c r="I32" s="293">
        <f>SUM(J32:Q32)</f>
        <v>133966</v>
      </c>
      <c r="J32" s="346">
        <v>18600</v>
      </c>
      <c r="K32" s="346"/>
      <c r="L32" s="346"/>
      <c r="M32" s="346"/>
      <c r="N32" s="346"/>
      <c r="O32" s="346"/>
      <c r="P32" s="346">
        <v>4000</v>
      </c>
      <c r="Q32" s="346">
        <v>111366</v>
      </c>
      <c r="R32" s="574">
        <v>45336</v>
      </c>
    </row>
    <row r="33" spans="1:19" ht="22.5" customHeight="1" x14ac:dyDescent="0.3">
      <c r="A33" s="324">
        <v>25</v>
      </c>
      <c r="B33" s="337">
        <v>9</v>
      </c>
      <c r="C33" s="338"/>
      <c r="D33" s="357" t="s">
        <v>290</v>
      </c>
      <c r="E33" s="357"/>
      <c r="F33" s="340">
        <v>564815</v>
      </c>
      <c r="G33" s="340">
        <v>460026</v>
      </c>
      <c r="H33" s="1179">
        <v>591590</v>
      </c>
      <c r="I33" s="341"/>
      <c r="J33" s="340"/>
      <c r="K33" s="340"/>
      <c r="L33" s="340"/>
      <c r="M33" s="340"/>
      <c r="N33" s="340"/>
      <c r="O33" s="340"/>
      <c r="P33" s="340"/>
      <c r="Q33" s="340"/>
      <c r="R33" s="497"/>
      <c r="S33" s="101"/>
    </row>
    <row r="34" spans="1:19" s="351" customFormat="1" ht="18" customHeight="1" thickBot="1" x14ac:dyDescent="0.35">
      <c r="A34" s="324">
        <v>26</v>
      </c>
      <c r="B34" s="342"/>
      <c r="C34" s="370"/>
      <c r="D34" s="371"/>
      <c r="E34" s="372" t="s">
        <v>238</v>
      </c>
      <c r="F34" s="373"/>
      <c r="G34" s="373"/>
      <c r="H34" s="1186"/>
      <c r="I34" s="374">
        <f>SUM(J34:Q34)</f>
        <v>512043</v>
      </c>
      <c r="J34" s="373">
        <v>6600</v>
      </c>
      <c r="K34" s="373"/>
      <c r="L34" s="373"/>
      <c r="M34" s="373"/>
      <c r="N34" s="373"/>
      <c r="O34" s="373"/>
      <c r="P34" s="373">
        <v>6593</v>
      </c>
      <c r="Q34" s="373">
        <v>498850</v>
      </c>
      <c r="R34" s="578">
        <v>292225</v>
      </c>
    </row>
    <row r="35" spans="1:19" s="359" customFormat="1" ht="22.5" customHeight="1" thickTop="1" x14ac:dyDescent="0.3">
      <c r="A35" s="324">
        <v>27</v>
      </c>
      <c r="B35" s="353"/>
      <c r="C35" s="1309" t="s">
        <v>312</v>
      </c>
      <c r="D35" s="1310"/>
      <c r="E35" s="1311"/>
      <c r="F35" s="361">
        <f>SUM(F29:F34)</f>
        <v>2800201</v>
      </c>
      <c r="G35" s="361">
        <f>SUM(G29:G34)</f>
        <v>2573157</v>
      </c>
      <c r="H35" s="1182">
        <f>SUM(H29:H34)</f>
        <v>2959435</v>
      </c>
      <c r="I35" s="362"/>
      <c r="J35" s="361"/>
      <c r="K35" s="361"/>
      <c r="L35" s="361"/>
      <c r="M35" s="361"/>
      <c r="N35" s="361"/>
      <c r="O35" s="361"/>
      <c r="P35" s="361"/>
      <c r="Q35" s="361"/>
      <c r="R35" s="579"/>
    </row>
    <row r="36" spans="1:19" s="351" customFormat="1" ht="18" customHeight="1" thickBot="1" x14ac:dyDescent="0.35">
      <c r="A36" s="324">
        <v>28</v>
      </c>
      <c r="B36" s="342"/>
      <c r="C36" s="364"/>
      <c r="D36" s="365"/>
      <c r="E36" s="377" t="s">
        <v>238</v>
      </c>
      <c r="F36" s="367"/>
      <c r="G36" s="367"/>
      <c r="H36" s="1183"/>
      <c r="I36" s="368">
        <f t="shared" ref="I36:R36" si="1">SUM(I30,I32,I34)</f>
        <v>2962848</v>
      </c>
      <c r="J36" s="367">
        <f t="shared" si="1"/>
        <v>45936</v>
      </c>
      <c r="K36" s="367">
        <f t="shared" si="1"/>
        <v>1945</v>
      </c>
      <c r="L36" s="367">
        <f t="shared" si="1"/>
        <v>0</v>
      </c>
      <c r="M36" s="367">
        <f t="shared" si="1"/>
        <v>0</v>
      </c>
      <c r="N36" s="367">
        <f t="shared" si="1"/>
        <v>0</v>
      </c>
      <c r="O36" s="367">
        <f t="shared" si="1"/>
        <v>0</v>
      </c>
      <c r="P36" s="367">
        <f t="shared" si="1"/>
        <v>11593</v>
      </c>
      <c r="Q36" s="367">
        <f t="shared" si="1"/>
        <v>2903374</v>
      </c>
      <c r="R36" s="580">
        <f t="shared" si="1"/>
        <v>2047519</v>
      </c>
    </row>
    <row r="37" spans="1:19" s="329" customFormat="1" ht="22.5" customHeight="1" thickTop="1" x14ac:dyDescent="0.3">
      <c r="A37" s="324">
        <v>29</v>
      </c>
      <c r="B37" s="331">
        <v>10</v>
      </c>
      <c r="C37" s="332"/>
      <c r="D37" s="323" t="s">
        <v>292</v>
      </c>
      <c r="E37" s="378"/>
      <c r="F37" s="335">
        <v>569047</v>
      </c>
      <c r="G37" s="335">
        <v>388211</v>
      </c>
      <c r="H37" s="1178">
        <v>573707</v>
      </c>
      <c r="I37" s="336"/>
      <c r="J37" s="335"/>
      <c r="K37" s="335"/>
      <c r="L37" s="335"/>
      <c r="M37" s="335"/>
      <c r="N37" s="335"/>
      <c r="O37" s="335"/>
      <c r="P37" s="335"/>
      <c r="Q37" s="335"/>
      <c r="R37" s="573"/>
      <c r="S37" s="328"/>
    </row>
    <row r="38" spans="1:19" s="347" customFormat="1" ht="18" customHeight="1" x14ac:dyDescent="0.3">
      <c r="A38" s="324">
        <v>30</v>
      </c>
      <c r="B38" s="342"/>
      <c r="C38" s="343"/>
      <c r="D38" s="344"/>
      <c r="E38" s="345" t="s">
        <v>238</v>
      </c>
      <c r="F38" s="346"/>
      <c r="G38" s="346"/>
      <c r="H38" s="1180"/>
      <c r="I38" s="293">
        <f>SUM(J38:Q38)</f>
        <v>414074</v>
      </c>
      <c r="J38" s="346">
        <v>86437</v>
      </c>
      <c r="K38" s="346"/>
      <c r="L38" s="346"/>
      <c r="M38" s="346"/>
      <c r="N38" s="346"/>
      <c r="O38" s="346"/>
      <c r="P38" s="346">
        <v>76241</v>
      </c>
      <c r="Q38" s="346">
        <v>251396</v>
      </c>
      <c r="R38" s="574">
        <v>97967</v>
      </c>
    </row>
    <row r="39" spans="1:19" s="376" customFormat="1" ht="22.5" customHeight="1" x14ac:dyDescent="0.3">
      <c r="A39" s="324">
        <v>31</v>
      </c>
      <c r="B39" s="337">
        <v>11</v>
      </c>
      <c r="C39" s="338"/>
      <c r="D39" s="357" t="s">
        <v>287</v>
      </c>
      <c r="E39" s="357"/>
      <c r="F39" s="340">
        <v>377506</v>
      </c>
      <c r="G39" s="340">
        <v>345036</v>
      </c>
      <c r="H39" s="1179">
        <v>389638</v>
      </c>
      <c r="I39" s="341"/>
      <c r="J39" s="340"/>
      <c r="K39" s="340"/>
      <c r="L39" s="340"/>
      <c r="M39" s="340"/>
      <c r="N39" s="340"/>
      <c r="O39" s="340"/>
      <c r="P39" s="340"/>
      <c r="Q39" s="340"/>
      <c r="R39" s="497"/>
      <c r="S39" s="328"/>
    </row>
    <row r="40" spans="1:19" s="347" customFormat="1" ht="18" customHeight="1" x14ac:dyDescent="0.3">
      <c r="A40" s="324">
        <v>32</v>
      </c>
      <c r="B40" s="342"/>
      <c r="C40" s="343"/>
      <c r="D40" s="344"/>
      <c r="E40" s="345" t="s">
        <v>238</v>
      </c>
      <c r="F40" s="346"/>
      <c r="G40" s="346"/>
      <c r="H40" s="1180"/>
      <c r="I40" s="293">
        <f>SUM(J40:Q40)</f>
        <v>377275</v>
      </c>
      <c r="J40" s="346">
        <v>28670</v>
      </c>
      <c r="K40" s="346">
        <v>800</v>
      </c>
      <c r="L40" s="346"/>
      <c r="M40" s="346"/>
      <c r="N40" s="346"/>
      <c r="O40" s="346"/>
      <c r="P40" s="346">
        <v>8088</v>
      </c>
      <c r="Q40" s="346">
        <v>339717</v>
      </c>
      <c r="R40" s="574">
        <v>87428</v>
      </c>
    </row>
    <row r="41" spans="1:19" s="352" customFormat="1" ht="22.5" customHeight="1" x14ac:dyDescent="0.3">
      <c r="A41" s="324">
        <v>33</v>
      </c>
      <c r="B41" s="337">
        <v>12</v>
      </c>
      <c r="C41" s="338"/>
      <c r="D41" s="357" t="s">
        <v>571</v>
      </c>
      <c r="E41" s="379"/>
      <c r="F41" s="340">
        <v>751374</v>
      </c>
      <c r="G41" s="340">
        <v>701280</v>
      </c>
      <c r="H41" s="1179">
        <v>795289</v>
      </c>
      <c r="I41" s="341"/>
      <c r="J41" s="340"/>
      <c r="K41" s="340"/>
      <c r="L41" s="340"/>
      <c r="M41" s="340"/>
      <c r="N41" s="340"/>
      <c r="O41" s="340"/>
      <c r="P41" s="340"/>
      <c r="Q41" s="340"/>
      <c r="R41" s="497"/>
    </row>
    <row r="42" spans="1:19" s="358" customFormat="1" ht="18" customHeight="1" x14ac:dyDescent="0.3">
      <c r="A42" s="324">
        <v>34</v>
      </c>
      <c r="B42" s="342"/>
      <c r="C42" s="343"/>
      <c r="D42" s="344"/>
      <c r="E42" s="345" t="s">
        <v>238</v>
      </c>
      <c r="F42" s="346"/>
      <c r="G42" s="346"/>
      <c r="H42" s="1180"/>
      <c r="I42" s="293">
        <f>SUM(J42:Q42)</f>
        <v>777408</v>
      </c>
      <c r="J42" s="346">
        <v>44146</v>
      </c>
      <c r="K42" s="346"/>
      <c r="L42" s="346"/>
      <c r="M42" s="346"/>
      <c r="N42" s="346"/>
      <c r="O42" s="346"/>
      <c r="P42" s="346">
        <v>25902</v>
      </c>
      <c r="Q42" s="346">
        <v>707360</v>
      </c>
      <c r="R42" s="574">
        <v>386916</v>
      </c>
    </row>
    <row r="43" spans="1:19" s="352" customFormat="1" ht="22.5" customHeight="1" x14ac:dyDescent="0.3">
      <c r="A43" s="324">
        <v>35</v>
      </c>
      <c r="B43" s="337">
        <v>13</v>
      </c>
      <c r="C43" s="338"/>
      <c r="D43" s="357" t="s">
        <v>30</v>
      </c>
      <c r="E43" s="379"/>
      <c r="F43" s="340">
        <v>803904</v>
      </c>
      <c r="G43" s="340">
        <v>567474</v>
      </c>
      <c r="H43" s="1179">
        <v>650834</v>
      </c>
      <c r="I43" s="341"/>
      <c r="J43" s="340"/>
      <c r="K43" s="340"/>
      <c r="L43" s="340"/>
      <c r="M43" s="340"/>
      <c r="N43" s="340"/>
      <c r="O43" s="340"/>
      <c r="P43" s="340"/>
      <c r="Q43" s="340"/>
      <c r="R43" s="497"/>
    </row>
    <row r="44" spans="1:19" s="358" customFormat="1" ht="18" customHeight="1" x14ac:dyDescent="0.3">
      <c r="A44" s="324">
        <v>36</v>
      </c>
      <c r="B44" s="342"/>
      <c r="C44" s="343"/>
      <c r="D44" s="344"/>
      <c r="E44" s="345" t="s">
        <v>238</v>
      </c>
      <c r="F44" s="346"/>
      <c r="G44" s="346"/>
      <c r="H44" s="1180"/>
      <c r="I44" s="293">
        <f>SUM(J44:Q44)</f>
        <v>592933</v>
      </c>
      <c r="J44" s="346">
        <v>60816</v>
      </c>
      <c r="K44" s="346"/>
      <c r="L44" s="346"/>
      <c r="M44" s="346"/>
      <c r="N44" s="346"/>
      <c r="O44" s="346"/>
      <c r="P44" s="346">
        <v>21223</v>
      </c>
      <c r="Q44" s="346">
        <v>510894</v>
      </c>
      <c r="R44" s="574">
        <v>213654</v>
      </c>
    </row>
    <row r="45" spans="1:19" s="352" customFormat="1" ht="22.5" customHeight="1" x14ac:dyDescent="0.3">
      <c r="A45" s="324">
        <v>37</v>
      </c>
      <c r="B45" s="337">
        <v>14</v>
      </c>
      <c r="C45" s="338"/>
      <c r="D45" s="357" t="s">
        <v>288</v>
      </c>
      <c r="E45" s="357"/>
      <c r="F45" s="340">
        <v>374415</v>
      </c>
      <c r="G45" s="340">
        <v>417855</v>
      </c>
      <c r="H45" s="1179">
        <v>513549</v>
      </c>
      <c r="I45" s="341"/>
      <c r="J45" s="340"/>
      <c r="K45" s="340"/>
      <c r="L45" s="340"/>
      <c r="M45" s="340"/>
      <c r="N45" s="340"/>
      <c r="O45" s="340"/>
      <c r="P45" s="340"/>
      <c r="Q45" s="340"/>
      <c r="R45" s="497"/>
    </row>
    <row r="46" spans="1:19" s="358" customFormat="1" ht="18" customHeight="1" x14ac:dyDescent="0.3">
      <c r="A46" s="324">
        <v>38</v>
      </c>
      <c r="B46" s="342"/>
      <c r="C46" s="343"/>
      <c r="D46" s="344"/>
      <c r="E46" s="345" t="s">
        <v>238</v>
      </c>
      <c r="F46" s="346"/>
      <c r="G46" s="346"/>
      <c r="H46" s="1180"/>
      <c r="I46" s="293">
        <f>SUM(J46:Q46)</f>
        <v>434064</v>
      </c>
      <c r="J46" s="346">
        <v>69530</v>
      </c>
      <c r="K46" s="346"/>
      <c r="L46" s="346"/>
      <c r="M46" s="346"/>
      <c r="N46" s="346"/>
      <c r="O46" s="346"/>
      <c r="P46" s="346">
        <v>7000</v>
      </c>
      <c r="Q46" s="346">
        <v>357534</v>
      </c>
      <c r="R46" s="574">
        <v>203970</v>
      </c>
    </row>
    <row r="47" spans="1:19" s="350" customFormat="1" ht="22.5" customHeight="1" x14ac:dyDescent="0.3">
      <c r="A47" s="324">
        <v>39</v>
      </c>
      <c r="B47" s="337">
        <v>15</v>
      </c>
      <c r="C47" s="338"/>
      <c r="D47" s="357" t="s">
        <v>114</v>
      </c>
      <c r="E47" s="379"/>
      <c r="F47" s="340">
        <v>1311456</v>
      </c>
      <c r="G47" s="340">
        <v>1005749</v>
      </c>
      <c r="H47" s="1179">
        <v>1306760</v>
      </c>
      <c r="I47" s="341"/>
      <c r="J47" s="340"/>
      <c r="K47" s="340"/>
      <c r="L47" s="340"/>
      <c r="M47" s="340"/>
      <c r="N47" s="340"/>
      <c r="O47" s="340"/>
      <c r="P47" s="340"/>
      <c r="Q47" s="340"/>
      <c r="R47" s="497"/>
    </row>
    <row r="48" spans="1:19" s="351" customFormat="1" ht="18" customHeight="1" thickBot="1" x14ac:dyDescent="0.35">
      <c r="A48" s="324">
        <v>40</v>
      </c>
      <c r="B48" s="342"/>
      <c r="C48" s="370"/>
      <c r="D48" s="371"/>
      <c r="E48" s="372" t="s">
        <v>238</v>
      </c>
      <c r="F48" s="373"/>
      <c r="G48" s="373"/>
      <c r="H48" s="1186"/>
      <c r="I48" s="374">
        <f>SUM(J48:Q48)</f>
        <v>1187630</v>
      </c>
      <c r="J48" s="373">
        <v>286635</v>
      </c>
      <c r="K48" s="373"/>
      <c r="L48" s="373"/>
      <c r="M48" s="373"/>
      <c r="N48" s="373"/>
      <c r="O48" s="373"/>
      <c r="P48" s="373">
        <v>0</v>
      </c>
      <c r="Q48" s="373">
        <v>900995</v>
      </c>
      <c r="R48" s="578">
        <v>596040</v>
      </c>
    </row>
    <row r="49" spans="1:19" s="350" customFormat="1" ht="22.5" customHeight="1" thickTop="1" x14ac:dyDescent="0.3">
      <c r="A49" s="324">
        <v>41</v>
      </c>
      <c r="B49" s="353"/>
      <c r="C49" s="1309" t="s">
        <v>313</v>
      </c>
      <c r="D49" s="1310"/>
      <c r="E49" s="1311"/>
      <c r="F49" s="361">
        <f>SUM(F37:F48)</f>
        <v>4187702</v>
      </c>
      <c r="G49" s="361">
        <f>SUM(G37:G48)</f>
        <v>3425605</v>
      </c>
      <c r="H49" s="1182">
        <f>SUM(H37:H48)</f>
        <v>4229777</v>
      </c>
      <c r="I49" s="362"/>
      <c r="J49" s="361"/>
      <c r="K49" s="361"/>
      <c r="L49" s="361"/>
      <c r="M49" s="361"/>
      <c r="N49" s="361"/>
      <c r="O49" s="361"/>
      <c r="P49" s="361"/>
      <c r="Q49" s="361"/>
      <c r="R49" s="579"/>
    </row>
    <row r="50" spans="1:19" s="351" customFormat="1" ht="18" customHeight="1" thickBot="1" x14ac:dyDescent="0.35">
      <c r="A50" s="324">
        <v>42</v>
      </c>
      <c r="B50" s="342"/>
      <c r="C50" s="364"/>
      <c r="D50" s="365"/>
      <c r="E50" s="377" t="s">
        <v>238</v>
      </c>
      <c r="F50" s="367"/>
      <c r="G50" s="367"/>
      <c r="H50" s="1183"/>
      <c r="I50" s="368">
        <f t="shared" ref="I50:R50" si="2">SUM(I38,I40,I42,I44,I46,I48)</f>
        <v>3783384</v>
      </c>
      <c r="J50" s="367">
        <f t="shared" si="2"/>
        <v>576234</v>
      </c>
      <c r="K50" s="367">
        <f t="shared" si="2"/>
        <v>800</v>
      </c>
      <c r="L50" s="367">
        <f t="shared" si="2"/>
        <v>0</v>
      </c>
      <c r="M50" s="367">
        <f t="shared" si="2"/>
        <v>0</v>
      </c>
      <c r="N50" s="367">
        <f t="shared" si="2"/>
        <v>0</v>
      </c>
      <c r="O50" s="367">
        <f t="shared" si="2"/>
        <v>0</v>
      </c>
      <c r="P50" s="367">
        <f t="shared" si="2"/>
        <v>138454</v>
      </c>
      <c r="Q50" s="367">
        <f t="shared" si="2"/>
        <v>3067896</v>
      </c>
      <c r="R50" s="577">
        <f t="shared" si="2"/>
        <v>1585975</v>
      </c>
    </row>
    <row r="51" spans="1:19" ht="22.5" customHeight="1" thickTop="1" x14ac:dyDescent="0.3">
      <c r="A51" s="324">
        <v>43</v>
      </c>
      <c r="B51" s="331">
        <v>16</v>
      </c>
      <c r="C51" s="332"/>
      <c r="D51" s="323" t="s">
        <v>215</v>
      </c>
      <c r="E51" s="323"/>
      <c r="F51" s="335">
        <v>2255867</v>
      </c>
      <c r="G51" s="335">
        <v>1911546</v>
      </c>
      <c r="H51" s="1178">
        <v>2125636</v>
      </c>
      <c r="I51" s="336"/>
      <c r="J51" s="335"/>
      <c r="K51" s="335"/>
      <c r="L51" s="335"/>
      <c r="M51" s="335"/>
      <c r="N51" s="335"/>
      <c r="O51" s="335"/>
      <c r="P51" s="335"/>
      <c r="Q51" s="335"/>
      <c r="R51" s="573"/>
      <c r="S51" s="328"/>
    </row>
    <row r="52" spans="1:19" s="383" customFormat="1" ht="18" customHeight="1" thickBot="1" x14ac:dyDescent="0.35">
      <c r="A52" s="324">
        <v>44</v>
      </c>
      <c r="B52" s="384"/>
      <c r="C52" s="385"/>
      <c r="D52" s="386"/>
      <c r="E52" s="387" t="s">
        <v>238</v>
      </c>
      <c r="F52" s="388"/>
      <c r="G52" s="388"/>
      <c r="H52" s="1184"/>
      <c r="I52" s="389">
        <f>SUM(J52:Q52)</f>
        <v>2245035</v>
      </c>
      <c r="J52" s="388">
        <v>568623</v>
      </c>
      <c r="K52" s="388"/>
      <c r="L52" s="388"/>
      <c r="M52" s="388"/>
      <c r="N52" s="388"/>
      <c r="O52" s="388"/>
      <c r="P52" s="388">
        <v>250000</v>
      </c>
      <c r="Q52" s="388">
        <v>1426412</v>
      </c>
      <c r="R52" s="581">
        <v>744406</v>
      </c>
      <c r="S52" s="382"/>
    </row>
    <row r="53" spans="1:19" s="381" customFormat="1" ht="30" customHeight="1" x14ac:dyDescent="0.3">
      <c r="A53" s="324">
        <v>45</v>
      </c>
      <c r="B53" s="1336" t="s">
        <v>115</v>
      </c>
      <c r="C53" s="1337"/>
      <c r="D53" s="1337"/>
      <c r="E53" s="1338"/>
      <c r="F53" s="390">
        <f>SUM(F51,F49,F35,F27)</f>
        <v>12519607</v>
      </c>
      <c r="G53" s="390">
        <f>SUM(G51,G49,G35,G27)</f>
        <v>11340349</v>
      </c>
      <c r="H53" s="1185">
        <f>SUM(H51,H49,H35,H27)</f>
        <v>12943269</v>
      </c>
      <c r="I53" s="391"/>
      <c r="J53" s="392"/>
      <c r="K53" s="392"/>
      <c r="L53" s="392"/>
      <c r="M53" s="392"/>
      <c r="N53" s="392"/>
      <c r="O53" s="392"/>
      <c r="P53" s="392"/>
      <c r="Q53" s="392"/>
      <c r="R53" s="582"/>
      <c r="S53" s="329"/>
    </row>
    <row r="54" spans="1:19" s="383" customFormat="1" ht="18" customHeight="1" thickBot="1" x14ac:dyDescent="0.35">
      <c r="A54" s="324">
        <v>46</v>
      </c>
      <c r="B54" s="384"/>
      <c r="C54" s="385"/>
      <c r="D54" s="386"/>
      <c r="E54" s="387" t="s">
        <v>238</v>
      </c>
      <c r="F54" s="388"/>
      <c r="G54" s="388"/>
      <c r="H54" s="1184"/>
      <c r="I54" s="389">
        <f t="shared" ref="I54:R54" si="3">SUM(I52,I50,I36,I28)</f>
        <v>12775949</v>
      </c>
      <c r="J54" s="388">
        <f t="shared" si="3"/>
        <v>1293009</v>
      </c>
      <c r="K54" s="388">
        <f t="shared" si="3"/>
        <v>2745</v>
      </c>
      <c r="L54" s="388">
        <f t="shared" si="3"/>
        <v>0</v>
      </c>
      <c r="M54" s="388">
        <f t="shared" si="3"/>
        <v>0</v>
      </c>
      <c r="N54" s="388">
        <f t="shared" si="3"/>
        <v>0</v>
      </c>
      <c r="O54" s="388">
        <f t="shared" si="3"/>
        <v>0</v>
      </c>
      <c r="P54" s="388">
        <f t="shared" si="3"/>
        <v>464309</v>
      </c>
      <c r="Q54" s="388">
        <f t="shared" si="3"/>
        <v>11015886</v>
      </c>
      <c r="R54" s="581">
        <f t="shared" si="3"/>
        <v>7160494</v>
      </c>
      <c r="S54" s="382"/>
    </row>
    <row r="55" spans="1:19" ht="30" customHeight="1" x14ac:dyDescent="0.3">
      <c r="A55" s="324">
        <v>47</v>
      </c>
      <c r="B55" s="393">
        <v>17</v>
      </c>
      <c r="C55" s="394"/>
      <c r="D55" s="1339" t="s">
        <v>116</v>
      </c>
      <c r="E55" s="1340"/>
      <c r="F55" s="1187">
        <v>3446739</v>
      </c>
      <c r="G55" s="1187">
        <v>2856633</v>
      </c>
      <c r="H55" s="1188">
        <v>3870112</v>
      </c>
      <c r="I55" s="799"/>
      <c r="J55" s="800"/>
      <c r="K55" s="800"/>
      <c r="L55" s="392"/>
      <c r="M55" s="392"/>
      <c r="N55" s="392"/>
      <c r="O55" s="392"/>
      <c r="P55" s="392"/>
      <c r="Q55" s="392"/>
      <c r="R55" s="582"/>
      <c r="S55" s="328"/>
    </row>
    <row r="56" spans="1:19" s="383" customFormat="1" ht="18" customHeight="1" thickBot="1" x14ac:dyDescent="0.35">
      <c r="A56" s="324">
        <v>48</v>
      </c>
      <c r="B56" s="395"/>
      <c r="C56" s="370"/>
      <c r="D56" s="370"/>
      <c r="E56" s="396" t="s">
        <v>238</v>
      </c>
      <c r="F56" s="373"/>
      <c r="G56" s="373"/>
      <c r="H56" s="1186"/>
      <c r="I56" s="374">
        <f>SUM(J56:Q56)</f>
        <v>3377365</v>
      </c>
      <c r="J56" s="373">
        <v>8000</v>
      </c>
      <c r="K56" s="373">
        <v>40213</v>
      </c>
      <c r="L56" s="373"/>
      <c r="M56" s="373"/>
      <c r="N56" s="373"/>
      <c r="O56" s="373"/>
      <c r="P56" s="373">
        <v>459782</v>
      </c>
      <c r="Q56" s="373">
        <v>2869370</v>
      </c>
      <c r="R56" s="578">
        <v>1084908</v>
      </c>
      <c r="S56" s="382"/>
    </row>
    <row r="57" spans="1:19" s="381" customFormat="1" ht="30" customHeight="1" x14ac:dyDescent="0.3">
      <c r="A57" s="324">
        <v>49</v>
      </c>
      <c r="B57" s="1333" t="s">
        <v>13</v>
      </c>
      <c r="C57" s="1334"/>
      <c r="D57" s="1334"/>
      <c r="E57" s="1335"/>
      <c r="F57" s="390">
        <f>SUM(F53:F56)</f>
        <v>15966346</v>
      </c>
      <c r="G57" s="390">
        <f t="shared" ref="G57:H57" si="4">SUM(G53:G56)</f>
        <v>14196982</v>
      </c>
      <c r="H57" s="1185">
        <f t="shared" si="4"/>
        <v>16813381</v>
      </c>
      <c r="I57" s="397"/>
      <c r="J57" s="390"/>
      <c r="K57" s="390"/>
      <c r="L57" s="390"/>
      <c r="M57" s="390"/>
      <c r="N57" s="390"/>
      <c r="O57" s="390"/>
      <c r="P57" s="390"/>
      <c r="Q57" s="390"/>
      <c r="R57" s="583"/>
      <c r="S57" s="329"/>
    </row>
    <row r="58" spans="1:19" s="383" customFormat="1" ht="18" customHeight="1" thickBot="1" x14ac:dyDescent="0.35">
      <c r="A58" s="324">
        <v>50</v>
      </c>
      <c r="B58" s="384"/>
      <c r="C58" s="385"/>
      <c r="D58" s="385"/>
      <c r="E58" s="398" t="s">
        <v>238</v>
      </c>
      <c r="F58" s="388"/>
      <c r="G58" s="388"/>
      <c r="H58" s="1184"/>
      <c r="I58" s="389">
        <f>SUM(I54,I56)</f>
        <v>16153314</v>
      </c>
      <c r="J58" s="388">
        <f>SUM(J54,J56)</f>
        <v>1301009</v>
      </c>
      <c r="K58" s="388">
        <f t="shared" ref="K58:R58" si="5">SUM(K54,K56)</f>
        <v>42958</v>
      </c>
      <c r="L58" s="388">
        <f t="shared" si="5"/>
        <v>0</v>
      </c>
      <c r="M58" s="388">
        <f t="shared" si="5"/>
        <v>0</v>
      </c>
      <c r="N58" s="388">
        <f t="shared" si="5"/>
        <v>0</v>
      </c>
      <c r="O58" s="388">
        <f t="shared" si="5"/>
        <v>0</v>
      </c>
      <c r="P58" s="388">
        <f t="shared" si="5"/>
        <v>924091</v>
      </c>
      <c r="Q58" s="388">
        <f t="shared" si="5"/>
        <v>13885256</v>
      </c>
      <c r="R58" s="581">
        <f t="shared" si="5"/>
        <v>8245402</v>
      </c>
      <c r="S58" s="382"/>
    </row>
    <row r="59" spans="1:19" x14ac:dyDescent="0.2">
      <c r="F59" s="399"/>
      <c r="G59" s="399"/>
      <c r="H59" s="399"/>
      <c r="I59" s="399"/>
      <c r="J59" s="399"/>
      <c r="K59" s="399"/>
      <c r="L59" s="399"/>
      <c r="M59" s="399"/>
      <c r="N59" s="399"/>
      <c r="O59" s="399"/>
      <c r="P59" s="399"/>
      <c r="Q59" s="399"/>
      <c r="R59" s="640"/>
    </row>
    <row r="60" spans="1:19" x14ac:dyDescent="0.2">
      <c r="F60" s="399"/>
      <c r="G60" s="399"/>
      <c r="H60" s="399"/>
      <c r="I60" s="399"/>
      <c r="J60" s="399"/>
      <c r="K60" s="399"/>
      <c r="L60" s="399"/>
      <c r="M60" s="399"/>
      <c r="N60" s="399"/>
      <c r="O60" s="399"/>
      <c r="P60" s="399"/>
      <c r="Q60" s="399"/>
    </row>
    <row r="61" spans="1:19" x14ac:dyDescent="0.2">
      <c r="I61" s="399"/>
      <c r="J61" s="399"/>
      <c r="K61" s="399"/>
      <c r="L61" s="399"/>
      <c r="M61" s="399"/>
      <c r="N61" s="399"/>
      <c r="O61" s="399"/>
      <c r="P61" s="399"/>
      <c r="Q61" s="399"/>
      <c r="R61" s="399"/>
    </row>
  </sheetData>
  <mergeCells count="22">
    <mergeCell ref="D29:E29"/>
    <mergeCell ref="C35:E35"/>
    <mergeCell ref="B57:E57"/>
    <mergeCell ref="C49:E49"/>
    <mergeCell ref="B53:E53"/>
    <mergeCell ref="D55:E55"/>
    <mergeCell ref="Q7:R7"/>
    <mergeCell ref="C27:E27"/>
    <mergeCell ref="B1:E1"/>
    <mergeCell ref="B3:R3"/>
    <mergeCell ref="B4:R4"/>
    <mergeCell ref="D6:E6"/>
    <mergeCell ref="B7:B8"/>
    <mergeCell ref="C7:C8"/>
    <mergeCell ref="D7:E8"/>
    <mergeCell ref="F7:F8"/>
    <mergeCell ref="G7:G8"/>
    <mergeCell ref="H7:H8"/>
    <mergeCell ref="I7:I8"/>
    <mergeCell ref="J7:L7"/>
    <mergeCell ref="M7:O7"/>
    <mergeCell ref="P7:P8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64" fitToHeight="0" orientation="landscape" verticalDpi="300" r:id="rId1"/>
  <headerFooter alignWithMargins="0">
    <oddFooter>&amp;C- &amp;P -</oddFooter>
  </headerFooter>
  <rowBreaks count="1" manualBreakCount="1">
    <brk id="38" max="1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17"/>
  <sheetViews>
    <sheetView view="pageBreakPreview" zoomScaleNormal="100" zoomScaleSheetLayoutView="100" workbookViewId="0">
      <selection activeCell="B1" sqref="B1:G1"/>
    </sheetView>
  </sheetViews>
  <sheetFormatPr defaultColWidth="9.28515625" defaultRowHeight="15" x14ac:dyDescent="0.3"/>
  <cols>
    <col min="1" max="1" width="3.7109375" style="324" customWidth="1"/>
    <col min="2" max="2" width="5.5703125" style="403" customWidth="1"/>
    <col min="3" max="3" width="5.7109375" style="403" customWidth="1"/>
    <col min="4" max="4" width="4.7109375" style="403" customWidth="1"/>
    <col min="5" max="5" width="60.7109375" style="101" customWidth="1"/>
    <col min="6" max="6" width="6.7109375" style="165" customWidth="1"/>
    <col min="7" max="7" width="10.7109375" style="245" customWidth="1"/>
    <col min="8" max="9" width="12.28515625" style="245" customWidth="1"/>
    <col min="10" max="10" width="13.7109375" style="404" customWidth="1"/>
    <col min="11" max="18" width="14.7109375" style="245" customWidth="1"/>
    <col min="19" max="19" width="9.5703125" style="245" bestFit="1" customWidth="1"/>
    <col min="20" max="31" width="9.28515625" style="245"/>
    <col min="32" max="16384" width="9.28515625" style="101"/>
  </cols>
  <sheetData>
    <row r="1" spans="1:31" s="170" customFormat="1" ht="18" customHeight="1" x14ac:dyDescent="0.2">
      <c r="A1" s="324"/>
      <c r="B1" s="1312" t="s">
        <v>766</v>
      </c>
      <c r="C1" s="1312"/>
      <c r="D1" s="1312"/>
      <c r="E1" s="1312"/>
      <c r="F1" s="1312"/>
      <c r="G1" s="1312"/>
      <c r="H1" s="401"/>
      <c r="I1" s="401"/>
      <c r="J1" s="402"/>
      <c r="K1" s="401"/>
      <c r="L1" s="401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</row>
    <row r="2" spans="1:31" s="170" customFormat="1" ht="18" customHeight="1" x14ac:dyDescent="0.2">
      <c r="A2" s="324"/>
      <c r="B2" s="966"/>
      <c r="C2" s="966"/>
      <c r="D2" s="966"/>
      <c r="E2" s="966"/>
      <c r="F2" s="966"/>
      <c r="G2" s="966"/>
      <c r="H2" s="401"/>
      <c r="I2" s="401"/>
      <c r="J2" s="402"/>
      <c r="K2" s="401"/>
      <c r="L2" s="401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401"/>
      <c r="AE2" s="401"/>
    </row>
    <row r="3" spans="1:31" s="170" customFormat="1" ht="24.75" customHeight="1" x14ac:dyDescent="0.2">
      <c r="A3" s="324"/>
      <c r="B3" s="1313" t="s">
        <v>754</v>
      </c>
      <c r="C3" s="1313"/>
      <c r="D3" s="1313"/>
      <c r="E3" s="1313"/>
      <c r="F3" s="1313"/>
      <c r="G3" s="1313"/>
      <c r="H3" s="1313"/>
      <c r="I3" s="1313"/>
      <c r="J3" s="1313"/>
      <c r="K3" s="1313"/>
      <c r="L3" s="1313"/>
      <c r="M3" s="1313"/>
      <c r="N3" s="1313"/>
      <c r="O3" s="1313"/>
      <c r="P3" s="1313"/>
      <c r="Q3" s="1313"/>
      <c r="R3" s="1313"/>
      <c r="S3" s="401"/>
      <c r="T3" s="401"/>
      <c r="U3" s="401"/>
      <c r="V3" s="401"/>
      <c r="W3" s="401"/>
      <c r="X3" s="401"/>
      <c r="Y3" s="401"/>
      <c r="Z3" s="401"/>
      <c r="AA3" s="401"/>
      <c r="AB3" s="401"/>
      <c r="AC3" s="401"/>
      <c r="AD3" s="401"/>
      <c r="AE3" s="401"/>
    </row>
    <row r="4" spans="1:31" s="170" customFormat="1" ht="24.75" customHeight="1" x14ac:dyDescent="0.2">
      <c r="A4" s="324"/>
      <c r="B4" s="1313" t="s">
        <v>707</v>
      </c>
      <c r="C4" s="1313"/>
      <c r="D4" s="1313"/>
      <c r="E4" s="1313"/>
      <c r="F4" s="1313"/>
      <c r="G4" s="1313"/>
      <c r="H4" s="1313"/>
      <c r="I4" s="1313"/>
      <c r="J4" s="1313"/>
      <c r="K4" s="1313"/>
      <c r="L4" s="1313"/>
      <c r="M4" s="1313"/>
      <c r="N4" s="1313"/>
      <c r="O4" s="1313"/>
      <c r="P4" s="1313"/>
      <c r="Q4" s="1313"/>
      <c r="R4" s="1313"/>
      <c r="S4" s="401"/>
      <c r="T4" s="401"/>
      <c r="U4" s="401"/>
      <c r="V4" s="401"/>
      <c r="W4" s="401"/>
      <c r="X4" s="401"/>
      <c r="Y4" s="401"/>
      <c r="Z4" s="401"/>
      <c r="AA4" s="401"/>
      <c r="AB4" s="401"/>
      <c r="AC4" s="401"/>
      <c r="AD4" s="401"/>
      <c r="AE4" s="401"/>
    </row>
    <row r="5" spans="1:31" ht="18" customHeight="1" x14ac:dyDescent="0.3">
      <c r="Q5" s="1349" t="s">
        <v>0</v>
      </c>
      <c r="R5" s="1349"/>
    </row>
    <row r="6" spans="1:31" s="324" customFormat="1" ht="18" customHeight="1" thickBot="1" x14ac:dyDescent="0.25">
      <c r="B6" s="324" t="s">
        <v>1</v>
      </c>
      <c r="C6" s="324" t="s">
        <v>3</v>
      </c>
      <c r="D6" s="1314" t="s">
        <v>2</v>
      </c>
      <c r="E6" s="1314"/>
      <c r="F6" s="324" t="s">
        <v>4</v>
      </c>
      <c r="G6" s="324" t="s">
        <v>5</v>
      </c>
      <c r="H6" s="324" t="s">
        <v>15</v>
      </c>
      <c r="I6" s="324" t="s">
        <v>16</v>
      </c>
      <c r="J6" s="324" t="s">
        <v>17</v>
      </c>
      <c r="K6" s="324" t="s">
        <v>32</v>
      </c>
      <c r="L6" s="324" t="s">
        <v>28</v>
      </c>
      <c r="M6" s="324" t="s">
        <v>23</v>
      </c>
      <c r="N6" s="324" t="s">
        <v>33</v>
      </c>
      <c r="O6" s="324" t="s">
        <v>34</v>
      </c>
      <c r="P6" s="324" t="s">
        <v>117</v>
      </c>
      <c r="Q6" s="324" t="s">
        <v>118</v>
      </c>
      <c r="R6" s="324" t="s">
        <v>119</v>
      </c>
    </row>
    <row r="7" spans="1:31" s="165" customFormat="1" ht="30" customHeight="1" x14ac:dyDescent="0.3">
      <c r="A7" s="324"/>
      <c r="B7" s="1315" t="s">
        <v>18</v>
      </c>
      <c r="C7" s="1350" t="s">
        <v>19</v>
      </c>
      <c r="D7" s="1319" t="s">
        <v>6</v>
      </c>
      <c r="E7" s="1352"/>
      <c r="F7" s="1354" t="s">
        <v>20</v>
      </c>
      <c r="G7" s="1323" t="s">
        <v>603</v>
      </c>
      <c r="H7" s="1323" t="s">
        <v>532</v>
      </c>
      <c r="I7" s="1325" t="s">
        <v>619</v>
      </c>
      <c r="J7" s="1356" t="s">
        <v>719</v>
      </c>
      <c r="K7" s="1358" t="s">
        <v>35</v>
      </c>
      <c r="L7" s="1359"/>
      <c r="M7" s="1359"/>
      <c r="N7" s="1359"/>
      <c r="O7" s="1360"/>
      <c r="P7" s="1361" t="s">
        <v>120</v>
      </c>
      <c r="Q7" s="1361"/>
      <c r="R7" s="1361"/>
    </row>
    <row r="8" spans="1:31" s="165" customFormat="1" ht="60.75" customHeight="1" thickBot="1" x14ac:dyDescent="0.35">
      <c r="A8" s="324"/>
      <c r="B8" s="1316"/>
      <c r="C8" s="1351"/>
      <c r="D8" s="1321"/>
      <c r="E8" s="1353"/>
      <c r="F8" s="1355"/>
      <c r="G8" s="1324"/>
      <c r="H8" s="1324"/>
      <c r="I8" s="1326"/>
      <c r="J8" s="1357"/>
      <c r="K8" s="584" t="s">
        <v>36</v>
      </c>
      <c r="L8" s="584" t="s">
        <v>37</v>
      </c>
      <c r="M8" s="584" t="s">
        <v>38</v>
      </c>
      <c r="N8" s="584" t="s">
        <v>174</v>
      </c>
      <c r="O8" s="584" t="s">
        <v>39</v>
      </c>
      <c r="P8" s="405" t="s">
        <v>181</v>
      </c>
      <c r="Q8" s="584" t="s">
        <v>182</v>
      </c>
      <c r="R8" s="584" t="s">
        <v>121</v>
      </c>
    </row>
    <row r="9" spans="1:31" ht="22.5" customHeight="1" x14ac:dyDescent="0.3">
      <c r="A9" s="324">
        <v>1</v>
      </c>
      <c r="B9" s="331">
        <v>1</v>
      </c>
      <c r="C9" s="406"/>
      <c r="D9" s="407" t="s">
        <v>241</v>
      </c>
      <c r="E9" s="407"/>
      <c r="F9" s="408" t="s">
        <v>23</v>
      </c>
      <c r="G9" s="335">
        <v>378796</v>
      </c>
      <c r="H9" s="335">
        <v>414088</v>
      </c>
      <c r="I9" s="1205">
        <v>440794</v>
      </c>
      <c r="J9" s="409"/>
      <c r="K9" s="335"/>
      <c r="L9" s="335"/>
      <c r="M9" s="335"/>
      <c r="N9" s="335"/>
      <c r="O9" s="335"/>
      <c r="P9" s="335"/>
      <c r="Q9" s="335"/>
      <c r="R9" s="410"/>
    </row>
    <row r="10" spans="1:31" ht="18" customHeight="1" x14ac:dyDescent="0.3">
      <c r="A10" s="324">
        <v>2</v>
      </c>
      <c r="B10" s="337"/>
      <c r="C10" s="411"/>
      <c r="D10" s="412" t="s">
        <v>245</v>
      </c>
      <c r="E10" s="412"/>
      <c r="F10" s="340"/>
      <c r="G10" s="340"/>
      <c r="H10" s="340"/>
      <c r="I10" s="1206"/>
      <c r="J10" s="413"/>
      <c r="K10" s="340"/>
      <c r="L10" s="340"/>
      <c r="M10" s="340"/>
      <c r="N10" s="340"/>
      <c r="O10" s="340"/>
      <c r="P10" s="340"/>
      <c r="Q10" s="340"/>
      <c r="R10" s="414"/>
    </row>
    <row r="11" spans="1:31" s="347" customFormat="1" ht="18" customHeight="1" x14ac:dyDescent="0.3">
      <c r="A11" s="324">
        <v>3</v>
      </c>
      <c r="B11" s="342"/>
      <c r="C11" s="415"/>
      <c r="D11" s="415"/>
      <c r="E11" s="416" t="s">
        <v>238</v>
      </c>
      <c r="F11" s="417"/>
      <c r="G11" s="417"/>
      <c r="H11" s="417"/>
      <c r="I11" s="1207"/>
      <c r="J11" s="418">
        <f>SUM(K11:R11)</f>
        <v>463126</v>
      </c>
      <c r="K11" s="419">
        <v>319129</v>
      </c>
      <c r="L11" s="419">
        <v>48787</v>
      </c>
      <c r="M11" s="419">
        <v>95210</v>
      </c>
      <c r="N11" s="419"/>
      <c r="O11" s="419"/>
      <c r="P11" s="419"/>
      <c r="Q11" s="419"/>
      <c r="R11" s="420"/>
      <c r="S11" s="421"/>
      <c r="T11" s="421"/>
      <c r="U11" s="421"/>
      <c r="V11" s="421"/>
      <c r="W11" s="421"/>
      <c r="X11" s="421"/>
      <c r="Y11" s="421"/>
      <c r="Z11" s="421"/>
      <c r="AA11" s="421"/>
      <c r="AB11" s="421"/>
      <c r="AC11" s="421"/>
      <c r="AD11" s="421"/>
      <c r="AE11" s="421"/>
    </row>
    <row r="12" spans="1:31" s="376" customFormat="1" ht="22.5" customHeight="1" x14ac:dyDescent="0.3">
      <c r="A12" s="324">
        <v>4</v>
      </c>
      <c r="B12" s="337">
        <v>2</v>
      </c>
      <c r="C12" s="411"/>
      <c r="D12" s="422" t="s">
        <v>240</v>
      </c>
      <c r="E12" s="422"/>
      <c r="F12" s="423" t="s">
        <v>23</v>
      </c>
      <c r="G12" s="340">
        <v>600462</v>
      </c>
      <c r="H12" s="340">
        <v>652476</v>
      </c>
      <c r="I12" s="1206">
        <v>689613</v>
      </c>
      <c r="J12" s="413"/>
      <c r="K12" s="340"/>
      <c r="L12" s="340"/>
      <c r="M12" s="340"/>
      <c r="N12" s="340"/>
      <c r="O12" s="340"/>
      <c r="P12" s="340"/>
      <c r="Q12" s="340"/>
      <c r="R12" s="414"/>
      <c r="S12" s="424"/>
      <c r="T12" s="424"/>
      <c r="U12" s="424"/>
      <c r="V12" s="424"/>
      <c r="W12" s="424"/>
      <c r="X12" s="424"/>
      <c r="Y12" s="424"/>
      <c r="Z12" s="424"/>
      <c r="AA12" s="424"/>
      <c r="AB12" s="424"/>
      <c r="AC12" s="424"/>
      <c r="AD12" s="424"/>
      <c r="AE12" s="424"/>
    </row>
    <row r="13" spans="1:31" ht="18" customHeight="1" x14ac:dyDescent="0.3">
      <c r="A13" s="324">
        <v>5</v>
      </c>
      <c r="B13" s="337"/>
      <c r="C13" s="411"/>
      <c r="D13" s="412" t="s">
        <v>239</v>
      </c>
      <c r="E13" s="412"/>
      <c r="F13" s="340"/>
      <c r="G13" s="340"/>
      <c r="H13" s="340"/>
      <c r="I13" s="1206"/>
      <c r="J13" s="413"/>
      <c r="K13" s="340"/>
      <c r="L13" s="340"/>
      <c r="M13" s="340"/>
      <c r="N13" s="340"/>
      <c r="O13" s="340"/>
      <c r="P13" s="340"/>
      <c r="Q13" s="340"/>
      <c r="R13" s="414"/>
    </row>
    <row r="14" spans="1:31" s="358" customFormat="1" ht="18" customHeight="1" x14ac:dyDescent="0.3">
      <c r="A14" s="324">
        <v>6</v>
      </c>
      <c r="B14" s="342"/>
      <c r="C14" s="415"/>
      <c r="D14" s="415"/>
      <c r="E14" s="416" t="s">
        <v>238</v>
      </c>
      <c r="F14" s="417"/>
      <c r="G14" s="417"/>
      <c r="H14" s="417"/>
      <c r="I14" s="1207"/>
      <c r="J14" s="418">
        <f>SUM(K14:R14)</f>
        <v>683935</v>
      </c>
      <c r="K14" s="419">
        <v>472041</v>
      </c>
      <c r="L14" s="419">
        <v>77937</v>
      </c>
      <c r="M14" s="419">
        <v>133957</v>
      </c>
      <c r="N14" s="419"/>
      <c r="O14" s="419"/>
      <c r="P14" s="419"/>
      <c r="Q14" s="419"/>
      <c r="R14" s="420"/>
      <c r="S14" s="425"/>
      <c r="T14" s="425"/>
      <c r="U14" s="425"/>
      <c r="V14" s="425"/>
      <c r="W14" s="425"/>
      <c r="X14" s="425"/>
      <c r="Y14" s="425"/>
      <c r="Z14" s="425"/>
      <c r="AA14" s="425"/>
      <c r="AB14" s="425"/>
      <c r="AC14" s="425"/>
      <c r="AD14" s="425"/>
      <c r="AE14" s="425"/>
    </row>
    <row r="15" spans="1:31" ht="22.5" customHeight="1" x14ac:dyDescent="0.3">
      <c r="A15" s="324">
        <v>7</v>
      </c>
      <c r="B15" s="337">
        <v>3</v>
      </c>
      <c r="C15" s="411"/>
      <c r="D15" s="422" t="s">
        <v>211</v>
      </c>
      <c r="E15" s="422"/>
      <c r="F15" s="423" t="s">
        <v>23</v>
      </c>
      <c r="G15" s="340">
        <v>604048</v>
      </c>
      <c r="H15" s="340">
        <v>701980</v>
      </c>
      <c r="I15" s="1206">
        <v>734968</v>
      </c>
      <c r="J15" s="413"/>
      <c r="K15" s="340"/>
      <c r="L15" s="340"/>
      <c r="M15" s="340"/>
      <c r="N15" s="340"/>
      <c r="O15" s="340"/>
      <c r="P15" s="340"/>
      <c r="Q15" s="340"/>
      <c r="R15" s="414"/>
    </row>
    <row r="16" spans="1:31" s="328" customFormat="1" ht="18" customHeight="1" x14ac:dyDescent="0.3">
      <c r="A16" s="324">
        <v>8</v>
      </c>
      <c r="B16" s="337"/>
      <c r="C16" s="411"/>
      <c r="D16" s="412" t="s">
        <v>110</v>
      </c>
      <c r="E16" s="412"/>
      <c r="F16" s="340"/>
      <c r="G16" s="340"/>
      <c r="H16" s="340"/>
      <c r="I16" s="1206"/>
      <c r="J16" s="413"/>
      <c r="K16" s="340"/>
      <c r="L16" s="340"/>
      <c r="M16" s="340"/>
      <c r="N16" s="340"/>
      <c r="O16" s="340"/>
      <c r="P16" s="340"/>
      <c r="Q16" s="340"/>
      <c r="R16" s="414"/>
      <c r="S16" s="426"/>
      <c r="T16" s="426"/>
      <c r="U16" s="426"/>
      <c r="V16" s="426"/>
      <c r="W16" s="426"/>
      <c r="X16" s="426"/>
      <c r="Y16" s="426"/>
      <c r="Z16" s="426"/>
      <c r="AA16" s="426"/>
      <c r="AB16" s="426"/>
      <c r="AC16" s="426"/>
      <c r="AD16" s="426"/>
      <c r="AE16" s="426"/>
    </row>
    <row r="17" spans="1:31" s="347" customFormat="1" ht="18" customHeight="1" x14ac:dyDescent="0.3">
      <c r="A17" s="324">
        <v>9</v>
      </c>
      <c r="B17" s="342"/>
      <c r="C17" s="415"/>
      <c r="D17" s="415"/>
      <c r="E17" s="416" t="s">
        <v>238</v>
      </c>
      <c r="F17" s="417"/>
      <c r="G17" s="417"/>
      <c r="H17" s="417"/>
      <c r="I17" s="1207"/>
      <c r="J17" s="418">
        <f>SUM(K17:R17)</f>
        <v>759351</v>
      </c>
      <c r="K17" s="419">
        <v>553882</v>
      </c>
      <c r="L17" s="419">
        <v>85751</v>
      </c>
      <c r="M17" s="419">
        <v>119718</v>
      </c>
      <c r="N17" s="419"/>
      <c r="O17" s="419"/>
      <c r="P17" s="419"/>
      <c r="Q17" s="419"/>
      <c r="R17" s="420"/>
      <c r="S17" s="421"/>
      <c r="T17" s="421"/>
      <c r="U17" s="421"/>
      <c r="V17" s="421"/>
      <c r="W17" s="421"/>
      <c r="X17" s="421"/>
      <c r="Y17" s="421"/>
      <c r="Z17" s="421"/>
      <c r="AA17" s="421"/>
      <c r="AB17" s="421"/>
      <c r="AC17" s="421"/>
      <c r="AD17" s="421"/>
      <c r="AE17" s="421"/>
    </row>
    <row r="18" spans="1:31" ht="22.5" customHeight="1" x14ac:dyDescent="0.3">
      <c r="A18" s="324">
        <v>10</v>
      </c>
      <c r="B18" s="337">
        <v>4</v>
      </c>
      <c r="C18" s="411"/>
      <c r="D18" s="422" t="s">
        <v>212</v>
      </c>
      <c r="E18" s="422"/>
      <c r="F18" s="423" t="s">
        <v>23</v>
      </c>
      <c r="G18" s="340">
        <v>548244</v>
      </c>
      <c r="H18" s="340">
        <v>616150</v>
      </c>
      <c r="I18" s="1206">
        <v>651784</v>
      </c>
      <c r="J18" s="413"/>
      <c r="K18" s="340"/>
      <c r="L18" s="340"/>
      <c r="M18" s="340"/>
      <c r="N18" s="340"/>
      <c r="O18" s="340"/>
      <c r="P18" s="340"/>
      <c r="Q18" s="340"/>
      <c r="R18" s="414"/>
    </row>
    <row r="19" spans="1:31" ht="18" customHeight="1" x14ac:dyDescent="0.3">
      <c r="A19" s="324">
        <v>11</v>
      </c>
      <c r="B19" s="337"/>
      <c r="C19" s="411"/>
      <c r="D19" s="412" t="s">
        <v>111</v>
      </c>
      <c r="E19" s="412"/>
      <c r="F19" s="340"/>
      <c r="G19" s="340"/>
      <c r="H19" s="340"/>
      <c r="I19" s="1206"/>
      <c r="J19" s="413"/>
      <c r="K19" s="340"/>
      <c r="L19" s="340"/>
      <c r="M19" s="340"/>
      <c r="N19" s="340"/>
      <c r="O19" s="340"/>
      <c r="P19" s="340"/>
      <c r="Q19" s="340"/>
      <c r="R19" s="414"/>
    </row>
    <row r="20" spans="1:31" s="347" customFormat="1" ht="18" customHeight="1" x14ac:dyDescent="0.3">
      <c r="A20" s="324">
        <v>12</v>
      </c>
      <c r="B20" s="342"/>
      <c r="C20" s="415"/>
      <c r="D20" s="415"/>
      <c r="E20" s="416" t="s">
        <v>238</v>
      </c>
      <c r="F20" s="417"/>
      <c r="G20" s="417"/>
      <c r="H20" s="417"/>
      <c r="I20" s="1207"/>
      <c r="J20" s="418">
        <f>SUM(K20:R20)</f>
        <v>704293</v>
      </c>
      <c r="K20" s="419">
        <v>515238</v>
      </c>
      <c r="L20" s="419">
        <v>78803</v>
      </c>
      <c r="M20" s="419">
        <v>110252</v>
      </c>
      <c r="N20" s="419"/>
      <c r="O20" s="419"/>
      <c r="P20" s="419"/>
      <c r="Q20" s="419"/>
      <c r="R20" s="420"/>
      <c r="S20" s="421"/>
      <c r="T20" s="421"/>
      <c r="U20" s="421"/>
      <c r="V20" s="421"/>
      <c r="W20" s="421"/>
      <c r="X20" s="421"/>
      <c r="Y20" s="421"/>
      <c r="Z20" s="421"/>
      <c r="AA20" s="421"/>
      <c r="AB20" s="421"/>
      <c r="AC20" s="421"/>
      <c r="AD20" s="421"/>
      <c r="AE20" s="421"/>
    </row>
    <row r="21" spans="1:31" s="376" customFormat="1" ht="22.5" customHeight="1" x14ac:dyDescent="0.3">
      <c r="A21" s="324">
        <v>13</v>
      </c>
      <c r="B21" s="337">
        <v>5</v>
      </c>
      <c r="C21" s="411"/>
      <c r="D21" s="422" t="s">
        <v>213</v>
      </c>
      <c r="E21" s="422"/>
      <c r="F21" s="423" t="s">
        <v>23</v>
      </c>
      <c r="G21" s="340">
        <v>579996</v>
      </c>
      <c r="H21" s="340">
        <v>658480</v>
      </c>
      <c r="I21" s="1206">
        <v>698105</v>
      </c>
      <c r="J21" s="413"/>
      <c r="K21" s="340"/>
      <c r="L21" s="340"/>
      <c r="M21" s="340"/>
      <c r="N21" s="427"/>
      <c r="O21" s="427"/>
      <c r="P21" s="427"/>
      <c r="Q21" s="427"/>
      <c r="R21" s="428"/>
      <c r="S21" s="424"/>
      <c r="T21" s="424"/>
      <c r="U21" s="424"/>
      <c r="V21" s="424"/>
      <c r="W21" s="424"/>
      <c r="X21" s="424"/>
      <c r="Y21" s="424"/>
      <c r="Z21" s="424"/>
      <c r="AA21" s="424"/>
      <c r="AB21" s="424"/>
      <c r="AC21" s="424"/>
      <c r="AD21" s="424"/>
      <c r="AE21" s="424"/>
    </row>
    <row r="22" spans="1:31" ht="18" customHeight="1" x14ac:dyDescent="0.3">
      <c r="A22" s="324">
        <v>14</v>
      </c>
      <c r="B22" s="337"/>
      <c r="C22" s="411"/>
      <c r="D22" s="412" t="s">
        <v>112</v>
      </c>
      <c r="E22" s="412"/>
      <c r="F22" s="340"/>
      <c r="G22" s="340"/>
      <c r="H22" s="340"/>
      <c r="I22" s="1206"/>
      <c r="J22" s="413"/>
      <c r="K22" s="340"/>
      <c r="L22" s="340"/>
      <c r="M22" s="340"/>
      <c r="N22" s="427"/>
      <c r="O22" s="427"/>
      <c r="P22" s="427"/>
      <c r="Q22" s="427"/>
      <c r="R22" s="428"/>
    </row>
    <row r="23" spans="1:31" s="358" customFormat="1" ht="18" customHeight="1" x14ac:dyDescent="0.3">
      <c r="A23" s="324">
        <v>15</v>
      </c>
      <c r="B23" s="342"/>
      <c r="C23" s="415"/>
      <c r="D23" s="415"/>
      <c r="E23" s="416" t="s">
        <v>238</v>
      </c>
      <c r="F23" s="417"/>
      <c r="G23" s="417"/>
      <c r="H23" s="417"/>
      <c r="I23" s="1207"/>
      <c r="J23" s="418">
        <f>SUM(K23:R23)</f>
        <v>739562</v>
      </c>
      <c r="K23" s="419">
        <v>503973</v>
      </c>
      <c r="L23" s="419">
        <v>76143</v>
      </c>
      <c r="M23" s="419">
        <v>159184</v>
      </c>
      <c r="N23" s="419"/>
      <c r="O23" s="419"/>
      <c r="P23" s="419">
        <v>262</v>
      </c>
      <c r="Q23" s="419"/>
      <c r="R23" s="420"/>
      <c r="S23" s="425"/>
      <c r="T23" s="425"/>
      <c r="U23" s="425"/>
      <c r="V23" s="425"/>
      <c r="W23" s="425"/>
      <c r="X23" s="425"/>
      <c r="Y23" s="425"/>
      <c r="Z23" s="425"/>
      <c r="AA23" s="425"/>
      <c r="AB23" s="425"/>
      <c r="AC23" s="425"/>
      <c r="AD23" s="425"/>
      <c r="AE23" s="425"/>
    </row>
    <row r="24" spans="1:31" s="329" customFormat="1" ht="22.5" customHeight="1" x14ac:dyDescent="0.3">
      <c r="A24" s="324">
        <v>16</v>
      </c>
      <c r="B24" s="337">
        <v>6</v>
      </c>
      <c r="C24" s="411"/>
      <c r="D24" s="422" t="s">
        <v>214</v>
      </c>
      <c r="E24" s="422"/>
      <c r="F24" s="423" t="s">
        <v>23</v>
      </c>
      <c r="G24" s="340">
        <v>341296</v>
      </c>
      <c r="H24" s="340">
        <v>386867</v>
      </c>
      <c r="I24" s="1206">
        <v>413157</v>
      </c>
      <c r="J24" s="413"/>
      <c r="K24" s="340"/>
      <c r="L24" s="340"/>
      <c r="M24" s="340"/>
      <c r="N24" s="427"/>
      <c r="O24" s="427"/>
      <c r="P24" s="427"/>
      <c r="Q24" s="427"/>
      <c r="R24" s="428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</row>
    <row r="25" spans="1:31" s="376" customFormat="1" ht="18" customHeight="1" x14ac:dyDescent="0.3">
      <c r="A25" s="324">
        <v>17</v>
      </c>
      <c r="B25" s="337"/>
      <c r="C25" s="411"/>
      <c r="D25" s="412" t="s">
        <v>113</v>
      </c>
      <c r="E25" s="412"/>
      <c r="F25" s="340"/>
      <c r="G25" s="340"/>
      <c r="H25" s="340"/>
      <c r="I25" s="1206"/>
      <c r="J25" s="413"/>
      <c r="K25" s="340"/>
      <c r="L25" s="340"/>
      <c r="M25" s="340"/>
      <c r="N25" s="427"/>
      <c r="O25" s="427"/>
      <c r="P25" s="427"/>
      <c r="Q25" s="427"/>
      <c r="R25" s="428"/>
      <c r="S25" s="424"/>
      <c r="T25" s="424"/>
      <c r="U25" s="424"/>
      <c r="V25" s="424"/>
      <c r="W25" s="424"/>
      <c r="X25" s="424"/>
      <c r="Y25" s="424"/>
      <c r="Z25" s="424"/>
      <c r="AA25" s="424"/>
      <c r="AB25" s="424"/>
      <c r="AC25" s="424"/>
      <c r="AD25" s="424"/>
      <c r="AE25" s="424"/>
    </row>
    <row r="26" spans="1:31" s="358" customFormat="1" ht="18" customHeight="1" thickBot="1" x14ac:dyDescent="0.35">
      <c r="A26" s="324">
        <v>18</v>
      </c>
      <c r="B26" s="342"/>
      <c r="C26" s="415"/>
      <c r="D26" s="415"/>
      <c r="E26" s="416" t="s">
        <v>238</v>
      </c>
      <c r="F26" s="417"/>
      <c r="G26" s="417"/>
      <c r="H26" s="417"/>
      <c r="I26" s="1207"/>
      <c r="J26" s="418">
        <f>SUM(K26:R26)</f>
        <v>434415</v>
      </c>
      <c r="K26" s="419">
        <v>297106</v>
      </c>
      <c r="L26" s="419">
        <v>45861</v>
      </c>
      <c r="M26" s="419">
        <v>91448</v>
      </c>
      <c r="N26" s="419"/>
      <c r="O26" s="419"/>
      <c r="P26" s="419"/>
      <c r="Q26" s="419"/>
      <c r="R26" s="420"/>
      <c r="S26" s="425"/>
      <c r="T26" s="425"/>
      <c r="U26" s="425"/>
      <c r="V26" s="425"/>
      <c r="W26" s="425"/>
      <c r="X26" s="425"/>
      <c r="Y26" s="425"/>
      <c r="Z26" s="425"/>
      <c r="AA26" s="425"/>
      <c r="AB26" s="425"/>
      <c r="AC26" s="425"/>
      <c r="AD26" s="425"/>
      <c r="AE26" s="425"/>
    </row>
    <row r="27" spans="1:31" s="434" customFormat="1" ht="22.5" customHeight="1" thickTop="1" x14ac:dyDescent="0.2">
      <c r="A27" s="324">
        <v>19</v>
      </c>
      <c r="B27" s="429"/>
      <c r="C27" s="1309" t="s">
        <v>311</v>
      </c>
      <c r="D27" s="1310"/>
      <c r="E27" s="1311"/>
      <c r="F27" s="430"/>
      <c r="G27" s="430">
        <f>SUM(G9:G26)</f>
        <v>3052842</v>
      </c>
      <c r="H27" s="430">
        <f>SUM(H9:H26)</f>
        <v>3430041</v>
      </c>
      <c r="I27" s="1189">
        <f>SUM(I9:I26)</f>
        <v>3628421</v>
      </c>
      <c r="J27" s="431"/>
      <c r="K27" s="430"/>
      <c r="L27" s="430"/>
      <c r="M27" s="430"/>
      <c r="N27" s="430"/>
      <c r="O27" s="430"/>
      <c r="P27" s="430"/>
      <c r="Q27" s="430"/>
      <c r="R27" s="432"/>
      <c r="S27" s="433"/>
      <c r="T27" s="433"/>
      <c r="U27" s="433"/>
      <c r="V27" s="433"/>
      <c r="W27" s="433"/>
      <c r="X27" s="433"/>
      <c r="Y27" s="433"/>
      <c r="Z27" s="433"/>
      <c r="AA27" s="433"/>
      <c r="AB27" s="433"/>
      <c r="AC27" s="433"/>
      <c r="AD27" s="433"/>
      <c r="AE27" s="433"/>
    </row>
    <row r="28" spans="1:31" s="347" customFormat="1" ht="18" customHeight="1" thickBot="1" x14ac:dyDescent="0.35">
      <c r="A28" s="324">
        <v>20</v>
      </c>
      <c r="B28" s="395"/>
      <c r="C28" s="435"/>
      <c r="D28" s="436"/>
      <c r="E28" s="437" t="s">
        <v>238</v>
      </c>
      <c r="F28" s="438"/>
      <c r="G28" s="438"/>
      <c r="H28" s="438"/>
      <c r="I28" s="1190"/>
      <c r="J28" s="439">
        <f>SUM(K28:R28)</f>
        <v>3784682</v>
      </c>
      <c r="K28" s="440">
        <f>SUM(K11,K14,K17,K20,K23,K26)</f>
        <v>2661369</v>
      </c>
      <c r="L28" s="440">
        <f t="shared" ref="L28:R28" si="0">SUM(L11,L14,L17,L20,L23,L26)</f>
        <v>413282</v>
      </c>
      <c r="M28" s="440">
        <f t="shared" si="0"/>
        <v>709769</v>
      </c>
      <c r="N28" s="440">
        <f t="shared" si="0"/>
        <v>0</v>
      </c>
      <c r="O28" s="440">
        <f t="shared" si="0"/>
        <v>0</v>
      </c>
      <c r="P28" s="440">
        <f t="shared" si="0"/>
        <v>262</v>
      </c>
      <c r="Q28" s="440">
        <f t="shared" si="0"/>
        <v>0</v>
      </c>
      <c r="R28" s="441">
        <f t="shared" si="0"/>
        <v>0</v>
      </c>
      <c r="S28" s="421"/>
      <c r="T28" s="421"/>
      <c r="U28" s="421"/>
      <c r="V28" s="421"/>
      <c r="W28" s="421"/>
      <c r="X28" s="421"/>
      <c r="Y28" s="421"/>
      <c r="Z28" s="421"/>
      <c r="AA28" s="421"/>
      <c r="AB28" s="421"/>
      <c r="AC28" s="421"/>
      <c r="AD28" s="421"/>
      <c r="AE28" s="421"/>
    </row>
    <row r="29" spans="1:31" s="329" customFormat="1" ht="22.5" customHeight="1" thickTop="1" x14ac:dyDescent="0.3">
      <c r="A29" s="324">
        <v>21</v>
      </c>
      <c r="B29" s="331">
        <v>7</v>
      </c>
      <c r="C29" s="406"/>
      <c r="D29" s="407" t="s">
        <v>247</v>
      </c>
      <c r="E29" s="442"/>
      <c r="F29" s="408" t="s">
        <v>23</v>
      </c>
      <c r="G29" s="335">
        <v>1965346</v>
      </c>
      <c r="H29" s="335">
        <v>1983101</v>
      </c>
      <c r="I29" s="1205">
        <v>2194665</v>
      </c>
      <c r="J29" s="443"/>
      <c r="K29" s="335"/>
      <c r="L29" s="335"/>
      <c r="M29" s="335"/>
      <c r="N29" s="335"/>
      <c r="O29" s="335"/>
      <c r="P29" s="335"/>
      <c r="Q29" s="335"/>
      <c r="R29" s="410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</row>
    <row r="30" spans="1:31" s="347" customFormat="1" ht="18" customHeight="1" x14ac:dyDescent="0.3">
      <c r="A30" s="324">
        <v>22</v>
      </c>
      <c r="B30" s="342"/>
      <c r="C30" s="415"/>
      <c r="D30" s="415"/>
      <c r="E30" s="416" t="s">
        <v>238</v>
      </c>
      <c r="F30" s="417"/>
      <c r="G30" s="417"/>
      <c r="H30" s="417"/>
      <c r="I30" s="1207"/>
      <c r="J30" s="418">
        <f>SUM(K30:R30)</f>
        <v>2316839</v>
      </c>
      <c r="K30" s="419">
        <v>1688435</v>
      </c>
      <c r="L30" s="419">
        <v>257656</v>
      </c>
      <c r="M30" s="419">
        <v>370748</v>
      </c>
      <c r="N30" s="419"/>
      <c r="O30" s="419"/>
      <c r="P30" s="419"/>
      <c r="Q30" s="419"/>
      <c r="R30" s="420"/>
      <c r="S30" s="421"/>
      <c r="T30" s="421"/>
      <c r="U30" s="421"/>
      <c r="V30" s="421"/>
      <c r="W30" s="421"/>
      <c r="X30" s="421"/>
      <c r="Y30" s="421"/>
      <c r="Z30" s="421"/>
      <c r="AA30" s="421"/>
      <c r="AB30" s="421"/>
      <c r="AC30" s="421"/>
      <c r="AD30" s="421"/>
      <c r="AE30" s="421"/>
    </row>
    <row r="31" spans="1:31" s="376" customFormat="1" ht="22.5" customHeight="1" x14ac:dyDescent="0.3">
      <c r="A31" s="324">
        <v>23</v>
      </c>
      <c r="B31" s="337">
        <v>8</v>
      </c>
      <c r="C31" s="411"/>
      <c r="D31" s="422" t="s">
        <v>93</v>
      </c>
      <c r="E31" s="422"/>
      <c r="F31" s="423" t="s">
        <v>23</v>
      </c>
      <c r="G31" s="340">
        <v>144398</v>
      </c>
      <c r="H31" s="340">
        <v>130030</v>
      </c>
      <c r="I31" s="1206">
        <v>173180</v>
      </c>
      <c r="J31" s="444"/>
      <c r="K31" s="340"/>
      <c r="L31" s="340"/>
      <c r="M31" s="340"/>
      <c r="N31" s="340"/>
      <c r="O31" s="340"/>
      <c r="P31" s="340"/>
      <c r="Q31" s="340"/>
      <c r="R31" s="414"/>
      <c r="S31" s="424"/>
      <c r="T31" s="424"/>
      <c r="U31" s="424"/>
      <c r="V31" s="424"/>
      <c r="W31" s="424"/>
      <c r="X31" s="424"/>
      <c r="Y31" s="424"/>
      <c r="Z31" s="424"/>
      <c r="AA31" s="424"/>
      <c r="AB31" s="424"/>
      <c r="AC31" s="424"/>
      <c r="AD31" s="424"/>
      <c r="AE31" s="424"/>
    </row>
    <row r="32" spans="1:31" s="358" customFormat="1" ht="18" customHeight="1" x14ac:dyDescent="0.3">
      <c r="A32" s="324">
        <v>24</v>
      </c>
      <c r="B32" s="445"/>
      <c r="C32" s="446"/>
      <c r="D32" s="446"/>
      <c r="E32" s="416" t="s">
        <v>238</v>
      </c>
      <c r="F32" s="447"/>
      <c r="G32" s="447"/>
      <c r="H32" s="447"/>
      <c r="I32" s="1207"/>
      <c r="J32" s="418">
        <f>SUM(K32:R32)</f>
        <v>133966</v>
      </c>
      <c r="K32" s="419">
        <v>79999</v>
      </c>
      <c r="L32" s="419">
        <v>10681</v>
      </c>
      <c r="M32" s="419">
        <v>43286</v>
      </c>
      <c r="N32" s="419"/>
      <c r="O32" s="419"/>
      <c r="P32" s="419"/>
      <c r="Q32" s="419"/>
      <c r="R32" s="420"/>
      <c r="S32" s="425"/>
      <c r="T32" s="425"/>
      <c r="U32" s="425"/>
      <c r="V32" s="425"/>
      <c r="W32" s="425"/>
      <c r="X32" s="425"/>
      <c r="Y32" s="425"/>
      <c r="Z32" s="425"/>
      <c r="AA32" s="425"/>
      <c r="AB32" s="425"/>
      <c r="AC32" s="425"/>
      <c r="AD32" s="425"/>
      <c r="AE32" s="425"/>
    </row>
    <row r="33" spans="1:31" s="376" customFormat="1" ht="22.5" customHeight="1" x14ac:dyDescent="0.3">
      <c r="A33" s="324">
        <v>25</v>
      </c>
      <c r="B33" s="337">
        <v>9</v>
      </c>
      <c r="C33" s="411"/>
      <c r="D33" s="422" t="s">
        <v>290</v>
      </c>
      <c r="E33" s="422"/>
      <c r="F33" s="423" t="s">
        <v>23</v>
      </c>
      <c r="G33" s="340">
        <v>516711</v>
      </c>
      <c r="H33" s="340">
        <v>454370</v>
      </c>
      <c r="I33" s="1206">
        <v>583934</v>
      </c>
      <c r="J33" s="444"/>
      <c r="K33" s="340"/>
      <c r="L33" s="340"/>
      <c r="M33" s="340"/>
      <c r="N33" s="340"/>
      <c r="O33" s="340"/>
      <c r="P33" s="340"/>
      <c r="Q33" s="340"/>
      <c r="R33" s="414"/>
      <c r="S33" s="424"/>
      <c r="T33" s="424"/>
      <c r="U33" s="424"/>
      <c r="V33" s="424"/>
      <c r="W33" s="424"/>
      <c r="X33" s="424"/>
      <c r="Y33" s="424"/>
      <c r="Z33" s="424"/>
      <c r="AA33" s="424"/>
      <c r="AB33" s="424"/>
      <c r="AC33" s="424"/>
      <c r="AD33" s="424"/>
      <c r="AE33" s="424"/>
    </row>
    <row r="34" spans="1:31" s="358" customFormat="1" ht="18" customHeight="1" x14ac:dyDescent="0.3">
      <c r="A34" s="324">
        <v>26</v>
      </c>
      <c r="B34" s="445"/>
      <c r="C34" s="448"/>
      <c r="D34" s="448"/>
      <c r="E34" s="416" t="s">
        <v>238</v>
      </c>
      <c r="F34" s="449"/>
      <c r="G34" s="449"/>
      <c r="H34" s="449"/>
      <c r="I34" s="1208"/>
      <c r="J34" s="450">
        <f>SUM(K34:R34)</f>
        <v>510431</v>
      </c>
      <c r="K34" s="451">
        <v>393095</v>
      </c>
      <c r="L34" s="451">
        <v>64517</v>
      </c>
      <c r="M34" s="451">
        <v>52819</v>
      </c>
      <c r="N34" s="451"/>
      <c r="O34" s="451"/>
      <c r="P34" s="451"/>
      <c r="Q34" s="451"/>
      <c r="R34" s="452"/>
      <c r="S34" s="425"/>
      <c r="T34" s="425"/>
      <c r="U34" s="425"/>
      <c r="V34" s="425"/>
      <c r="W34" s="425"/>
      <c r="X34" s="425"/>
      <c r="Y34" s="425"/>
      <c r="Z34" s="425"/>
      <c r="AA34" s="425"/>
      <c r="AB34" s="425"/>
      <c r="AC34" s="425"/>
      <c r="AD34" s="425"/>
      <c r="AE34" s="425"/>
    </row>
    <row r="35" spans="1:31" s="376" customFormat="1" ht="23.1" customHeight="1" x14ac:dyDescent="0.3">
      <c r="A35" s="324">
        <v>27</v>
      </c>
      <c r="B35" s="380"/>
      <c r="C35" s="411">
        <v>2</v>
      </c>
      <c r="D35" s="453" t="s">
        <v>377</v>
      </c>
      <c r="E35" s="453"/>
      <c r="F35" s="454"/>
      <c r="G35" s="340">
        <v>13792</v>
      </c>
      <c r="H35" s="340">
        <v>5656</v>
      </c>
      <c r="I35" s="1206">
        <v>7656</v>
      </c>
      <c r="J35" s="444"/>
      <c r="K35" s="427"/>
      <c r="L35" s="427"/>
      <c r="M35" s="427"/>
      <c r="N35" s="455"/>
      <c r="O35" s="455"/>
      <c r="P35" s="455"/>
      <c r="Q35" s="455"/>
      <c r="R35" s="456"/>
      <c r="S35" s="424"/>
      <c r="T35" s="424"/>
      <c r="U35" s="424"/>
      <c r="V35" s="424"/>
      <c r="W35" s="424"/>
      <c r="X35" s="424"/>
      <c r="Y35" s="424"/>
      <c r="Z35" s="424"/>
      <c r="AA35" s="424"/>
      <c r="AB35" s="424"/>
      <c r="AC35" s="424"/>
      <c r="AD35" s="424"/>
      <c r="AE35" s="424"/>
    </row>
    <row r="36" spans="1:31" s="376" customFormat="1" ht="18" customHeight="1" thickBot="1" x14ac:dyDescent="0.35">
      <c r="A36" s="324">
        <v>28</v>
      </c>
      <c r="B36" s="380"/>
      <c r="C36" s="457"/>
      <c r="D36" s="641"/>
      <c r="E36" s="416" t="s">
        <v>238</v>
      </c>
      <c r="F36" s="458"/>
      <c r="G36" s="335"/>
      <c r="H36" s="335"/>
      <c r="I36" s="1205"/>
      <c r="J36" s="450">
        <f>SUM(K36:R36)</f>
        <v>1612</v>
      </c>
      <c r="K36" s="451"/>
      <c r="L36" s="451"/>
      <c r="M36" s="451">
        <v>1612</v>
      </c>
      <c r="N36" s="451"/>
      <c r="O36" s="451"/>
      <c r="P36" s="451"/>
      <c r="Q36" s="451"/>
      <c r="R36" s="452"/>
      <c r="S36" s="424"/>
      <c r="T36" s="424"/>
      <c r="U36" s="424"/>
      <c r="V36" s="424"/>
      <c r="W36" s="424"/>
      <c r="X36" s="424"/>
      <c r="Y36" s="424"/>
      <c r="Z36" s="424"/>
      <c r="AA36" s="424"/>
      <c r="AB36" s="424"/>
      <c r="AC36" s="424"/>
      <c r="AD36" s="424"/>
      <c r="AE36" s="424"/>
    </row>
    <row r="37" spans="1:31" s="463" customFormat="1" ht="22.5" customHeight="1" thickTop="1" x14ac:dyDescent="0.2">
      <c r="A37" s="324">
        <v>29</v>
      </c>
      <c r="B37" s="429"/>
      <c r="C37" s="1309" t="s">
        <v>312</v>
      </c>
      <c r="D37" s="1310"/>
      <c r="E37" s="1311"/>
      <c r="F37" s="459"/>
      <c r="G37" s="430">
        <f>SUM(G29:G36)</f>
        <v>2640247</v>
      </c>
      <c r="H37" s="430">
        <f>SUM(H29:H36)</f>
        <v>2573157</v>
      </c>
      <c r="I37" s="1189">
        <f>SUM(I29:I36)</f>
        <v>2959435</v>
      </c>
      <c r="J37" s="431"/>
      <c r="K37" s="460"/>
      <c r="L37" s="460"/>
      <c r="M37" s="460"/>
      <c r="N37" s="460"/>
      <c r="O37" s="460"/>
      <c r="P37" s="460"/>
      <c r="Q37" s="460"/>
      <c r="R37" s="461"/>
      <c r="S37" s="433"/>
      <c r="T37" s="462"/>
      <c r="U37" s="462"/>
      <c r="V37" s="462"/>
      <c r="W37" s="462"/>
      <c r="X37" s="462"/>
      <c r="Y37" s="462"/>
      <c r="Z37" s="462"/>
      <c r="AA37" s="462"/>
      <c r="AB37" s="462"/>
      <c r="AC37" s="462"/>
      <c r="AD37" s="462"/>
      <c r="AE37" s="462"/>
    </row>
    <row r="38" spans="1:31" s="358" customFormat="1" ht="18" customHeight="1" thickBot="1" x14ac:dyDescent="0.35">
      <c r="A38" s="324">
        <v>30</v>
      </c>
      <c r="B38" s="445"/>
      <c r="C38" s="464"/>
      <c r="D38" s="465"/>
      <c r="E38" s="466" t="s">
        <v>238</v>
      </c>
      <c r="F38" s="467"/>
      <c r="G38" s="467"/>
      <c r="H38" s="467"/>
      <c r="I38" s="1190"/>
      <c r="J38" s="439">
        <f>SUM(K38:R38)</f>
        <v>2962848</v>
      </c>
      <c r="K38" s="440">
        <f t="shared" ref="K38:R38" si="1">SUM(K30,K32,K34,K36)</f>
        <v>2161529</v>
      </c>
      <c r="L38" s="440">
        <f t="shared" si="1"/>
        <v>332854</v>
      </c>
      <c r="M38" s="440">
        <f t="shared" si="1"/>
        <v>468465</v>
      </c>
      <c r="N38" s="440">
        <f t="shared" si="1"/>
        <v>0</v>
      </c>
      <c r="O38" s="440">
        <f t="shared" si="1"/>
        <v>0</v>
      </c>
      <c r="P38" s="440">
        <f t="shared" si="1"/>
        <v>0</v>
      </c>
      <c r="Q38" s="440">
        <f t="shared" si="1"/>
        <v>0</v>
      </c>
      <c r="R38" s="441">
        <f t="shared" si="1"/>
        <v>0</v>
      </c>
      <c r="S38" s="425"/>
      <c r="T38" s="425"/>
      <c r="U38" s="425"/>
      <c r="V38" s="425"/>
      <c r="W38" s="425"/>
      <c r="X38" s="425"/>
      <c r="Y38" s="425"/>
      <c r="Z38" s="425"/>
      <c r="AA38" s="425"/>
      <c r="AB38" s="425"/>
      <c r="AC38" s="425"/>
      <c r="AD38" s="425"/>
      <c r="AE38" s="425"/>
    </row>
    <row r="39" spans="1:31" s="328" customFormat="1" ht="22.5" customHeight="1" thickTop="1" x14ac:dyDescent="0.3">
      <c r="A39" s="324">
        <v>31</v>
      </c>
      <c r="B39" s="331">
        <v>10</v>
      </c>
      <c r="C39" s="406"/>
      <c r="D39" s="407" t="s">
        <v>292</v>
      </c>
      <c r="E39" s="442"/>
      <c r="F39" s="408" t="s">
        <v>23</v>
      </c>
      <c r="G39" s="335">
        <v>411069</v>
      </c>
      <c r="H39" s="335">
        <v>388211</v>
      </c>
      <c r="I39" s="1205">
        <v>573707</v>
      </c>
      <c r="J39" s="443"/>
      <c r="K39" s="335"/>
      <c r="L39" s="335"/>
      <c r="M39" s="335"/>
      <c r="N39" s="335"/>
      <c r="O39" s="335"/>
      <c r="P39" s="335"/>
      <c r="Q39" s="335"/>
      <c r="R39" s="410"/>
      <c r="S39" s="426"/>
      <c r="T39" s="426"/>
      <c r="U39" s="426"/>
      <c r="V39" s="426"/>
      <c r="W39" s="426"/>
      <c r="X39" s="426"/>
      <c r="Y39" s="426"/>
      <c r="Z39" s="426"/>
      <c r="AA39" s="426"/>
      <c r="AB39" s="426"/>
      <c r="AC39" s="426"/>
      <c r="AD39" s="426"/>
      <c r="AE39" s="426"/>
    </row>
    <row r="40" spans="1:31" s="358" customFormat="1" ht="18" customHeight="1" x14ac:dyDescent="0.3">
      <c r="A40" s="324">
        <v>32</v>
      </c>
      <c r="B40" s="445"/>
      <c r="C40" s="446"/>
      <c r="D40" s="446"/>
      <c r="E40" s="416" t="s">
        <v>238</v>
      </c>
      <c r="F40" s="447"/>
      <c r="G40" s="447"/>
      <c r="H40" s="447"/>
      <c r="I40" s="1207"/>
      <c r="J40" s="418">
        <f>SUM(K40:R40)</f>
        <v>414074</v>
      </c>
      <c r="K40" s="419">
        <v>189450</v>
      </c>
      <c r="L40" s="419">
        <v>26314</v>
      </c>
      <c r="M40" s="419">
        <f>192219+6091</f>
        <v>198310</v>
      </c>
      <c r="N40" s="419"/>
      <c r="O40" s="419"/>
      <c r="P40" s="419"/>
      <c r="Q40" s="419"/>
      <c r="R40" s="420"/>
      <c r="S40" s="425"/>
      <c r="T40" s="425"/>
      <c r="U40" s="425"/>
      <c r="V40" s="425"/>
      <c r="W40" s="425"/>
      <c r="X40" s="425"/>
      <c r="Y40" s="425"/>
      <c r="Z40" s="425"/>
      <c r="AA40" s="425"/>
      <c r="AB40" s="425"/>
      <c r="AC40" s="425"/>
      <c r="AD40" s="425"/>
      <c r="AE40" s="425"/>
    </row>
    <row r="41" spans="1:31" s="329" customFormat="1" ht="22.5" customHeight="1" x14ac:dyDescent="0.3">
      <c r="A41" s="324">
        <v>33</v>
      </c>
      <c r="B41" s="337">
        <v>11</v>
      </c>
      <c r="C41" s="411"/>
      <c r="D41" s="422" t="s">
        <v>287</v>
      </c>
      <c r="E41" s="422"/>
      <c r="F41" s="423" t="s">
        <v>23</v>
      </c>
      <c r="G41" s="340">
        <v>344063</v>
      </c>
      <c r="H41" s="340">
        <v>345036</v>
      </c>
      <c r="I41" s="1206">
        <v>389638</v>
      </c>
      <c r="J41" s="444"/>
      <c r="K41" s="340"/>
      <c r="L41" s="340"/>
      <c r="M41" s="340"/>
      <c r="N41" s="340"/>
      <c r="O41" s="340"/>
      <c r="P41" s="340"/>
      <c r="Q41" s="340"/>
      <c r="R41" s="414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</row>
    <row r="42" spans="1:31" s="382" customFormat="1" ht="18" customHeight="1" x14ac:dyDescent="0.3">
      <c r="A42" s="324">
        <v>34</v>
      </c>
      <c r="B42" s="445"/>
      <c r="C42" s="446"/>
      <c r="D42" s="446"/>
      <c r="E42" s="416" t="s">
        <v>238</v>
      </c>
      <c r="F42" s="447"/>
      <c r="G42" s="447"/>
      <c r="H42" s="447"/>
      <c r="I42" s="1207"/>
      <c r="J42" s="418">
        <f>SUM(K42:R42)</f>
        <v>377275</v>
      </c>
      <c r="K42" s="419">
        <v>177937</v>
      </c>
      <c r="L42" s="419">
        <v>23953</v>
      </c>
      <c r="M42" s="419">
        <v>174518</v>
      </c>
      <c r="N42" s="419"/>
      <c r="O42" s="419"/>
      <c r="P42" s="419">
        <v>867</v>
      </c>
      <c r="Q42" s="419"/>
      <c r="R42" s="420"/>
      <c r="S42" s="468"/>
      <c r="T42" s="468"/>
      <c r="U42" s="468"/>
      <c r="V42" s="468"/>
      <c r="W42" s="468"/>
      <c r="X42" s="468"/>
      <c r="Y42" s="468"/>
      <c r="Z42" s="468"/>
      <c r="AA42" s="468"/>
      <c r="AB42" s="468"/>
      <c r="AC42" s="468"/>
      <c r="AD42" s="468"/>
      <c r="AE42" s="468"/>
    </row>
    <row r="43" spans="1:31" s="329" customFormat="1" ht="22.5" customHeight="1" x14ac:dyDescent="0.3">
      <c r="A43" s="324">
        <v>35</v>
      </c>
      <c r="B43" s="337">
        <v>12</v>
      </c>
      <c r="C43" s="411"/>
      <c r="D43" s="422" t="s">
        <v>571</v>
      </c>
      <c r="E43" s="422"/>
      <c r="F43" s="423" t="s">
        <v>23</v>
      </c>
      <c r="G43" s="340">
        <v>675848</v>
      </c>
      <c r="H43" s="340">
        <v>701280</v>
      </c>
      <c r="I43" s="1206">
        <v>795289</v>
      </c>
      <c r="J43" s="444"/>
      <c r="K43" s="340"/>
      <c r="L43" s="340"/>
      <c r="M43" s="340"/>
      <c r="N43" s="340"/>
      <c r="O43" s="340"/>
      <c r="P43" s="340"/>
      <c r="Q43" s="340"/>
      <c r="R43" s="414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</row>
    <row r="44" spans="1:31" s="382" customFormat="1" ht="18" customHeight="1" x14ac:dyDescent="0.3">
      <c r="A44" s="324">
        <v>36</v>
      </c>
      <c r="B44" s="445"/>
      <c r="C44" s="446"/>
      <c r="D44" s="446"/>
      <c r="E44" s="416" t="s">
        <v>238</v>
      </c>
      <c r="F44" s="447"/>
      <c r="G44" s="447"/>
      <c r="H44" s="447"/>
      <c r="I44" s="1207"/>
      <c r="J44" s="418">
        <f>SUM(K44:R44)</f>
        <v>777408</v>
      </c>
      <c r="K44" s="419">
        <v>401514</v>
      </c>
      <c r="L44" s="419">
        <v>60317</v>
      </c>
      <c r="M44" s="419">
        <v>240269</v>
      </c>
      <c r="N44" s="419"/>
      <c r="O44" s="419">
        <v>609</v>
      </c>
      <c r="P44" s="419">
        <v>74699</v>
      </c>
      <c r="Q44" s="419"/>
      <c r="R44" s="420"/>
      <c r="S44" s="468"/>
      <c r="T44" s="468"/>
      <c r="U44" s="468"/>
      <c r="V44" s="468"/>
      <c r="W44" s="468"/>
      <c r="X44" s="468"/>
      <c r="Y44" s="468"/>
      <c r="Z44" s="468"/>
      <c r="AA44" s="468"/>
      <c r="AB44" s="468"/>
      <c r="AC44" s="468"/>
      <c r="AD44" s="468"/>
      <c r="AE44" s="468"/>
    </row>
    <row r="45" spans="1:31" s="328" customFormat="1" ht="22.5" customHeight="1" x14ac:dyDescent="0.3">
      <c r="A45" s="324">
        <v>37</v>
      </c>
      <c r="B45" s="337">
        <v>13</v>
      </c>
      <c r="C45" s="411"/>
      <c r="D45" s="422" t="s">
        <v>30</v>
      </c>
      <c r="E45" s="422"/>
      <c r="F45" s="423" t="s">
        <v>23</v>
      </c>
      <c r="G45" s="340">
        <v>753405</v>
      </c>
      <c r="H45" s="340">
        <v>567474</v>
      </c>
      <c r="I45" s="1206">
        <v>650834</v>
      </c>
      <c r="J45" s="444"/>
      <c r="K45" s="340"/>
      <c r="L45" s="340"/>
      <c r="M45" s="340"/>
      <c r="N45" s="340"/>
      <c r="O45" s="340"/>
      <c r="P45" s="340"/>
      <c r="Q45" s="340"/>
      <c r="R45" s="414"/>
      <c r="S45" s="426"/>
      <c r="T45" s="426"/>
      <c r="U45" s="426"/>
      <c r="V45" s="426"/>
      <c r="W45" s="426"/>
      <c r="X45" s="426"/>
      <c r="Y45" s="426"/>
      <c r="Z45" s="426"/>
      <c r="AA45" s="426"/>
      <c r="AB45" s="426"/>
      <c r="AC45" s="426"/>
      <c r="AD45" s="426"/>
      <c r="AE45" s="426"/>
    </row>
    <row r="46" spans="1:31" s="382" customFormat="1" ht="18" customHeight="1" x14ac:dyDescent="0.3">
      <c r="A46" s="324">
        <v>38</v>
      </c>
      <c r="B46" s="445"/>
      <c r="C46" s="446"/>
      <c r="D46" s="446"/>
      <c r="E46" s="416" t="s">
        <v>238</v>
      </c>
      <c r="F46" s="447"/>
      <c r="G46" s="447"/>
      <c r="H46" s="447"/>
      <c r="I46" s="1207"/>
      <c r="J46" s="418">
        <f>SUM(K46:R46)</f>
        <v>592933</v>
      </c>
      <c r="K46" s="419">
        <v>400794</v>
      </c>
      <c r="L46" s="419">
        <v>62299</v>
      </c>
      <c r="M46" s="419">
        <v>119209</v>
      </c>
      <c r="N46" s="419"/>
      <c r="O46" s="419"/>
      <c r="P46" s="419">
        <v>10631</v>
      </c>
      <c r="Q46" s="419"/>
      <c r="R46" s="420"/>
      <c r="S46" s="468"/>
      <c r="T46" s="468"/>
      <c r="U46" s="468"/>
      <c r="V46" s="468"/>
      <c r="W46" s="468"/>
      <c r="X46" s="468"/>
      <c r="Y46" s="468"/>
      <c r="Z46" s="468"/>
      <c r="AA46" s="468"/>
      <c r="AB46" s="468"/>
      <c r="AC46" s="468"/>
      <c r="AD46" s="468"/>
      <c r="AE46" s="468"/>
    </row>
    <row r="47" spans="1:31" s="328" customFormat="1" ht="22.5" customHeight="1" x14ac:dyDescent="0.3">
      <c r="A47" s="324">
        <v>39</v>
      </c>
      <c r="B47" s="337">
        <v>14</v>
      </c>
      <c r="C47" s="411"/>
      <c r="D47" s="422" t="s">
        <v>288</v>
      </c>
      <c r="E47" s="422"/>
      <c r="F47" s="423" t="s">
        <v>24</v>
      </c>
      <c r="G47" s="340">
        <v>325347</v>
      </c>
      <c r="H47" s="340">
        <v>417855</v>
      </c>
      <c r="I47" s="1206">
        <v>513549</v>
      </c>
      <c r="J47" s="444"/>
      <c r="K47" s="340"/>
      <c r="L47" s="340"/>
      <c r="M47" s="340"/>
      <c r="N47" s="340"/>
      <c r="O47" s="340"/>
      <c r="P47" s="340"/>
      <c r="Q47" s="340"/>
      <c r="R47" s="414"/>
      <c r="S47" s="426"/>
      <c r="T47" s="426"/>
      <c r="U47" s="426"/>
      <c r="V47" s="426"/>
      <c r="W47" s="426"/>
      <c r="X47" s="426"/>
      <c r="Y47" s="426"/>
      <c r="Z47" s="426"/>
      <c r="AA47" s="426"/>
      <c r="AB47" s="426"/>
      <c r="AC47" s="426"/>
      <c r="AD47" s="426"/>
      <c r="AE47" s="426"/>
    </row>
    <row r="48" spans="1:31" s="347" customFormat="1" ht="18" customHeight="1" x14ac:dyDescent="0.3">
      <c r="A48" s="324">
        <v>40</v>
      </c>
      <c r="B48" s="445"/>
      <c r="C48" s="446"/>
      <c r="D48" s="446"/>
      <c r="E48" s="416" t="s">
        <v>238</v>
      </c>
      <c r="F48" s="447"/>
      <c r="G48" s="447"/>
      <c r="H48" s="447"/>
      <c r="I48" s="1207"/>
      <c r="J48" s="418">
        <f>SUM(K48:R48)</f>
        <v>434064</v>
      </c>
      <c r="K48" s="419">
        <v>231642</v>
      </c>
      <c r="L48" s="419">
        <v>37747</v>
      </c>
      <c r="M48" s="419">
        <v>153265</v>
      </c>
      <c r="N48" s="419"/>
      <c r="O48" s="419"/>
      <c r="P48" s="419">
        <v>11410</v>
      </c>
      <c r="Q48" s="419"/>
      <c r="R48" s="420"/>
      <c r="S48" s="421"/>
      <c r="T48" s="421"/>
      <c r="U48" s="421"/>
      <c r="V48" s="421"/>
      <c r="W48" s="421"/>
      <c r="X48" s="421"/>
      <c r="Y48" s="421"/>
      <c r="Z48" s="421"/>
      <c r="AA48" s="421"/>
      <c r="AB48" s="421"/>
      <c r="AC48" s="421"/>
      <c r="AD48" s="421"/>
      <c r="AE48" s="421"/>
    </row>
    <row r="49" spans="1:31" ht="22.5" customHeight="1" x14ac:dyDescent="0.3">
      <c r="A49" s="324">
        <v>41</v>
      </c>
      <c r="B49" s="337">
        <v>15</v>
      </c>
      <c r="C49" s="411"/>
      <c r="D49" s="422" t="s">
        <v>114</v>
      </c>
      <c r="E49" s="422"/>
      <c r="F49" s="423" t="s">
        <v>24</v>
      </c>
      <c r="G49" s="340">
        <v>1194197</v>
      </c>
      <c r="H49" s="340">
        <v>1005749</v>
      </c>
      <c r="I49" s="1206">
        <v>1306760</v>
      </c>
      <c r="J49" s="444"/>
      <c r="K49" s="340"/>
      <c r="L49" s="340"/>
      <c r="M49" s="340"/>
      <c r="N49" s="340"/>
      <c r="O49" s="340"/>
      <c r="P49" s="340"/>
      <c r="Q49" s="340"/>
      <c r="R49" s="414"/>
    </row>
    <row r="50" spans="1:31" s="347" customFormat="1" ht="18" customHeight="1" thickBot="1" x14ac:dyDescent="0.35">
      <c r="A50" s="324">
        <v>42</v>
      </c>
      <c r="B50" s="445"/>
      <c r="C50" s="448"/>
      <c r="D50" s="448"/>
      <c r="E50" s="396" t="s">
        <v>238</v>
      </c>
      <c r="F50" s="449"/>
      <c r="G50" s="449"/>
      <c r="H50" s="449"/>
      <c r="I50" s="1208"/>
      <c r="J50" s="450">
        <f>SUM(K50:R50)</f>
        <v>1187630</v>
      </c>
      <c r="K50" s="451">
        <v>680180</v>
      </c>
      <c r="L50" s="451">
        <v>65389</v>
      </c>
      <c r="M50" s="451">
        <v>440561</v>
      </c>
      <c r="N50" s="451"/>
      <c r="O50" s="451"/>
      <c r="P50" s="451">
        <v>1500</v>
      </c>
      <c r="Q50" s="451"/>
      <c r="R50" s="452"/>
      <c r="S50" s="421"/>
      <c r="T50" s="421"/>
      <c r="U50" s="421"/>
      <c r="V50" s="421"/>
      <c r="W50" s="421"/>
      <c r="X50" s="421"/>
      <c r="Y50" s="421"/>
      <c r="Z50" s="421"/>
      <c r="AA50" s="421"/>
      <c r="AB50" s="421"/>
      <c r="AC50" s="421"/>
      <c r="AD50" s="421"/>
      <c r="AE50" s="421"/>
    </row>
    <row r="51" spans="1:31" s="463" customFormat="1" ht="22.5" customHeight="1" thickTop="1" x14ac:dyDescent="0.2">
      <c r="A51" s="324">
        <v>43</v>
      </c>
      <c r="B51" s="429"/>
      <c r="C51" s="1344" t="s">
        <v>313</v>
      </c>
      <c r="D51" s="1345"/>
      <c r="E51" s="1346"/>
      <c r="F51" s="470"/>
      <c r="G51" s="430">
        <f>SUM(G39:G50)</f>
        <v>3703929</v>
      </c>
      <c r="H51" s="430">
        <f>SUM(H39:H50)</f>
        <v>3425605</v>
      </c>
      <c r="I51" s="1191">
        <f>SUM(I39:I50)</f>
        <v>4229777</v>
      </c>
      <c r="J51" s="471"/>
      <c r="K51" s="460"/>
      <c r="L51" s="460"/>
      <c r="M51" s="460"/>
      <c r="N51" s="460"/>
      <c r="O51" s="460"/>
      <c r="P51" s="460"/>
      <c r="Q51" s="460"/>
      <c r="R51" s="461"/>
      <c r="S51" s="462"/>
      <c r="T51" s="462"/>
      <c r="U51" s="462"/>
      <c r="V51" s="462"/>
      <c r="W51" s="462"/>
      <c r="X51" s="462"/>
      <c r="Y51" s="462"/>
      <c r="Z51" s="462"/>
      <c r="AA51" s="462"/>
      <c r="AB51" s="462"/>
      <c r="AC51" s="462"/>
      <c r="AD51" s="462"/>
      <c r="AE51" s="462"/>
    </row>
    <row r="52" spans="1:31" s="347" customFormat="1" ht="18" customHeight="1" thickBot="1" x14ac:dyDescent="0.35">
      <c r="A52" s="324">
        <v>44</v>
      </c>
      <c r="B52" s="445"/>
      <c r="C52" s="464"/>
      <c r="D52" s="465"/>
      <c r="E52" s="466" t="s">
        <v>238</v>
      </c>
      <c r="F52" s="467"/>
      <c r="G52" s="467"/>
      <c r="H52" s="467"/>
      <c r="I52" s="1190"/>
      <c r="J52" s="439">
        <f t="shared" ref="J52:R52" si="2">SUM(J40,J42,J44,J46,J48,J50)</f>
        <v>3783384</v>
      </c>
      <c r="K52" s="440">
        <f t="shared" si="2"/>
        <v>2081517</v>
      </c>
      <c r="L52" s="440">
        <f t="shared" si="2"/>
        <v>276019</v>
      </c>
      <c r="M52" s="440">
        <f t="shared" si="2"/>
        <v>1326132</v>
      </c>
      <c r="N52" s="440">
        <f t="shared" si="2"/>
        <v>0</v>
      </c>
      <c r="O52" s="440">
        <f t="shared" si="2"/>
        <v>609</v>
      </c>
      <c r="P52" s="440">
        <f t="shared" si="2"/>
        <v>99107</v>
      </c>
      <c r="Q52" s="440">
        <f t="shared" si="2"/>
        <v>0</v>
      </c>
      <c r="R52" s="441">
        <f t="shared" si="2"/>
        <v>0</v>
      </c>
      <c r="S52" s="421"/>
      <c r="T52" s="421"/>
      <c r="U52" s="421"/>
      <c r="V52" s="421"/>
      <c r="W52" s="421"/>
      <c r="X52" s="421"/>
      <c r="Y52" s="421"/>
      <c r="Z52" s="421"/>
      <c r="AA52" s="421"/>
      <c r="AB52" s="421"/>
      <c r="AC52" s="421"/>
      <c r="AD52" s="421"/>
      <c r="AE52" s="421"/>
    </row>
    <row r="53" spans="1:31" s="376" customFormat="1" ht="22.5" customHeight="1" thickTop="1" x14ac:dyDescent="0.3">
      <c r="A53" s="324">
        <v>45</v>
      </c>
      <c r="B53" s="331">
        <v>16</v>
      </c>
      <c r="C53" s="406"/>
      <c r="D53" s="472" t="s">
        <v>215</v>
      </c>
      <c r="E53" s="472"/>
      <c r="F53" s="408" t="s">
        <v>23</v>
      </c>
      <c r="G53" s="335">
        <v>1734625</v>
      </c>
      <c r="H53" s="335">
        <v>1911546</v>
      </c>
      <c r="I53" s="1205">
        <v>2125636</v>
      </c>
      <c r="J53" s="443"/>
      <c r="K53" s="335"/>
      <c r="L53" s="335"/>
      <c r="M53" s="335"/>
      <c r="N53" s="335"/>
      <c r="O53" s="335"/>
      <c r="P53" s="335"/>
      <c r="Q53" s="335"/>
      <c r="R53" s="410"/>
      <c r="S53" s="424"/>
      <c r="T53" s="424"/>
      <c r="U53" s="424"/>
      <c r="V53" s="424"/>
      <c r="W53" s="424"/>
      <c r="X53" s="424"/>
      <c r="Y53" s="424"/>
      <c r="Z53" s="424"/>
      <c r="AA53" s="424"/>
      <c r="AB53" s="424"/>
      <c r="AC53" s="424"/>
      <c r="AD53" s="424"/>
      <c r="AE53" s="424"/>
    </row>
    <row r="54" spans="1:31" s="358" customFormat="1" ht="18" customHeight="1" thickBot="1" x14ac:dyDescent="0.35">
      <c r="A54" s="324">
        <v>46</v>
      </c>
      <c r="B54" s="473"/>
      <c r="C54" s="474"/>
      <c r="D54" s="474"/>
      <c r="E54" s="475" t="s">
        <v>238</v>
      </c>
      <c r="F54" s="476"/>
      <c r="G54" s="476"/>
      <c r="H54" s="476"/>
      <c r="I54" s="1192"/>
      <c r="J54" s="477">
        <f>SUM(K54:R54)</f>
        <v>2245035</v>
      </c>
      <c r="K54" s="478">
        <v>362102</v>
      </c>
      <c r="L54" s="478">
        <v>54653</v>
      </c>
      <c r="M54" s="478">
        <v>1828280</v>
      </c>
      <c r="N54" s="478"/>
      <c r="O54" s="478"/>
      <c r="P54" s="478"/>
      <c r="Q54" s="478"/>
      <c r="R54" s="479"/>
      <c r="S54" s="425"/>
      <c r="T54" s="425"/>
      <c r="U54" s="425"/>
      <c r="V54" s="425"/>
      <c r="W54" s="425"/>
      <c r="X54" s="425"/>
      <c r="Y54" s="425"/>
      <c r="Z54" s="425"/>
      <c r="AA54" s="425"/>
      <c r="AB54" s="425"/>
      <c r="AC54" s="425"/>
      <c r="AD54" s="425"/>
      <c r="AE54" s="425"/>
    </row>
    <row r="55" spans="1:31" s="352" customFormat="1" ht="36" customHeight="1" x14ac:dyDescent="0.3">
      <c r="A55" s="324">
        <v>47</v>
      </c>
      <c r="B55" s="1333" t="s">
        <v>115</v>
      </c>
      <c r="C55" s="1334"/>
      <c r="D55" s="1334"/>
      <c r="E55" s="1335"/>
      <c r="F55" s="480"/>
      <c r="G55" s="1193">
        <f>SUM(G53,G51,G37,G27)</f>
        <v>11131643</v>
      </c>
      <c r="H55" s="1193">
        <f>SUM(H53,H51,H37,H27)</f>
        <v>11340349</v>
      </c>
      <c r="I55" s="1194">
        <f>SUM(I53,I51,I37,I27)</f>
        <v>12943269</v>
      </c>
      <c r="J55" s="481"/>
      <c r="K55" s="482"/>
      <c r="L55" s="482"/>
      <c r="M55" s="482"/>
      <c r="N55" s="482"/>
      <c r="O55" s="482"/>
      <c r="P55" s="482"/>
      <c r="Q55" s="482"/>
      <c r="R55" s="483"/>
      <c r="S55" s="484"/>
      <c r="T55" s="484"/>
      <c r="U55" s="484"/>
      <c r="V55" s="484"/>
      <c r="W55" s="484"/>
      <c r="X55" s="484"/>
      <c r="Y55" s="484"/>
      <c r="Z55" s="484"/>
      <c r="AA55" s="484"/>
      <c r="AB55" s="484"/>
      <c r="AC55" s="484"/>
      <c r="AD55" s="484"/>
      <c r="AE55" s="484"/>
    </row>
    <row r="56" spans="1:31" s="347" customFormat="1" ht="18" customHeight="1" thickBot="1" x14ac:dyDescent="0.35">
      <c r="A56" s="324">
        <v>48</v>
      </c>
      <c r="B56" s="473"/>
      <c r="C56" s="474"/>
      <c r="D56" s="474"/>
      <c r="E56" s="475" t="s">
        <v>238</v>
      </c>
      <c r="F56" s="476"/>
      <c r="G56" s="476"/>
      <c r="H56" s="476"/>
      <c r="I56" s="1192"/>
      <c r="J56" s="477">
        <f>SUM(K56:R56)</f>
        <v>12775949</v>
      </c>
      <c r="K56" s="478">
        <f t="shared" ref="K56:R56" si="3">SUM(K54,K52,K38,K28)</f>
        <v>7266517</v>
      </c>
      <c r="L56" s="478">
        <f t="shared" si="3"/>
        <v>1076808</v>
      </c>
      <c r="M56" s="478">
        <f t="shared" si="3"/>
        <v>4332646</v>
      </c>
      <c r="N56" s="478">
        <f t="shared" si="3"/>
        <v>0</v>
      </c>
      <c r="O56" s="478">
        <f t="shared" si="3"/>
        <v>609</v>
      </c>
      <c r="P56" s="478">
        <f t="shared" si="3"/>
        <v>99369</v>
      </c>
      <c r="Q56" s="478">
        <f t="shared" si="3"/>
        <v>0</v>
      </c>
      <c r="R56" s="479">
        <f t="shared" si="3"/>
        <v>0</v>
      </c>
      <c r="S56" s="421"/>
      <c r="T56" s="421"/>
      <c r="U56" s="421"/>
      <c r="V56" s="421"/>
      <c r="W56" s="421"/>
      <c r="X56" s="421"/>
      <c r="Y56" s="421"/>
      <c r="Z56" s="421"/>
      <c r="AA56" s="421"/>
      <c r="AB56" s="421"/>
      <c r="AC56" s="421"/>
      <c r="AD56" s="421"/>
      <c r="AE56" s="421"/>
    </row>
    <row r="57" spans="1:31" s="376" customFormat="1" ht="22.5" customHeight="1" x14ac:dyDescent="0.3">
      <c r="A57" s="324">
        <v>49</v>
      </c>
      <c r="B57" s="485">
        <v>17</v>
      </c>
      <c r="C57" s="486"/>
      <c r="D57" s="487" t="s">
        <v>153</v>
      </c>
      <c r="E57" s="488"/>
      <c r="F57" s="394" t="s">
        <v>23</v>
      </c>
      <c r="G57" s="489"/>
      <c r="H57" s="489"/>
      <c r="I57" s="1209"/>
      <c r="J57" s="490"/>
      <c r="K57" s="489"/>
      <c r="L57" s="489"/>
      <c r="M57" s="489"/>
      <c r="N57" s="489"/>
      <c r="O57" s="489"/>
      <c r="P57" s="489"/>
      <c r="Q57" s="489"/>
      <c r="R57" s="491"/>
      <c r="S57" s="421"/>
      <c r="T57" s="424"/>
      <c r="U57" s="424"/>
      <c r="V57" s="424"/>
      <c r="W57" s="424"/>
      <c r="X57" s="424"/>
      <c r="Y57" s="424"/>
      <c r="Z57" s="424"/>
      <c r="AA57" s="424"/>
      <c r="AB57" s="424"/>
      <c r="AC57" s="424"/>
      <c r="AD57" s="424"/>
      <c r="AE57" s="424"/>
    </row>
    <row r="58" spans="1:31" s="493" customFormat="1" ht="19.5" customHeight="1" x14ac:dyDescent="0.3">
      <c r="A58" s="324">
        <v>50</v>
      </c>
      <c r="B58" s="337"/>
      <c r="C58" s="338">
        <v>1</v>
      </c>
      <c r="D58" s="492" t="s">
        <v>122</v>
      </c>
      <c r="E58" s="492"/>
      <c r="F58" s="423"/>
      <c r="G58" s="340">
        <v>1966442</v>
      </c>
      <c r="H58" s="340">
        <v>2249354</v>
      </c>
      <c r="I58" s="1206">
        <v>2722001</v>
      </c>
      <c r="J58" s="444"/>
      <c r="K58" s="340"/>
      <c r="L58" s="340"/>
      <c r="M58" s="340"/>
      <c r="N58" s="340"/>
      <c r="O58" s="340"/>
      <c r="P58" s="340"/>
      <c r="Q58" s="340"/>
      <c r="R58" s="414"/>
      <c r="S58" s="421"/>
      <c r="T58" s="404"/>
      <c r="U58" s="404"/>
      <c r="V58" s="404"/>
      <c r="W58" s="404"/>
      <c r="X58" s="404"/>
      <c r="Y58" s="404"/>
      <c r="Z58" s="404"/>
      <c r="AA58" s="404"/>
      <c r="AB58" s="404"/>
      <c r="AC58" s="404"/>
      <c r="AD58" s="404"/>
    </row>
    <row r="59" spans="1:31" s="358" customFormat="1" ht="18" customHeight="1" x14ac:dyDescent="0.3">
      <c r="A59" s="324">
        <v>51</v>
      </c>
      <c r="B59" s="445"/>
      <c r="C59" s="494"/>
      <c r="D59" s="446"/>
      <c r="E59" s="495" t="s">
        <v>238</v>
      </c>
      <c r="F59" s="496"/>
      <c r="G59" s="496"/>
      <c r="H59" s="496"/>
      <c r="I59" s="1210"/>
      <c r="J59" s="418">
        <f>SUM(K59:R59)</f>
        <v>2652777</v>
      </c>
      <c r="K59" s="419">
        <v>2277986</v>
      </c>
      <c r="L59" s="419">
        <v>341659</v>
      </c>
      <c r="M59" s="419">
        <v>33132</v>
      </c>
      <c r="N59" s="419"/>
      <c r="O59" s="419"/>
      <c r="P59" s="419"/>
      <c r="Q59" s="419"/>
      <c r="R59" s="420"/>
      <c r="S59" s="421"/>
      <c r="T59" s="425"/>
      <c r="U59" s="425"/>
      <c r="V59" s="425"/>
      <c r="W59" s="425"/>
      <c r="X59" s="425"/>
      <c r="Y59" s="425"/>
      <c r="Z59" s="425"/>
      <c r="AA59" s="425"/>
      <c r="AB59" s="425"/>
      <c r="AC59" s="425"/>
      <c r="AD59" s="425"/>
    </row>
    <row r="60" spans="1:31" s="376" customFormat="1" ht="20.100000000000001" customHeight="1" x14ac:dyDescent="0.3">
      <c r="A60" s="324">
        <v>52</v>
      </c>
      <c r="B60" s="337"/>
      <c r="C60" s="338">
        <v>2</v>
      </c>
      <c r="D60" s="492" t="s">
        <v>123</v>
      </c>
      <c r="E60" s="492"/>
      <c r="F60" s="423"/>
      <c r="G60" s="340">
        <v>220802</v>
      </c>
      <c r="H60" s="340">
        <v>429853</v>
      </c>
      <c r="I60" s="1206">
        <v>735030</v>
      </c>
      <c r="J60" s="444"/>
      <c r="K60" s="340"/>
      <c r="L60" s="340"/>
      <c r="M60" s="340"/>
      <c r="N60" s="340"/>
      <c r="O60" s="340"/>
      <c r="P60" s="340"/>
      <c r="Q60" s="340"/>
      <c r="R60" s="414"/>
      <c r="S60" s="421"/>
      <c r="T60" s="424"/>
      <c r="U60" s="424"/>
      <c r="V60" s="424"/>
      <c r="W60" s="424"/>
      <c r="X60" s="424"/>
      <c r="Y60" s="424"/>
      <c r="Z60" s="424"/>
      <c r="AA60" s="424"/>
      <c r="AB60" s="424"/>
      <c r="AC60" s="424"/>
      <c r="AD60" s="424"/>
    </row>
    <row r="61" spans="1:31" s="358" customFormat="1" ht="18" customHeight="1" x14ac:dyDescent="0.3">
      <c r="A61" s="324">
        <v>53</v>
      </c>
      <c r="B61" s="445"/>
      <c r="C61" s="494"/>
      <c r="D61" s="446"/>
      <c r="E61" s="495" t="s">
        <v>238</v>
      </c>
      <c r="F61" s="496"/>
      <c r="G61" s="496"/>
      <c r="H61" s="496"/>
      <c r="I61" s="1210"/>
      <c r="J61" s="418">
        <f>SUM(K61:R61)</f>
        <v>329565</v>
      </c>
      <c r="K61" s="419">
        <v>15300</v>
      </c>
      <c r="L61" s="419">
        <v>6420</v>
      </c>
      <c r="M61" s="419">
        <v>280045</v>
      </c>
      <c r="N61" s="419"/>
      <c r="O61" s="419"/>
      <c r="P61" s="419">
        <v>27800</v>
      </c>
      <c r="Q61" s="419"/>
      <c r="R61" s="420"/>
      <c r="S61" s="421"/>
      <c r="T61" s="425"/>
      <c r="U61" s="425"/>
      <c r="V61" s="425"/>
      <c r="W61" s="425"/>
      <c r="X61" s="425"/>
      <c r="Y61" s="425"/>
      <c r="Z61" s="425"/>
      <c r="AA61" s="425"/>
      <c r="AB61" s="425"/>
      <c r="AC61" s="425"/>
      <c r="AD61" s="425"/>
    </row>
    <row r="62" spans="1:31" s="376" customFormat="1" ht="20.100000000000001" customHeight="1" x14ac:dyDescent="0.3">
      <c r="A62" s="324">
        <v>54</v>
      </c>
      <c r="B62" s="337"/>
      <c r="C62" s="338">
        <v>3</v>
      </c>
      <c r="D62" s="492" t="s">
        <v>31</v>
      </c>
      <c r="E62" s="492"/>
      <c r="F62" s="423"/>
      <c r="G62" s="340">
        <v>106296</v>
      </c>
      <c r="H62" s="340">
        <v>170923</v>
      </c>
      <c r="I62" s="1206">
        <v>257434</v>
      </c>
      <c r="J62" s="444"/>
      <c r="K62" s="340"/>
      <c r="L62" s="340"/>
      <c r="M62" s="340"/>
      <c r="N62" s="340"/>
      <c r="O62" s="340"/>
      <c r="P62" s="340"/>
      <c r="Q62" s="340"/>
      <c r="R62" s="414"/>
      <c r="S62" s="421"/>
      <c r="T62" s="424"/>
      <c r="U62" s="424"/>
      <c r="V62" s="424"/>
      <c r="W62" s="424"/>
      <c r="X62" s="424"/>
      <c r="Y62" s="424"/>
      <c r="Z62" s="424"/>
      <c r="AA62" s="424"/>
      <c r="AB62" s="424"/>
      <c r="AC62" s="424"/>
      <c r="AD62" s="424"/>
    </row>
    <row r="63" spans="1:31" s="358" customFormat="1" ht="18" customHeight="1" x14ac:dyDescent="0.3">
      <c r="A63" s="324">
        <v>55</v>
      </c>
      <c r="B63" s="445"/>
      <c r="C63" s="494"/>
      <c r="D63" s="446"/>
      <c r="E63" s="495" t="s">
        <v>238</v>
      </c>
      <c r="F63" s="496"/>
      <c r="G63" s="496"/>
      <c r="H63" s="496"/>
      <c r="I63" s="1210"/>
      <c r="J63" s="418">
        <f>SUM(K63:R63)</f>
        <v>198968</v>
      </c>
      <c r="K63" s="419"/>
      <c r="L63" s="419"/>
      <c r="M63" s="419">
        <v>141299</v>
      </c>
      <c r="N63" s="419"/>
      <c r="O63" s="419"/>
      <c r="P63" s="419">
        <v>57669</v>
      </c>
      <c r="Q63" s="419"/>
      <c r="R63" s="420"/>
      <c r="S63" s="421"/>
      <c r="T63" s="425"/>
      <c r="U63" s="425"/>
      <c r="V63" s="425"/>
      <c r="W63" s="425"/>
      <c r="X63" s="425"/>
      <c r="Y63" s="425"/>
      <c r="Z63" s="425"/>
      <c r="AA63" s="425"/>
      <c r="AB63" s="425"/>
      <c r="AC63" s="425"/>
      <c r="AD63" s="425"/>
    </row>
    <row r="64" spans="1:31" s="505" customFormat="1" ht="30" customHeight="1" x14ac:dyDescent="0.3">
      <c r="A64" s="324">
        <v>56</v>
      </c>
      <c r="B64" s="395"/>
      <c r="C64" s="375">
        <v>76</v>
      </c>
      <c r="D64" s="1347" t="s">
        <v>423</v>
      </c>
      <c r="E64" s="1348"/>
      <c r="F64" s="636"/>
      <c r="G64" s="335">
        <v>2981</v>
      </c>
      <c r="H64" s="335">
        <v>348</v>
      </c>
      <c r="I64" s="1205">
        <v>3815</v>
      </c>
      <c r="J64" s="637"/>
      <c r="K64" s="638"/>
      <c r="L64" s="638"/>
      <c r="M64" s="638"/>
      <c r="N64" s="638"/>
      <c r="O64" s="638"/>
      <c r="P64" s="638"/>
      <c r="Q64" s="638"/>
      <c r="R64" s="639"/>
      <c r="S64" s="421"/>
      <c r="T64" s="504"/>
      <c r="U64" s="504"/>
      <c r="V64" s="504"/>
      <c r="W64" s="504"/>
      <c r="X64" s="504"/>
      <c r="Y64" s="504"/>
      <c r="Z64" s="504"/>
      <c r="AA64" s="504"/>
      <c r="AB64" s="504"/>
      <c r="AC64" s="504"/>
      <c r="AD64" s="504"/>
    </row>
    <row r="65" spans="1:30" s="505" customFormat="1" ht="19.5" customHeight="1" x14ac:dyDescent="0.3">
      <c r="A65" s="324">
        <v>57</v>
      </c>
      <c r="B65" s="395"/>
      <c r="C65" s="338"/>
      <c r="D65" s="503"/>
      <c r="E65" s="495" t="s">
        <v>238</v>
      </c>
      <c r="F65" s="636"/>
      <c r="G65" s="335"/>
      <c r="H65" s="335"/>
      <c r="I65" s="1205"/>
      <c r="J65" s="418">
        <f>SUM(K65:R65)</f>
        <v>409</v>
      </c>
      <c r="K65" s="638">
        <v>362</v>
      </c>
      <c r="L65" s="638">
        <v>47</v>
      </c>
      <c r="M65" s="638"/>
      <c r="N65" s="638"/>
      <c r="O65" s="638"/>
      <c r="P65" s="638"/>
      <c r="Q65" s="638"/>
      <c r="R65" s="639"/>
      <c r="S65" s="421"/>
      <c r="T65" s="504"/>
      <c r="U65" s="504"/>
      <c r="V65" s="504"/>
      <c r="W65" s="504"/>
      <c r="X65" s="504"/>
      <c r="Y65" s="504"/>
      <c r="Z65" s="504"/>
      <c r="AA65" s="504"/>
      <c r="AB65" s="504"/>
      <c r="AC65" s="504"/>
      <c r="AD65" s="504"/>
    </row>
    <row r="66" spans="1:30" s="505" customFormat="1" ht="45" customHeight="1" x14ac:dyDescent="0.3">
      <c r="A66" s="324">
        <v>58</v>
      </c>
      <c r="B66" s="395"/>
      <c r="C66" s="375">
        <v>77</v>
      </c>
      <c r="D66" s="1341" t="s">
        <v>424</v>
      </c>
      <c r="E66" s="1341"/>
      <c r="F66" s="636"/>
      <c r="G66" s="335">
        <v>3757</v>
      </c>
      <c r="H66" s="335">
        <v>501</v>
      </c>
      <c r="I66" s="1205">
        <v>3226</v>
      </c>
      <c r="J66" s="637"/>
      <c r="K66" s="638"/>
      <c r="L66" s="638"/>
      <c r="M66" s="638"/>
      <c r="N66" s="638"/>
      <c r="O66" s="638"/>
      <c r="P66" s="638"/>
      <c r="Q66" s="638"/>
      <c r="R66" s="639"/>
      <c r="S66" s="421"/>
      <c r="T66" s="504"/>
      <c r="U66" s="504"/>
      <c r="V66" s="504"/>
      <c r="W66" s="504"/>
      <c r="X66" s="504"/>
      <c r="Y66" s="504"/>
      <c r="Z66" s="504"/>
      <c r="AA66" s="504"/>
      <c r="AB66" s="504"/>
      <c r="AC66" s="504"/>
      <c r="AD66" s="504"/>
    </row>
    <row r="67" spans="1:30" s="505" customFormat="1" ht="19.5" customHeight="1" x14ac:dyDescent="0.3">
      <c r="A67" s="324">
        <v>59</v>
      </c>
      <c r="B67" s="395"/>
      <c r="C67" s="635"/>
      <c r="D67" s="503"/>
      <c r="E67" s="495" t="s">
        <v>238</v>
      </c>
      <c r="F67" s="636"/>
      <c r="G67" s="335"/>
      <c r="H67" s="335"/>
      <c r="I67" s="1205"/>
      <c r="J67" s="418">
        <f>SUM(K67:R67)</f>
        <v>543</v>
      </c>
      <c r="K67" s="638">
        <v>480</v>
      </c>
      <c r="L67" s="638">
        <v>63</v>
      </c>
      <c r="M67" s="638"/>
      <c r="N67" s="638"/>
      <c r="O67" s="638"/>
      <c r="P67" s="638"/>
      <c r="Q67" s="638"/>
      <c r="R67" s="639"/>
      <c r="S67" s="421"/>
      <c r="T67" s="504"/>
      <c r="U67" s="504"/>
      <c r="V67" s="504"/>
      <c r="W67" s="504"/>
      <c r="X67" s="504"/>
      <c r="Y67" s="504"/>
      <c r="Z67" s="504"/>
      <c r="AA67" s="504"/>
      <c r="AB67" s="504"/>
      <c r="AC67" s="504"/>
      <c r="AD67" s="504"/>
    </row>
    <row r="68" spans="1:30" s="505" customFormat="1" ht="19.5" customHeight="1" x14ac:dyDescent="0.3">
      <c r="A68" s="324">
        <v>60</v>
      </c>
      <c r="B68" s="395"/>
      <c r="C68" s="338">
        <v>81</v>
      </c>
      <c r="D68" s="1341" t="s">
        <v>430</v>
      </c>
      <c r="E68" s="1341"/>
      <c r="F68" s="636"/>
      <c r="G68" s="335">
        <v>12196</v>
      </c>
      <c r="H68" s="335">
        <v>1021</v>
      </c>
      <c r="I68" s="1205">
        <v>17013</v>
      </c>
      <c r="J68" s="637"/>
      <c r="K68" s="638"/>
      <c r="L68" s="638"/>
      <c r="M68" s="638"/>
      <c r="N68" s="638"/>
      <c r="O68" s="638"/>
      <c r="P68" s="638"/>
      <c r="Q68" s="638"/>
      <c r="R68" s="639"/>
      <c r="S68" s="421"/>
      <c r="T68" s="504"/>
      <c r="U68" s="504"/>
      <c r="V68" s="504"/>
      <c r="W68" s="504"/>
      <c r="X68" s="504"/>
      <c r="Y68" s="504"/>
      <c r="Z68" s="504"/>
      <c r="AA68" s="504"/>
      <c r="AB68" s="504"/>
      <c r="AC68" s="504"/>
      <c r="AD68" s="504"/>
    </row>
    <row r="69" spans="1:30" s="505" customFormat="1" ht="19.5" customHeight="1" x14ac:dyDescent="0.3">
      <c r="A69" s="324">
        <v>61</v>
      </c>
      <c r="B69" s="342"/>
      <c r="C69" s="635"/>
      <c r="D69" s="503"/>
      <c r="E69" s="495" t="s">
        <v>238</v>
      </c>
      <c r="F69" s="636"/>
      <c r="G69" s="335"/>
      <c r="H69" s="335"/>
      <c r="I69" s="1205"/>
      <c r="J69" s="418">
        <f>SUM(K69:R69)</f>
        <v>6510</v>
      </c>
      <c r="K69" s="638">
        <v>5757</v>
      </c>
      <c r="L69" s="638">
        <v>753</v>
      </c>
      <c r="M69" s="638"/>
      <c r="N69" s="638"/>
      <c r="O69" s="638"/>
      <c r="P69" s="638"/>
      <c r="Q69" s="638"/>
      <c r="R69" s="639"/>
      <c r="S69" s="421"/>
      <c r="T69" s="504"/>
      <c r="U69" s="504"/>
      <c r="V69" s="504"/>
      <c r="W69" s="504"/>
      <c r="X69" s="504"/>
      <c r="Y69" s="504"/>
      <c r="Z69" s="504"/>
      <c r="AA69" s="504"/>
      <c r="AB69" s="504"/>
      <c r="AC69" s="504"/>
      <c r="AD69" s="504"/>
    </row>
    <row r="70" spans="1:30" s="505" customFormat="1" ht="19.5" customHeight="1" x14ac:dyDescent="0.3">
      <c r="A70" s="324">
        <v>62</v>
      </c>
      <c r="B70" s="395"/>
      <c r="C70" s="338">
        <v>82</v>
      </c>
      <c r="D70" s="1341" t="s">
        <v>431</v>
      </c>
      <c r="E70" s="1341"/>
      <c r="F70" s="636"/>
      <c r="G70" s="335">
        <v>8206</v>
      </c>
      <c r="H70" s="335">
        <v>1064</v>
      </c>
      <c r="I70" s="1205">
        <v>13479</v>
      </c>
      <c r="J70" s="637"/>
      <c r="K70" s="638"/>
      <c r="L70" s="638"/>
      <c r="M70" s="638"/>
      <c r="N70" s="638"/>
      <c r="O70" s="638"/>
      <c r="P70" s="638"/>
      <c r="Q70" s="638"/>
      <c r="R70" s="639"/>
      <c r="S70" s="421"/>
      <c r="T70" s="504"/>
      <c r="U70" s="504"/>
      <c r="V70" s="504"/>
      <c r="W70" s="504"/>
      <c r="X70" s="504"/>
      <c r="Y70" s="504"/>
      <c r="Z70" s="504"/>
      <c r="AA70" s="504"/>
      <c r="AB70" s="504"/>
      <c r="AC70" s="504"/>
      <c r="AD70" s="504"/>
    </row>
    <row r="71" spans="1:30" s="505" customFormat="1" ht="19.5" customHeight="1" x14ac:dyDescent="0.3">
      <c r="A71" s="324">
        <v>63</v>
      </c>
      <c r="B71" s="395"/>
      <c r="C71" s="635"/>
      <c r="D71" s="503"/>
      <c r="E71" s="495" t="s">
        <v>238</v>
      </c>
      <c r="F71" s="636"/>
      <c r="G71" s="335"/>
      <c r="H71" s="335"/>
      <c r="I71" s="1205"/>
      <c r="J71" s="418">
        <f>SUM(K71:R71)</f>
        <v>15597</v>
      </c>
      <c r="K71" s="638">
        <v>13803</v>
      </c>
      <c r="L71" s="638">
        <v>1794</v>
      </c>
      <c r="M71" s="638"/>
      <c r="N71" s="638"/>
      <c r="O71" s="638"/>
      <c r="P71" s="638"/>
      <c r="Q71" s="638"/>
      <c r="R71" s="639"/>
      <c r="S71" s="421"/>
      <c r="T71" s="504"/>
      <c r="U71" s="504"/>
      <c r="V71" s="504"/>
      <c r="W71" s="504"/>
      <c r="X71" s="504"/>
      <c r="Y71" s="504"/>
      <c r="Z71" s="504"/>
      <c r="AA71" s="504"/>
      <c r="AB71" s="504"/>
      <c r="AC71" s="504"/>
      <c r="AD71" s="504"/>
    </row>
    <row r="72" spans="1:30" s="505" customFormat="1" ht="19.5" customHeight="1" x14ac:dyDescent="0.3">
      <c r="A72" s="324">
        <v>64</v>
      </c>
      <c r="B72" s="395"/>
      <c r="C72" s="338">
        <v>84</v>
      </c>
      <c r="D72" s="1341" t="s">
        <v>432</v>
      </c>
      <c r="E72" s="1341"/>
      <c r="F72" s="636"/>
      <c r="G72" s="335"/>
      <c r="H72" s="335"/>
      <c r="I72" s="1205">
        <v>3254</v>
      </c>
      <c r="J72" s="637"/>
      <c r="K72" s="638"/>
      <c r="L72" s="638"/>
      <c r="M72" s="638"/>
      <c r="N72" s="638"/>
      <c r="O72" s="638"/>
      <c r="P72" s="638"/>
      <c r="Q72" s="638"/>
      <c r="R72" s="639"/>
      <c r="S72" s="421"/>
      <c r="T72" s="504"/>
      <c r="U72" s="504"/>
      <c r="V72" s="504"/>
      <c r="W72" s="504"/>
      <c r="X72" s="504"/>
      <c r="Y72" s="504"/>
      <c r="Z72" s="504"/>
      <c r="AA72" s="504"/>
      <c r="AB72" s="504"/>
      <c r="AC72" s="504"/>
      <c r="AD72" s="504"/>
    </row>
    <row r="73" spans="1:30" s="505" customFormat="1" ht="19.5" customHeight="1" x14ac:dyDescent="0.3">
      <c r="A73" s="324">
        <v>65</v>
      </c>
      <c r="B73" s="395"/>
      <c r="C73" s="635"/>
      <c r="D73" s="503"/>
      <c r="E73" s="495" t="s">
        <v>238</v>
      </c>
      <c r="F73" s="636"/>
      <c r="G73" s="335"/>
      <c r="H73" s="335"/>
      <c r="I73" s="1205"/>
      <c r="J73" s="418">
        <f>SUM(K73:R73)</f>
        <v>4923</v>
      </c>
      <c r="K73" s="638">
        <v>4356</v>
      </c>
      <c r="L73" s="638">
        <v>567</v>
      </c>
      <c r="M73" s="638"/>
      <c r="N73" s="638"/>
      <c r="O73" s="638"/>
      <c r="P73" s="638"/>
      <c r="Q73" s="638"/>
      <c r="R73" s="639"/>
      <c r="S73" s="421"/>
      <c r="T73" s="504"/>
      <c r="U73" s="504"/>
      <c r="V73" s="504"/>
      <c r="W73" s="504"/>
      <c r="X73" s="504"/>
      <c r="Y73" s="504"/>
      <c r="Z73" s="504"/>
      <c r="AA73" s="504"/>
      <c r="AB73" s="504"/>
      <c r="AC73" s="504"/>
      <c r="AD73" s="504"/>
    </row>
    <row r="74" spans="1:30" s="505" customFormat="1" ht="19.5" customHeight="1" x14ac:dyDescent="0.3">
      <c r="A74" s="324">
        <v>66</v>
      </c>
      <c r="B74" s="395"/>
      <c r="C74" s="338">
        <v>85</v>
      </c>
      <c r="D74" s="1341" t="s">
        <v>505</v>
      </c>
      <c r="E74" s="1341"/>
      <c r="F74" s="636"/>
      <c r="G74" s="335"/>
      <c r="H74" s="335"/>
      <c r="I74" s="1205">
        <v>1327</v>
      </c>
      <c r="J74" s="637"/>
      <c r="K74" s="638"/>
      <c r="L74" s="638"/>
      <c r="M74" s="638"/>
      <c r="N74" s="638"/>
      <c r="O74" s="638"/>
      <c r="P74" s="638"/>
      <c r="Q74" s="638"/>
      <c r="R74" s="639"/>
      <c r="S74" s="421"/>
      <c r="T74" s="504"/>
      <c r="U74" s="504"/>
      <c r="V74" s="504"/>
      <c r="W74" s="504"/>
      <c r="X74" s="504"/>
      <c r="Y74" s="504"/>
      <c r="Z74" s="504"/>
      <c r="AA74" s="504"/>
      <c r="AB74" s="504"/>
      <c r="AC74" s="504"/>
      <c r="AD74" s="504"/>
    </row>
    <row r="75" spans="1:30" s="505" customFormat="1" ht="19.5" customHeight="1" x14ac:dyDescent="0.3">
      <c r="A75" s="324">
        <v>67</v>
      </c>
      <c r="B75" s="395"/>
      <c r="C75" s="635"/>
      <c r="D75" s="503"/>
      <c r="E75" s="495" t="s">
        <v>238</v>
      </c>
      <c r="F75" s="636"/>
      <c r="G75" s="335"/>
      <c r="H75" s="335"/>
      <c r="I75" s="1205"/>
      <c r="J75" s="418">
        <f>SUM(K75:R75)</f>
        <v>8313</v>
      </c>
      <c r="K75" s="638">
        <v>7357</v>
      </c>
      <c r="L75" s="638">
        <v>956</v>
      </c>
      <c r="M75" s="638"/>
      <c r="N75" s="638"/>
      <c r="O75" s="638"/>
      <c r="P75" s="638"/>
      <c r="Q75" s="638"/>
      <c r="R75" s="639"/>
      <c r="S75" s="421"/>
      <c r="T75" s="504"/>
      <c r="U75" s="504"/>
      <c r="V75" s="504"/>
      <c r="W75" s="504"/>
      <c r="X75" s="504"/>
      <c r="Y75" s="504"/>
      <c r="Z75" s="504"/>
      <c r="AA75" s="504"/>
      <c r="AB75" s="504"/>
      <c r="AC75" s="504"/>
      <c r="AD75" s="504"/>
    </row>
    <row r="76" spans="1:30" s="505" customFormat="1" ht="19.5" customHeight="1" x14ac:dyDescent="0.3">
      <c r="A76" s="324">
        <v>68</v>
      </c>
      <c r="B76" s="395"/>
      <c r="C76" s="338">
        <v>86</v>
      </c>
      <c r="D76" s="1341" t="s">
        <v>504</v>
      </c>
      <c r="E76" s="1341"/>
      <c r="F76" s="636"/>
      <c r="G76" s="335"/>
      <c r="H76" s="335"/>
      <c r="I76" s="1205">
        <v>3069</v>
      </c>
      <c r="J76" s="637"/>
      <c r="K76" s="638"/>
      <c r="L76" s="638"/>
      <c r="M76" s="638"/>
      <c r="N76" s="638"/>
      <c r="O76" s="638"/>
      <c r="P76" s="638"/>
      <c r="Q76" s="638"/>
      <c r="R76" s="639"/>
      <c r="S76" s="421"/>
      <c r="T76" s="504"/>
      <c r="U76" s="504"/>
      <c r="V76" s="504"/>
      <c r="W76" s="504"/>
      <c r="X76" s="504"/>
      <c r="Y76" s="504"/>
      <c r="Z76" s="504"/>
      <c r="AA76" s="504"/>
      <c r="AB76" s="504"/>
      <c r="AC76" s="504"/>
      <c r="AD76" s="504"/>
    </row>
    <row r="77" spans="1:30" s="505" customFormat="1" ht="19.5" customHeight="1" x14ac:dyDescent="0.3">
      <c r="A77" s="324">
        <v>69</v>
      </c>
      <c r="B77" s="395"/>
      <c r="C77" s="635"/>
      <c r="D77" s="503"/>
      <c r="E77" s="495" t="s">
        <v>238</v>
      </c>
      <c r="F77" s="636"/>
      <c r="G77" s="335"/>
      <c r="H77" s="335"/>
      <c r="I77" s="1205"/>
      <c r="J77" s="418">
        <f>SUM(K77:R77)</f>
        <v>11775</v>
      </c>
      <c r="K77" s="638">
        <v>10420</v>
      </c>
      <c r="L77" s="638">
        <v>1355</v>
      </c>
      <c r="M77" s="638"/>
      <c r="N77" s="638"/>
      <c r="O77" s="638"/>
      <c r="P77" s="638"/>
      <c r="Q77" s="638"/>
      <c r="R77" s="639"/>
      <c r="S77" s="421"/>
      <c r="T77" s="504"/>
      <c r="U77" s="504"/>
      <c r="V77" s="504"/>
      <c r="W77" s="504"/>
      <c r="X77" s="504"/>
      <c r="Y77" s="504"/>
      <c r="Z77" s="504"/>
      <c r="AA77" s="504"/>
      <c r="AB77" s="504"/>
      <c r="AC77" s="504"/>
      <c r="AD77" s="504"/>
    </row>
    <row r="78" spans="1:30" s="505" customFormat="1" ht="19.5" customHeight="1" x14ac:dyDescent="0.3">
      <c r="A78" s="324">
        <v>70</v>
      </c>
      <c r="B78" s="395"/>
      <c r="C78" s="338">
        <v>87</v>
      </c>
      <c r="D78" s="1341" t="s">
        <v>720</v>
      </c>
      <c r="E78" s="1341"/>
      <c r="F78" s="636"/>
      <c r="G78" s="335"/>
      <c r="H78" s="335"/>
      <c r="I78" s="1205">
        <v>2746</v>
      </c>
      <c r="J78" s="637"/>
      <c r="K78" s="638"/>
      <c r="L78" s="638"/>
      <c r="M78" s="638"/>
      <c r="N78" s="638"/>
      <c r="O78" s="638"/>
      <c r="P78" s="638"/>
      <c r="Q78" s="638"/>
      <c r="R78" s="639"/>
      <c r="S78" s="421"/>
      <c r="T78" s="504"/>
      <c r="U78" s="504"/>
      <c r="V78" s="504"/>
      <c r="W78" s="504"/>
      <c r="X78" s="504"/>
      <c r="Y78" s="504"/>
      <c r="Z78" s="504"/>
      <c r="AA78" s="504"/>
      <c r="AB78" s="504"/>
      <c r="AC78" s="504"/>
      <c r="AD78" s="504"/>
    </row>
    <row r="79" spans="1:30" s="505" customFormat="1" ht="19.5" customHeight="1" x14ac:dyDescent="0.3">
      <c r="A79" s="324">
        <v>71</v>
      </c>
      <c r="B79" s="395"/>
      <c r="C79" s="1211"/>
      <c r="D79" s="503"/>
      <c r="E79" s="495" t="s">
        <v>238</v>
      </c>
      <c r="F79" s="636"/>
      <c r="G79" s="335"/>
      <c r="H79" s="335"/>
      <c r="I79" s="1205"/>
      <c r="J79" s="418">
        <f>SUM(K79:R79)</f>
        <v>6294</v>
      </c>
      <c r="K79" s="638">
        <v>5570</v>
      </c>
      <c r="L79" s="638">
        <v>724</v>
      </c>
      <c r="M79" s="638"/>
      <c r="N79" s="638"/>
      <c r="O79" s="638"/>
      <c r="P79" s="638"/>
      <c r="Q79" s="638"/>
      <c r="R79" s="639"/>
      <c r="S79" s="421"/>
      <c r="T79" s="504"/>
      <c r="U79" s="504"/>
      <c r="V79" s="504"/>
      <c r="W79" s="504"/>
      <c r="X79" s="504"/>
      <c r="Y79" s="504"/>
      <c r="Z79" s="504"/>
      <c r="AA79" s="504"/>
      <c r="AB79" s="504"/>
      <c r="AC79" s="504"/>
      <c r="AD79" s="504"/>
    </row>
    <row r="80" spans="1:30" s="505" customFormat="1" ht="30" customHeight="1" x14ac:dyDescent="0.3">
      <c r="A80" s="324">
        <v>72</v>
      </c>
      <c r="B80" s="395"/>
      <c r="C80" s="375">
        <v>88</v>
      </c>
      <c r="D80" s="1341" t="s">
        <v>632</v>
      </c>
      <c r="E80" s="1341"/>
      <c r="F80" s="636"/>
      <c r="G80" s="335"/>
      <c r="H80" s="335"/>
      <c r="I80" s="1205"/>
      <c r="J80" s="637"/>
      <c r="K80" s="638"/>
      <c r="L80" s="638"/>
      <c r="M80" s="638"/>
      <c r="N80" s="638"/>
      <c r="O80" s="638"/>
      <c r="P80" s="638"/>
      <c r="Q80" s="638"/>
      <c r="R80" s="639"/>
      <c r="S80" s="421"/>
      <c r="T80" s="504"/>
      <c r="U80" s="504"/>
      <c r="V80" s="504"/>
      <c r="W80" s="504"/>
      <c r="X80" s="504"/>
      <c r="Y80" s="504"/>
      <c r="Z80" s="504"/>
      <c r="AA80" s="504"/>
      <c r="AB80" s="504"/>
      <c r="AC80" s="504"/>
      <c r="AD80" s="504"/>
    </row>
    <row r="81" spans="1:31" s="505" customFormat="1" ht="19.5" customHeight="1" x14ac:dyDescent="0.3">
      <c r="A81" s="324">
        <v>73</v>
      </c>
      <c r="B81" s="395"/>
      <c r="C81" s="1211"/>
      <c r="D81" s="503"/>
      <c r="E81" s="495" t="s">
        <v>238</v>
      </c>
      <c r="F81" s="636"/>
      <c r="G81" s="335"/>
      <c r="H81" s="335"/>
      <c r="I81" s="1205"/>
      <c r="J81" s="418">
        <f>SUM(K81:R81)</f>
        <v>12285</v>
      </c>
      <c r="K81" s="638">
        <v>10872</v>
      </c>
      <c r="L81" s="638">
        <v>1413</v>
      </c>
      <c r="M81" s="638"/>
      <c r="N81" s="638"/>
      <c r="O81" s="638"/>
      <c r="P81" s="638"/>
      <c r="Q81" s="638"/>
      <c r="R81" s="639"/>
      <c r="S81" s="421"/>
      <c r="T81" s="504"/>
      <c r="U81" s="504"/>
      <c r="V81" s="504"/>
      <c r="W81" s="504"/>
      <c r="X81" s="504"/>
      <c r="Y81" s="504"/>
      <c r="Z81" s="504"/>
      <c r="AA81" s="504"/>
      <c r="AB81" s="504"/>
      <c r="AC81" s="504"/>
      <c r="AD81" s="504"/>
    </row>
    <row r="82" spans="1:31" s="505" customFormat="1" ht="30" customHeight="1" x14ac:dyDescent="0.3">
      <c r="A82" s="324">
        <v>74</v>
      </c>
      <c r="B82" s="395"/>
      <c r="C82" s="375">
        <v>89</v>
      </c>
      <c r="D82" s="1341" t="s">
        <v>634</v>
      </c>
      <c r="E82" s="1341"/>
      <c r="F82" s="636"/>
      <c r="G82" s="335"/>
      <c r="H82" s="335"/>
      <c r="I82" s="1205">
        <v>3957</v>
      </c>
      <c r="J82" s="637"/>
      <c r="K82" s="638"/>
      <c r="L82" s="638"/>
      <c r="M82" s="638"/>
      <c r="N82" s="638"/>
      <c r="O82" s="638"/>
      <c r="P82" s="638"/>
      <c r="Q82" s="638"/>
      <c r="R82" s="639"/>
      <c r="S82" s="421"/>
      <c r="T82" s="504"/>
      <c r="U82" s="504"/>
      <c r="V82" s="504"/>
      <c r="W82" s="504"/>
      <c r="X82" s="504"/>
      <c r="Y82" s="504"/>
      <c r="Z82" s="504"/>
      <c r="AA82" s="504"/>
      <c r="AB82" s="504"/>
      <c r="AC82" s="504"/>
      <c r="AD82" s="504"/>
    </row>
    <row r="83" spans="1:31" s="505" customFormat="1" ht="19.5" customHeight="1" x14ac:dyDescent="0.3">
      <c r="A83" s="324">
        <v>75</v>
      </c>
      <c r="B83" s="395"/>
      <c r="C83" s="635"/>
      <c r="D83" s="503"/>
      <c r="E83" s="495" t="s">
        <v>238</v>
      </c>
      <c r="F83" s="636"/>
      <c r="G83" s="335"/>
      <c r="H83" s="335"/>
      <c r="I83" s="1205"/>
      <c r="J83" s="418">
        <f>SUM(K83:R83)</f>
        <v>77193</v>
      </c>
      <c r="K83" s="638">
        <v>68312</v>
      </c>
      <c r="L83" s="638">
        <v>8881</v>
      </c>
      <c r="M83" s="638"/>
      <c r="N83" s="638"/>
      <c r="O83" s="638"/>
      <c r="P83" s="638"/>
      <c r="Q83" s="638"/>
      <c r="R83" s="639"/>
      <c r="S83" s="421"/>
      <c r="T83" s="504"/>
      <c r="U83" s="504"/>
      <c r="V83" s="504"/>
      <c r="W83" s="504"/>
      <c r="X83" s="504"/>
      <c r="Y83" s="504"/>
      <c r="Z83" s="504"/>
      <c r="AA83" s="504"/>
      <c r="AB83" s="504"/>
      <c r="AC83" s="504"/>
      <c r="AD83" s="504"/>
    </row>
    <row r="84" spans="1:31" s="505" customFormat="1" ht="30" customHeight="1" x14ac:dyDescent="0.3">
      <c r="A84" s="324">
        <v>76</v>
      </c>
      <c r="B84" s="395"/>
      <c r="C84" s="375">
        <v>90</v>
      </c>
      <c r="D84" s="1341" t="s">
        <v>635</v>
      </c>
      <c r="E84" s="1341"/>
      <c r="F84" s="636"/>
      <c r="G84" s="335"/>
      <c r="H84" s="335"/>
      <c r="I84" s="1205"/>
      <c r="J84" s="637"/>
      <c r="K84" s="638"/>
      <c r="L84" s="638"/>
      <c r="M84" s="638"/>
      <c r="N84" s="638"/>
      <c r="O84" s="638"/>
      <c r="P84" s="638"/>
      <c r="Q84" s="638"/>
      <c r="R84" s="639"/>
      <c r="S84" s="421"/>
      <c r="T84" s="504"/>
      <c r="U84" s="504"/>
      <c r="V84" s="504"/>
      <c r="W84" s="504"/>
      <c r="X84" s="504"/>
      <c r="Y84" s="504"/>
      <c r="Z84" s="504"/>
      <c r="AA84" s="504"/>
      <c r="AB84" s="504"/>
      <c r="AC84" s="504"/>
      <c r="AD84" s="504"/>
    </row>
    <row r="85" spans="1:31" s="505" customFormat="1" ht="19.5" customHeight="1" x14ac:dyDescent="0.3">
      <c r="A85" s="324">
        <v>77</v>
      </c>
      <c r="B85" s="395"/>
      <c r="C85" s="635"/>
      <c r="D85" s="503"/>
      <c r="E85" s="495" t="s">
        <v>238</v>
      </c>
      <c r="F85" s="636"/>
      <c r="G85" s="335"/>
      <c r="H85" s="335"/>
      <c r="I85" s="1205"/>
      <c r="J85" s="418">
        <f>SUM(K85:R85)</f>
        <v>6780</v>
      </c>
      <c r="K85" s="638">
        <v>6000</v>
      </c>
      <c r="L85" s="638">
        <v>780</v>
      </c>
      <c r="M85" s="638"/>
      <c r="N85" s="638"/>
      <c r="O85" s="638"/>
      <c r="P85" s="638"/>
      <c r="Q85" s="638"/>
      <c r="R85" s="639"/>
      <c r="S85" s="421"/>
      <c r="T85" s="504"/>
      <c r="U85" s="504"/>
      <c r="V85" s="504"/>
      <c r="W85" s="504"/>
      <c r="X85" s="504"/>
      <c r="Y85" s="504"/>
      <c r="Z85" s="504"/>
      <c r="AA85" s="504"/>
      <c r="AB85" s="504"/>
      <c r="AC85" s="504"/>
      <c r="AD85" s="504"/>
    </row>
    <row r="86" spans="1:31" s="505" customFormat="1" ht="30" customHeight="1" x14ac:dyDescent="0.3">
      <c r="A86" s="324">
        <v>78</v>
      </c>
      <c r="B86" s="395"/>
      <c r="C86" s="375">
        <v>91</v>
      </c>
      <c r="D86" s="1341" t="s">
        <v>636</v>
      </c>
      <c r="E86" s="1341"/>
      <c r="F86" s="636"/>
      <c r="G86" s="335"/>
      <c r="H86" s="335"/>
      <c r="I86" s="1205"/>
      <c r="J86" s="637"/>
      <c r="K86" s="638"/>
      <c r="L86" s="638"/>
      <c r="M86" s="638"/>
      <c r="N86" s="638"/>
      <c r="O86" s="638"/>
      <c r="P86" s="638"/>
      <c r="Q86" s="638"/>
      <c r="R86" s="639"/>
      <c r="S86" s="421"/>
      <c r="T86" s="504"/>
      <c r="U86" s="504"/>
      <c r="V86" s="504"/>
      <c r="W86" s="504"/>
      <c r="X86" s="504"/>
      <c r="Y86" s="504"/>
      <c r="Z86" s="504"/>
      <c r="AA86" s="504"/>
      <c r="AB86" s="504"/>
      <c r="AC86" s="504"/>
      <c r="AD86" s="504"/>
    </row>
    <row r="87" spans="1:31" s="505" customFormat="1" ht="19.5" customHeight="1" x14ac:dyDescent="0.3">
      <c r="A87" s="324">
        <v>79</v>
      </c>
      <c r="B87" s="395"/>
      <c r="C87" s="635"/>
      <c r="D87" s="503"/>
      <c r="E87" s="495" t="s">
        <v>238</v>
      </c>
      <c r="F87" s="636"/>
      <c r="G87" s="335"/>
      <c r="H87" s="335"/>
      <c r="I87" s="1205"/>
      <c r="J87" s="418">
        <f>SUM(K87:R87)</f>
        <v>5220</v>
      </c>
      <c r="K87" s="638">
        <v>4619</v>
      </c>
      <c r="L87" s="638">
        <v>601</v>
      </c>
      <c r="M87" s="638"/>
      <c r="N87" s="638"/>
      <c r="O87" s="638"/>
      <c r="P87" s="638"/>
      <c r="Q87" s="638"/>
      <c r="R87" s="639"/>
      <c r="S87" s="421"/>
      <c r="T87" s="504"/>
      <c r="U87" s="504"/>
      <c r="V87" s="504"/>
      <c r="W87" s="504"/>
      <c r="X87" s="504"/>
      <c r="Y87" s="504"/>
      <c r="Z87" s="504"/>
      <c r="AA87" s="504"/>
      <c r="AB87" s="504"/>
      <c r="AC87" s="504"/>
      <c r="AD87" s="504"/>
    </row>
    <row r="88" spans="1:31" s="505" customFormat="1" ht="19.5" customHeight="1" x14ac:dyDescent="0.3">
      <c r="A88" s="324">
        <v>80</v>
      </c>
      <c r="B88" s="395"/>
      <c r="C88" s="338">
        <v>92</v>
      </c>
      <c r="D88" s="1341" t="s">
        <v>721</v>
      </c>
      <c r="E88" s="1341"/>
      <c r="F88" s="636"/>
      <c r="G88" s="335"/>
      <c r="H88" s="335"/>
      <c r="I88" s="1205"/>
      <c r="J88" s="637"/>
      <c r="K88" s="638"/>
      <c r="L88" s="638"/>
      <c r="M88" s="638"/>
      <c r="N88" s="638"/>
      <c r="O88" s="638"/>
      <c r="P88" s="638"/>
      <c r="Q88" s="638"/>
      <c r="R88" s="639"/>
      <c r="S88" s="421"/>
      <c r="T88" s="504"/>
      <c r="U88" s="504"/>
      <c r="V88" s="504"/>
      <c r="W88" s="504"/>
      <c r="X88" s="504"/>
      <c r="Y88" s="504"/>
      <c r="Z88" s="504"/>
      <c r="AA88" s="504"/>
      <c r="AB88" s="504"/>
      <c r="AC88" s="504"/>
      <c r="AD88" s="504"/>
    </row>
    <row r="89" spans="1:31" s="505" customFormat="1" ht="19.5" customHeight="1" x14ac:dyDescent="0.3">
      <c r="A89" s="324">
        <v>81</v>
      </c>
      <c r="B89" s="395"/>
      <c r="C89" s="635"/>
      <c r="D89" s="503"/>
      <c r="E89" s="495" t="s">
        <v>238</v>
      </c>
      <c r="F89" s="636"/>
      <c r="G89" s="335"/>
      <c r="H89" s="335"/>
      <c r="I89" s="1205"/>
      <c r="J89" s="418">
        <f>SUM(K89:R89)</f>
        <v>40213</v>
      </c>
      <c r="K89" s="638">
        <v>26292</v>
      </c>
      <c r="L89" s="638">
        <v>4139</v>
      </c>
      <c r="M89" s="638">
        <v>9782</v>
      </c>
      <c r="N89" s="638"/>
      <c r="O89" s="638"/>
      <c r="P89" s="638"/>
      <c r="Q89" s="638"/>
      <c r="R89" s="639"/>
      <c r="S89" s="421"/>
      <c r="T89" s="504"/>
      <c r="U89" s="504"/>
      <c r="V89" s="504"/>
      <c r="W89" s="504"/>
      <c r="X89" s="504"/>
      <c r="Y89" s="504"/>
      <c r="Z89" s="504"/>
      <c r="AA89" s="504"/>
      <c r="AB89" s="504"/>
      <c r="AC89" s="504"/>
      <c r="AD89" s="504"/>
    </row>
    <row r="90" spans="1:31" s="505" customFormat="1" ht="30.75" customHeight="1" x14ac:dyDescent="0.3">
      <c r="A90" s="324">
        <v>82</v>
      </c>
      <c r="B90" s="395"/>
      <c r="C90" s="375">
        <v>60</v>
      </c>
      <c r="D90" s="1342" t="s">
        <v>382</v>
      </c>
      <c r="E90" s="1343"/>
      <c r="F90" s="636"/>
      <c r="G90" s="335">
        <v>2207</v>
      </c>
      <c r="H90" s="335"/>
      <c r="I90" s="1205"/>
      <c r="J90" s="637"/>
      <c r="K90" s="638"/>
      <c r="L90" s="638"/>
      <c r="M90" s="638"/>
      <c r="N90" s="638"/>
      <c r="O90" s="638"/>
      <c r="P90" s="638"/>
      <c r="Q90" s="638"/>
      <c r="R90" s="639"/>
      <c r="S90" s="421"/>
      <c r="T90" s="504"/>
      <c r="U90" s="504"/>
      <c r="V90" s="504"/>
      <c r="W90" s="504"/>
      <c r="X90" s="504"/>
      <c r="Y90" s="504"/>
      <c r="Z90" s="504"/>
      <c r="AA90" s="504"/>
      <c r="AB90" s="504"/>
      <c r="AC90" s="504"/>
      <c r="AD90" s="504"/>
    </row>
    <row r="91" spans="1:31" s="505" customFormat="1" ht="30" customHeight="1" x14ac:dyDescent="0.3">
      <c r="A91" s="324">
        <v>83</v>
      </c>
      <c r="B91" s="395"/>
      <c r="C91" s="375">
        <v>80</v>
      </c>
      <c r="D91" s="1341" t="s">
        <v>549</v>
      </c>
      <c r="E91" s="1341"/>
      <c r="F91" s="636"/>
      <c r="G91" s="335">
        <v>39173</v>
      </c>
      <c r="H91" s="335">
        <v>3569</v>
      </c>
      <c r="I91" s="1205">
        <v>3569</v>
      </c>
      <c r="J91" s="637"/>
      <c r="K91" s="638"/>
      <c r="L91" s="638"/>
      <c r="M91" s="638"/>
      <c r="N91" s="638"/>
      <c r="O91" s="638"/>
      <c r="P91" s="638"/>
      <c r="Q91" s="638"/>
      <c r="R91" s="639"/>
      <c r="S91" s="421"/>
      <c r="T91" s="504"/>
      <c r="U91" s="504"/>
      <c r="V91" s="504"/>
      <c r="W91" s="504"/>
      <c r="X91" s="504"/>
      <c r="Y91" s="504"/>
      <c r="Z91" s="504"/>
      <c r="AA91" s="504"/>
      <c r="AB91" s="504"/>
      <c r="AC91" s="504"/>
      <c r="AD91" s="504"/>
    </row>
    <row r="92" spans="1:31" s="505" customFormat="1" ht="19.5" customHeight="1" x14ac:dyDescent="0.3">
      <c r="A92" s="324">
        <v>84</v>
      </c>
      <c r="B92" s="395"/>
      <c r="C92" s="338"/>
      <c r="D92" s="1341" t="s">
        <v>555</v>
      </c>
      <c r="E92" s="1341"/>
      <c r="F92" s="636"/>
      <c r="G92" s="335">
        <v>8300</v>
      </c>
      <c r="H92" s="335"/>
      <c r="I92" s="1205"/>
      <c r="J92" s="637"/>
      <c r="K92" s="638"/>
      <c r="L92" s="638"/>
      <c r="M92" s="638"/>
      <c r="N92" s="638"/>
      <c r="O92" s="638"/>
      <c r="P92" s="638"/>
      <c r="Q92" s="638"/>
      <c r="R92" s="639"/>
      <c r="S92" s="421"/>
      <c r="T92" s="504"/>
      <c r="U92" s="504"/>
      <c r="V92" s="504"/>
      <c r="W92" s="504"/>
      <c r="X92" s="504"/>
      <c r="Y92" s="504"/>
      <c r="Z92" s="504"/>
      <c r="AA92" s="504"/>
      <c r="AB92" s="504"/>
      <c r="AC92" s="504"/>
      <c r="AD92" s="504"/>
    </row>
    <row r="93" spans="1:31" s="505" customFormat="1" ht="19.5" customHeight="1" thickBot="1" x14ac:dyDescent="0.35">
      <c r="A93" s="324">
        <v>85</v>
      </c>
      <c r="B93" s="395"/>
      <c r="C93" s="338">
        <v>83</v>
      </c>
      <c r="D93" s="1341" t="s">
        <v>557</v>
      </c>
      <c r="E93" s="1341"/>
      <c r="F93" s="636"/>
      <c r="G93" s="335">
        <v>50257</v>
      </c>
      <c r="H93" s="335"/>
      <c r="I93" s="1205"/>
      <c r="J93" s="637"/>
      <c r="K93" s="638"/>
      <c r="L93" s="638"/>
      <c r="M93" s="638"/>
      <c r="N93" s="638"/>
      <c r="O93" s="638"/>
      <c r="P93" s="638"/>
      <c r="Q93" s="638"/>
      <c r="R93" s="639"/>
      <c r="S93" s="421"/>
      <c r="T93" s="504"/>
      <c r="U93" s="504"/>
      <c r="V93" s="504"/>
      <c r="W93" s="504"/>
      <c r="X93" s="504"/>
      <c r="Y93" s="504"/>
      <c r="Z93" s="504"/>
      <c r="AA93" s="504"/>
      <c r="AB93" s="504"/>
      <c r="AC93" s="504"/>
      <c r="AD93" s="504"/>
    </row>
    <row r="94" spans="1:31" s="376" customFormat="1" ht="22.5" customHeight="1" thickTop="1" x14ac:dyDescent="0.3">
      <c r="A94" s="324">
        <v>86</v>
      </c>
      <c r="B94" s="506"/>
      <c r="C94" s="1344" t="s">
        <v>307</v>
      </c>
      <c r="D94" s="1345"/>
      <c r="E94" s="1346"/>
      <c r="F94" s="507"/>
      <c r="G94" s="430">
        <f>SUM(G57:G93)</f>
        <v>2420617</v>
      </c>
      <c r="H94" s="430">
        <f t="shared" ref="H94:I94" si="4">SUM(H57:H93)</f>
        <v>2856633</v>
      </c>
      <c r="I94" s="430">
        <f t="shared" si="4"/>
        <v>3769920</v>
      </c>
      <c r="J94" s="431"/>
      <c r="K94" s="460"/>
      <c r="L94" s="460"/>
      <c r="M94" s="460"/>
      <c r="N94" s="460"/>
      <c r="O94" s="460"/>
      <c r="P94" s="460"/>
      <c r="Q94" s="460"/>
      <c r="R94" s="461"/>
      <c r="S94" s="424"/>
      <c r="T94" s="424"/>
      <c r="U94" s="424"/>
      <c r="V94" s="424"/>
      <c r="W94" s="424"/>
      <c r="X94" s="424"/>
      <c r="Y94" s="424"/>
      <c r="Z94" s="424"/>
      <c r="AA94" s="424"/>
      <c r="AB94" s="424"/>
      <c r="AC94" s="424"/>
      <c r="AD94" s="424"/>
      <c r="AE94" s="424"/>
    </row>
    <row r="95" spans="1:31" s="347" customFormat="1" ht="18" customHeight="1" thickBot="1" x14ac:dyDescent="0.35">
      <c r="A95" s="324">
        <v>87</v>
      </c>
      <c r="B95" s="342"/>
      <c r="C95" s="385"/>
      <c r="D95" s="508"/>
      <c r="E95" s="509" t="s">
        <v>238</v>
      </c>
      <c r="F95" s="510"/>
      <c r="G95" s="1195"/>
      <c r="H95" s="1195"/>
      <c r="I95" s="1192"/>
      <c r="J95" s="477">
        <f>SUM(K95:R95)</f>
        <v>3377365</v>
      </c>
      <c r="K95" s="511">
        <f>SUM(K59,K61,K63,K65,K67,K69,K71,K73,K75,K77,K79,K81,K83,K85,K87,K89,)</f>
        <v>2457486</v>
      </c>
      <c r="L95" s="511">
        <f t="shared" ref="L95:R95" si="5">SUM(L59,L61,L63,L65,L67,L69,L71,L73,L75,L77,L79,L81,L83,L85,L87,L89,)</f>
        <v>370152</v>
      </c>
      <c r="M95" s="511">
        <f t="shared" si="5"/>
        <v>464258</v>
      </c>
      <c r="N95" s="511">
        <f t="shared" si="5"/>
        <v>0</v>
      </c>
      <c r="O95" s="511">
        <f t="shared" si="5"/>
        <v>0</v>
      </c>
      <c r="P95" s="511">
        <f t="shared" si="5"/>
        <v>85469</v>
      </c>
      <c r="Q95" s="511">
        <f t="shared" si="5"/>
        <v>0</v>
      </c>
      <c r="R95" s="516">
        <f t="shared" si="5"/>
        <v>0</v>
      </c>
      <c r="S95" s="421"/>
      <c r="T95" s="421"/>
      <c r="U95" s="421"/>
      <c r="V95" s="421"/>
      <c r="W95" s="421"/>
      <c r="X95" s="421"/>
      <c r="Y95" s="421"/>
      <c r="Z95" s="421"/>
      <c r="AA95" s="421"/>
      <c r="AB95" s="421"/>
      <c r="AC95" s="421"/>
      <c r="AD95" s="421"/>
      <c r="AE95" s="421"/>
    </row>
    <row r="96" spans="1:31" s="376" customFormat="1" ht="36" customHeight="1" x14ac:dyDescent="0.2">
      <c r="A96" s="324">
        <v>88</v>
      </c>
      <c r="B96" s="1336" t="s">
        <v>13</v>
      </c>
      <c r="C96" s="1337"/>
      <c r="D96" s="1337"/>
      <c r="E96" s="1338"/>
      <c r="F96" s="512"/>
      <c r="G96" s="513">
        <f>SUM(G94,G55)</f>
        <v>13552260</v>
      </c>
      <c r="H96" s="513">
        <f>SUM(H94,H55)</f>
        <v>14196982</v>
      </c>
      <c r="I96" s="513">
        <f>SUM(I94,I55)</f>
        <v>16713189</v>
      </c>
      <c r="J96" s="514"/>
      <c r="K96" s="513"/>
      <c r="L96" s="513"/>
      <c r="M96" s="513"/>
      <c r="N96" s="513"/>
      <c r="O96" s="513"/>
      <c r="P96" s="513"/>
      <c r="Q96" s="513"/>
      <c r="R96" s="515"/>
      <c r="S96" s="424"/>
      <c r="T96" s="424"/>
      <c r="U96" s="424"/>
      <c r="V96" s="424"/>
      <c r="W96" s="424"/>
      <c r="X96" s="424"/>
      <c r="Y96" s="424"/>
      <c r="Z96" s="424"/>
      <c r="AA96" s="424"/>
      <c r="AB96" s="424"/>
      <c r="AC96" s="424"/>
      <c r="AD96" s="424"/>
      <c r="AE96" s="424"/>
    </row>
    <row r="97" spans="1:31" s="347" customFormat="1" ht="18" customHeight="1" thickBot="1" x14ac:dyDescent="0.35">
      <c r="A97" s="324">
        <v>89</v>
      </c>
      <c r="B97" s="384"/>
      <c r="C97" s="385"/>
      <c r="D97" s="508"/>
      <c r="E97" s="509" t="s">
        <v>238</v>
      </c>
      <c r="F97" s="510"/>
      <c r="G97" s="1195"/>
      <c r="H97" s="1195"/>
      <c r="I97" s="1192"/>
      <c r="J97" s="477">
        <f>SUM(K97:R97)</f>
        <v>16153314</v>
      </c>
      <c r="K97" s="511">
        <f t="shared" ref="K97:R97" si="6">SUM(K95,K56)</f>
        <v>9724003</v>
      </c>
      <c r="L97" s="511">
        <f t="shared" si="6"/>
        <v>1446960</v>
      </c>
      <c r="M97" s="511">
        <f t="shared" si="6"/>
        <v>4796904</v>
      </c>
      <c r="N97" s="511">
        <f t="shared" si="6"/>
        <v>0</v>
      </c>
      <c r="O97" s="511">
        <f t="shared" si="6"/>
        <v>609</v>
      </c>
      <c r="P97" s="511">
        <f>SUM(P95,P56)</f>
        <v>184838</v>
      </c>
      <c r="Q97" s="511">
        <f t="shared" si="6"/>
        <v>0</v>
      </c>
      <c r="R97" s="516">
        <f t="shared" si="6"/>
        <v>0</v>
      </c>
      <c r="S97" s="421"/>
      <c r="T97" s="421"/>
      <c r="U97" s="421"/>
      <c r="V97" s="421"/>
      <c r="W97" s="421"/>
      <c r="X97" s="421"/>
      <c r="Y97" s="421"/>
      <c r="Z97" s="421"/>
      <c r="AA97" s="421"/>
      <c r="AB97" s="421"/>
      <c r="AC97" s="421"/>
      <c r="AD97" s="421"/>
      <c r="AE97" s="421"/>
    </row>
    <row r="98" spans="1:31" s="329" customFormat="1" ht="15" customHeight="1" x14ac:dyDescent="0.3">
      <c r="A98" s="324">
        <v>90</v>
      </c>
      <c r="B98" s="1368" t="s">
        <v>124</v>
      </c>
      <c r="C98" s="1369"/>
      <c r="D98" s="1369"/>
      <c r="E98" s="1370"/>
      <c r="F98" s="517"/>
      <c r="G98" s="482"/>
      <c r="H98" s="482"/>
      <c r="I98" s="1196"/>
      <c r="J98" s="518"/>
      <c r="K98" s="482"/>
      <c r="L98" s="482"/>
      <c r="M98" s="482"/>
      <c r="N98" s="482"/>
      <c r="O98" s="482"/>
      <c r="P98" s="482"/>
      <c r="Q98" s="482"/>
      <c r="R98" s="483"/>
      <c r="S98" s="10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</row>
    <row r="99" spans="1:31" s="329" customFormat="1" ht="15" customHeight="1" x14ac:dyDescent="0.3">
      <c r="A99" s="324">
        <v>91</v>
      </c>
      <c r="B99" s="1362" t="s">
        <v>125</v>
      </c>
      <c r="C99" s="1363"/>
      <c r="D99" s="1363"/>
      <c r="E99" s="1364"/>
      <c r="F99" s="1364"/>
      <c r="G99" s="498">
        <f>SUM(G39:G46,G37,G27,G53)</f>
        <v>9612099</v>
      </c>
      <c r="H99" s="498">
        <f>SUM(H39:H46,H37,H27,H53)</f>
        <v>9916745</v>
      </c>
      <c r="I99" s="1197">
        <f>SUM(I39:I46,I37,I27,I53)</f>
        <v>11122960</v>
      </c>
      <c r="J99" s="519"/>
      <c r="K99" s="469"/>
      <c r="L99" s="469"/>
      <c r="M99" s="469"/>
      <c r="N99" s="469"/>
      <c r="O99" s="469"/>
      <c r="P99" s="469"/>
      <c r="Q99" s="469"/>
      <c r="R99" s="520"/>
      <c r="S99" s="10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</row>
    <row r="100" spans="1:31" s="347" customFormat="1" ht="15" customHeight="1" x14ac:dyDescent="0.3">
      <c r="A100" s="324">
        <v>92</v>
      </c>
      <c r="B100" s="521"/>
      <c r="C100" s="522"/>
      <c r="D100" s="522"/>
      <c r="E100" s="416" t="s">
        <v>238</v>
      </c>
      <c r="F100" s="523"/>
      <c r="G100" s="1198"/>
      <c r="H100" s="1198"/>
      <c r="I100" s="1199"/>
      <c r="J100" s="501">
        <f>SUM(K100:R100)</f>
        <v>11154255</v>
      </c>
      <c r="K100" s="501">
        <f t="shared" ref="K100:R100" si="7">SUM(K28,K38,K40,K42,K44,K46,K54,)</f>
        <v>6354695</v>
      </c>
      <c r="L100" s="501">
        <f t="shared" si="7"/>
        <v>973672</v>
      </c>
      <c r="M100" s="501">
        <f t="shared" si="7"/>
        <v>3738820</v>
      </c>
      <c r="N100" s="501">
        <f t="shared" si="7"/>
        <v>0</v>
      </c>
      <c r="O100" s="501">
        <f t="shared" si="7"/>
        <v>609</v>
      </c>
      <c r="P100" s="501">
        <f t="shared" si="7"/>
        <v>86459</v>
      </c>
      <c r="Q100" s="501">
        <f t="shared" si="7"/>
        <v>0</v>
      </c>
      <c r="R100" s="502">
        <f t="shared" si="7"/>
        <v>0</v>
      </c>
      <c r="S100" s="425"/>
      <c r="T100" s="421"/>
      <c r="U100" s="421"/>
      <c r="V100" s="421"/>
      <c r="W100" s="421"/>
      <c r="X100" s="421"/>
      <c r="Y100" s="421"/>
      <c r="Z100" s="421"/>
      <c r="AA100" s="421"/>
      <c r="AB100" s="421"/>
      <c r="AC100" s="421"/>
      <c r="AD100" s="421"/>
      <c r="AE100" s="421"/>
    </row>
    <row r="101" spans="1:31" s="329" customFormat="1" ht="15" customHeight="1" x14ac:dyDescent="0.3">
      <c r="A101" s="324">
        <v>93</v>
      </c>
      <c r="B101" s="1362" t="s">
        <v>124</v>
      </c>
      <c r="C101" s="1363"/>
      <c r="D101" s="1363"/>
      <c r="E101" s="1364"/>
      <c r="F101" s="524"/>
      <c r="G101" s="498"/>
      <c r="H101" s="498"/>
      <c r="I101" s="1197"/>
      <c r="J101" s="525"/>
      <c r="K101" s="498"/>
      <c r="L101" s="498"/>
      <c r="M101" s="498"/>
      <c r="N101" s="498"/>
      <c r="O101" s="498"/>
      <c r="P101" s="498"/>
      <c r="Q101" s="498"/>
      <c r="R101" s="526"/>
      <c r="S101" s="10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</row>
    <row r="102" spans="1:31" s="329" customFormat="1" ht="15" customHeight="1" x14ac:dyDescent="0.3">
      <c r="A102" s="324">
        <v>94</v>
      </c>
      <c r="B102" s="1362" t="s">
        <v>126</v>
      </c>
      <c r="C102" s="1363"/>
      <c r="D102" s="1363"/>
      <c r="E102" s="1364"/>
      <c r="F102" s="1364"/>
      <c r="G102" s="498">
        <f>SUM(G47:G50)</f>
        <v>1519544</v>
      </c>
      <c r="H102" s="498">
        <f>SUM(H47:H50)</f>
        <v>1423604</v>
      </c>
      <c r="I102" s="1197">
        <f>SUM(I47:I50)</f>
        <v>1820309</v>
      </c>
      <c r="J102" s="525"/>
      <c r="K102" s="498"/>
      <c r="L102" s="498"/>
      <c r="M102" s="498"/>
      <c r="N102" s="498"/>
      <c r="O102" s="498"/>
      <c r="P102" s="498"/>
      <c r="Q102" s="498"/>
      <c r="R102" s="526"/>
      <c r="S102" s="10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</row>
    <row r="103" spans="1:31" s="347" customFormat="1" ht="15" customHeight="1" x14ac:dyDescent="0.3">
      <c r="A103" s="324">
        <v>95</v>
      </c>
      <c r="B103" s="521"/>
      <c r="C103" s="522"/>
      <c r="D103" s="522"/>
      <c r="E103" s="416" t="s">
        <v>238</v>
      </c>
      <c r="F103" s="523"/>
      <c r="G103" s="1198"/>
      <c r="H103" s="1198"/>
      <c r="I103" s="1200"/>
      <c r="J103" s="527">
        <f>SUM(K103:R103)</f>
        <v>1621694</v>
      </c>
      <c r="K103" s="501">
        <f t="shared" ref="K103:R103" si="8">SUM(K48,K50)</f>
        <v>911822</v>
      </c>
      <c r="L103" s="501">
        <f t="shared" si="8"/>
        <v>103136</v>
      </c>
      <c r="M103" s="501">
        <f t="shared" si="8"/>
        <v>593826</v>
      </c>
      <c r="N103" s="501">
        <f t="shared" si="8"/>
        <v>0</v>
      </c>
      <c r="O103" s="501">
        <f t="shared" si="8"/>
        <v>0</v>
      </c>
      <c r="P103" s="501">
        <f t="shared" si="8"/>
        <v>12910</v>
      </c>
      <c r="Q103" s="501">
        <f t="shared" si="8"/>
        <v>0</v>
      </c>
      <c r="R103" s="502">
        <f t="shared" si="8"/>
        <v>0</v>
      </c>
      <c r="S103" s="425"/>
      <c r="T103" s="421"/>
      <c r="U103" s="421"/>
      <c r="V103" s="421"/>
      <c r="W103" s="421"/>
      <c r="X103" s="421"/>
      <c r="Y103" s="421"/>
      <c r="Z103" s="421"/>
      <c r="AA103" s="421"/>
      <c r="AB103" s="421"/>
      <c r="AC103" s="421"/>
      <c r="AD103" s="421"/>
      <c r="AE103" s="421"/>
    </row>
    <row r="104" spans="1:31" s="329" customFormat="1" ht="15" customHeight="1" x14ac:dyDescent="0.3">
      <c r="A104" s="324">
        <v>96</v>
      </c>
      <c r="B104" s="1362" t="s">
        <v>124</v>
      </c>
      <c r="C104" s="1363"/>
      <c r="D104" s="1363"/>
      <c r="E104" s="1364"/>
      <c r="F104" s="524"/>
      <c r="G104" s="498"/>
      <c r="H104" s="498"/>
      <c r="I104" s="1197"/>
      <c r="J104" s="525"/>
      <c r="K104" s="499"/>
      <c r="L104" s="499"/>
      <c r="M104" s="499"/>
      <c r="N104" s="499"/>
      <c r="O104" s="499"/>
      <c r="P104" s="499"/>
      <c r="Q104" s="499"/>
      <c r="R104" s="500"/>
      <c r="S104" s="10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</row>
    <row r="105" spans="1:31" s="329" customFormat="1" ht="15" customHeight="1" x14ac:dyDescent="0.3">
      <c r="A105" s="324">
        <v>97</v>
      </c>
      <c r="B105" s="1365" t="s">
        <v>127</v>
      </c>
      <c r="C105" s="1366"/>
      <c r="D105" s="1366"/>
      <c r="E105" s="1367"/>
      <c r="F105" s="1367"/>
      <c r="G105" s="1201">
        <f>SUM(G94)</f>
        <v>2420617</v>
      </c>
      <c r="H105" s="1201">
        <f>SUM(H94)</f>
        <v>2856633</v>
      </c>
      <c r="I105" s="1202">
        <f>SUM(I94)</f>
        <v>3769920</v>
      </c>
      <c r="J105" s="525"/>
      <c r="K105" s="498"/>
      <c r="L105" s="498"/>
      <c r="M105" s="498"/>
      <c r="N105" s="498"/>
      <c r="O105" s="498"/>
      <c r="P105" s="498"/>
      <c r="Q105" s="498"/>
      <c r="R105" s="526"/>
      <c r="S105" s="10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</row>
    <row r="106" spans="1:31" s="358" customFormat="1" ht="15" customHeight="1" thickBot="1" x14ac:dyDescent="0.35">
      <c r="A106" s="324">
        <v>98</v>
      </c>
      <c r="B106" s="528"/>
      <c r="C106" s="529"/>
      <c r="D106" s="529"/>
      <c r="E106" s="475" t="s">
        <v>238</v>
      </c>
      <c r="F106" s="530"/>
      <c r="G106" s="1203"/>
      <c r="H106" s="1203"/>
      <c r="I106" s="1204"/>
      <c r="J106" s="531">
        <f>SUM(K106:R106)</f>
        <v>3377365</v>
      </c>
      <c r="K106" s="511">
        <f>K95</f>
        <v>2457486</v>
      </c>
      <c r="L106" s="511">
        <f t="shared" ref="L106:R106" si="9">L95</f>
        <v>370152</v>
      </c>
      <c r="M106" s="511">
        <f t="shared" si="9"/>
        <v>464258</v>
      </c>
      <c r="N106" s="511">
        <f t="shared" si="9"/>
        <v>0</v>
      </c>
      <c r="O106" s="511">
        <f t="shared" si="9"/>
        <v>0</v>
      </c>
      <c r="P106" s="511">
        <f t="shared" si="9"/>
        <v>85469</v>
      </c>
      <c r="Q106" s="511">
        <f t="shared" si="9"/>
        <v>0</v>
      </c>
      <c r="R106" s="516">
        <f t="shared" si="9"/>
        <v>0</v>
      </c>
      <c r="S106" s="425"/>
      <c r="T106" s="425"/>
      <c r="U106" s="425"/>
      <c r="V106" s="425"/>
      <c r="W106" s="425"/>
      <c r="X106" s="425"/>
      <c r="Y106" s="425"/>
      <c r="Z106" s="425"/>
      <c r="AA106" s="425"/>
      <c r="AB106" s="425"/>
      <c r="AC106" s="425"/>
      <c r="AD106" s="425"/>
      <c r="AE106" s="425"/>
    </row>
    <row r="107" spans="1:31" s="537" customFormat="1" ht="18" customHeight="1" x14ac:dyDescent="0.3">
      <c r="A107" s="21"/>
      <c r="B107" s="532" t="s">
        <v>25</v>
      </c>
      <c r="C107" s="532"/>
      <c r="D107" s="532"/>
      <c r="E107" s="533"/>
      <c r="F107" s="534"/>
      <c r="G107" s="535"/>
      <c r="H107" s="535"/>
      <c r="I107" s="535"/>
      <c r="J107" s="536"/>
      <c r="K107" s="535"/>
      <c r="L107" s="535"/>
      <c r="M107" s="535"/>
      <c r="N107" s="535"/>
      <c r="O107" s="535"/>
      <c r="P107" s="535"/>
      <c r="Q107" s="535"/>
      <c r="R107" s="535"/>
      <c r="S107" s="102"/>
      <c r="T107" s="102"/>
      <c r="U107" s="102"/>
      <c r="V107" s="102"/>
      <c r="W107" s="102"/>
      <c r="X107" s="102"/>
      <c r="Y107" s="102"/>
      <c r="Z107" s="102"/>
      <c r="AA107" s="102"/>
      <c r="AB107" s="102"/>
      <c r="AC107" s="102"/>
      <c r="AD107" s="102"/>
      <c r="AE107" s="102"/>
    </row>
    <row r="108" spans="1:31" s="493" customFormat="1" ht="18" customHeight="1" x14ac:dyDescent="0.3">
      <c r="A108" s="21"/>
      <c r="B108" s="73" t="s">
        <v>26</v>
      </c>
      <c r="C108" s="73"/>
      <c r="D108" s="73"/>
      <c r="E108" s="101"/>
      <c r="F108" s="101"/>
      <c r="G108" s="101"/>
      <c r="H108" s="101"/>
      <c r="I108" s="101"/>
      <c r="J108" s="101"/>
      <c r="K108" s="245"/>
      <c r="L108" s="245"/>
      <c r="M108" s="245"/>
      <c r="N108" s="245"/>
      <c r="O108" s="245"/>
      <c r="P108" s="245"/>
      <c r="Q108" s="245"/>
      <c r="R108" s="245"/>
      <c r="S108" s="404"/>
      <c r="T108" s="404"/>
      <c r="U108" s="404"/>
      <c r="V108" s="404"/>
      <c r="W108" s="404"/>
      <c r="X108" s="404"/>
      <c r="Y108" s="404"/>
      <c r="Z108" s="404"/>
      <c r="AA108" s="404"/>
      <c r="AB108" s="404"/>
      <c r="AC108" s="404"/>
      <c r="AD108" s="404"/>
      <c r="AE108" s="404"/>
    </row>
    <row r="109" spans="1:31" ht="18" customHeight="1" x14ac:dyDescent="0.3">
      <c r="A109" s="21"/>
      <c r="B109" s="73" t="s">
        <v>27</v>
      </c>
      <c r="C109" s="73"/>
      <c r="D109" s="73"/>
    </row>
    <row r="110" spans="1:31" x14ac:dyDescent="0.3">
      <c r="K110" s="404"/>
      <c r="L110" s="404"/>
      <c r="M110" s="404"/>
      <c r="N110" s="404"/>
      <c r="O110" s="404"/>
      <c r="P110" s="404"/>
      <c r="Q110" s="404"/>
      <c r="R110" s="404"/>
    </row>
    <row r="111" spans="1:31" x14ac:dyDescent="0.3">
      <c r="K111" s="404"/>
      <c r="L111" s="404"/>
      <c r="M111" s="404"/>
      <c r="N111" s="404"/>
      <c r="O111" s="404"/>
      <c r="P111" s="404"/>
      <c r="Q111" s="404"/>
      <c r="R111" s="404"/>
    </row>
    <row r="112" spans="1:31" x14ac:dyDescent="0.3">
      <c r="K112" s="404"/>
      <c r="L112" s="404"/>
      <c r="M112" s="404"/>
      <c r="N112" s="404"/>
      <c r="O112" s="404"/>
      <c r="P112" s="404"/>
      <c r="Q112" s="404"/>
      <c r="R112" s="404"/>
    </row>
    <row r="113" spans="11:18" x14ac:dyDescent="0.3">
      <c r="K113" s="404"/>
      <c r="L113" s="404"/>
      <c r="M113" s="404"/>
      <c r="N113" s="404"/>
      <c r="O113" s="404"/>
      <c r="P113" s="404"/>
      <c r="Q113" s="404"/>
      <c r="R113" s="404"/>
    </row>
    <row r="114" spans="11:18" x14ac:dyDescent="0.3">
      <c r="K114" s="404"/>
      <c r="L114" s="404"/>
      <c r="M114" s="404"/>
      <c r="N114" s="404"/>
      <c r="O114" s="404"/>
      <c r="P114" s="404"/>
      <c r="Q114" s="404"/>
      <c r="R114" s="404"/>
    </row>
    <row r="115" spans="11:18" x14ac:dyDescent="0.3">
      <c r="K115" s="404"/>
      <c r="L115" s="404"/>
      <c r="M115" s="404"/>
      <c r="N115" s="404"/>
      <c r="O115" s="404"/>
      <c r="P115" s="404"/>
      <c r="Q115" s="404"/>
      <c r="R115" s="404"/>
    </row>
    <row r="117" spans="11:18" x14ac:dyDescent="0.3">
      <c r="K117" s="404"/>
      <c r="L117" s="404"/>
      <c r="M117" s="404"/>
      <c r="N117" s="404"/>
      <c r="O117" s="404"/>
      <c r="P117" s="404"/>
      <c r="Q117" s="404"/>
      <c r="R117" s="404"/>
    </row>
  </sheetData>
  <mergeCells count="44">
    <mergeCell ref="B104:E104"/>
    <mergeCell ref="B105:F105"/>
    <mergeCell ref="C94:E94"/>
    <mergeCell ref="B96:E96"/>
    <mergeCell ref="B98:E98"/>
    <mergeCell ref="B99:F99"/>
    <mergeCell ref="B101:E101"/>
    <mergeCell ref="B102:F102"/>
    <mergeCell ref="C27:E27"/>
    <mergeCell ref="B1:G1"/>
    <mergeCell ref="B3:R3"/>
    <mergeCell ref="B4:R4"/>
    <mergeCell ref="Q5:R5"/>
    <mergeCell ref="D6:E6"/>
    <mergeCell ref="B7:B8"/>
    <mergeCell ref="C7:C8"/>
    <mergeCell ref="D7:E8"/>
    <mergeCell ref="F7:F8"/>
    <mergeCell ref="G7:G8"/>
    <mergeCell ref="H7:H8"/>
    <mergeCell ref="I7:I8"/>
    <mergeCell ref="J7:J8"/>
    <mergeCell ref="K7:O7"/>
    <mergeCell ref="P7:R7"/>
    <mergeCell ref="C37:E37"/>
    <mergeCell ref="C51:E51"/>
    <mergeCell ref="B55:E55"/>
    <mergeCell ref="D64:E64"/>
    <mergeCell ref="D66:E66"/>
    <mergeCell ref="D68:E68"/>
    <mergeCell ref="D70:E70"/>
    <mergeCell ref="D72:E72"/>
    <mergeCell ref="D74:E74"/>
    <mergeCell ref="D76:E76"/>
    <mergeCell ref="D78:E78"/>
    <mergeCell ref="D80:E80"/>
    <mergeCell ref="D82:E82"/>
    <mergeCell ref="D84:E84"/>
    <mergeCell ref="D86:E86"/>
    <mergeCell ref="D88:E88"/>
    <mergeCell ref="D90:E90"/>
    <mergeCell ref="D91:E91"/>
    <mergeCell ref="D92:E92"/>
    <mergeCell ref="D93:E93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57" fitToHeight="0" orientation="landscape" r:id="rId1"/>
  <headerFooter alignWithMargins="0">
    <oddFooter>&amp;C - &amp;P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M96"/>
  <sheetViews>
    <sheetView view="pageBreakPreview" zoomScale="115" zoomScaleNormal="100" zoomScaleSheetLayoutView="115" workbookViewId="0">
      <selection activeCell="B1" sqref="B1:D1"/>
    </sheetView>
  </sheetViews>
  <sheetFormatPr defaultColWidth="9.28515625" defaultRowHeight="15" x14ac:dyDescent="0.3"/>
  <cols>
    <col min="1" max="1" width="3.7109375" style="564" customWidth="1"/>
    <col min="2" max="2" width="5.7109375" style="302" customWidth="1"/>
    <col min="3" max="3" width="5.7109375" style="555" customWidth="1"/>
    <col min="4" max="4" width="59.7109375" style="556" customWidth="1"/>
    <col min="5" max="5" width="6.7109375" style="557" customWidth="1"/>
    <col min="6" max="6" width="13.7109375" style="1230" customWidth="1"/>
    <col min="7" max="7" width="14.5703125" style="1230" customWidth="1"/>
    <col min="8" max="8" width="13.7109375" style="558" customWidth="1"/>
    <col min="9" max="9" width="15.7109375" style="558" customWidth="1"/>
    <col min="10" max="16384" width="9.28515625" style="306"/>
  </cols>
  <sheetData>
    <row r="1" spans="1:247" s="553" customFormat="1" ht="18" customHeight="1" x14ac:dyDescent="0.3">
      <c r="A1" s="549"/>
      <c r="B1" s="1376" t="s">
        <v>761</v>
      </c>
      <c r="C1" s="1376"/>
      <c r="D1" s="1376"/>
      <c r="E1" s="550"/>
      <c r="F1" s="1231"/>
      <c r="G1" s="1231"/>
      <c r="H1" s="1232"/>
      <c r="I1" s="551"/>
      <c r="J1" s="552"/>
      <c r="K1" s="552"/>
      <c r="L1" s="552"/>
      <c r="M1" s="552"/>
      <c r="N1" s="552"/>
      <c r="O1" s="552"/>
      <c r="P1" s="552"/>
      <c r="Q1" s="552"/>
      <c r="R1" s="552"/>
      <c r="S1" s="552"/>
      <c r="T1" s="552"/>
      <c r="U1" s="552"/>
      <c r="V1" s="552"/>
      <c r="W1" s="552"/>
      <c r="X1" s="552"/>
      <c r="Y1" s="552"/>
      <c r="Z1" s="552"/>
      <c r="AA1" s="552"/>
      <c r="AB1" s="552"/>
      <c r="AC1" s="552"/>
      <c r="AD1" s="552"/>
      <c r="AE1" s="552"/>
      <c r="AF1" s="552"/>
      <c r="AG1" s="552"/>
      <c r="AH1" s="552"/>
      <c r="AI1" s="552"/>
      <c r="AJ1" s="552"/>
      <c r="AK1" s="552"/>
      <c r="AL1" s="552"/>
      <c r="AM1" s="552"/>
      <c r="AN1" s="552"/>
      <c r="AO1" s="552"/>
      <c r="AP1" s="552"/>
      <c r="AQ1" s="552"/>
      <c r="AR1" s="552"/>
      <c r="AS1" s="552"/>
      <c r="AT1" s="552"/>
      <c r="AU1" s="552"/>
      <c r="AV1" s="552"/>
      <c r="AW1" s="552"/>
      <c r="AX1" s="552"/>
      <c r="AY1" s="552"/>
      <c r="AZ1" s="552"/>
      <c r="BA1" s="552"/>
      <c r="BB1" s="552"/>
      <c r="BC1" s="552"/>
      <c r="BD1" s="552"/>
      <c r="BE1" s="552"/>
      <c r="BF1" s="552"/>
      <c r="BG1" s="552"/>
      <c r="BH1" s="552"/>
      <c r="BI1" s="552"/>
      <c r="BJ1" s="552"/>
      <c r="BK1" s="552"/>
      <c r="BL1" s="552"/>
      <c r="BM1" s="552"/>
      <c r="BN1" s="552"/>
      <c r="BO1" s="552"/>
      <c r="BP1" s="552"/>
      <c r="BQ1" s="552"/>
      <c r="BR1" s="552"/>
      <c r="BS1" s="552"/>
      <c r="BT1" s="552"/>
      <c r="BU1" s="552"/>
      <c r="BV1" s="552"/>
      <c r="BW1" s="552"/>
      <c r="BX1" s="552"/>
      <c r="BY1" s="552"/>
      <c r="BZ1" s="552"/>
      <c r="CA1" s="552"/>
      <c r="CB1" s="552"/>
      <c r="CC1" s="552"/>
      <c r="CD1" s="552"/>
      <c r="CE1" s="552"/>
      <c r="CF1" s="552"/>
      <c r="CG1" s="552"/>
      <c r="CH1" s="552"/>
      <c r="CI1" s="552"/>
      <c r="CJ1" s="552"/>
      <c r="CK1" s="552"/>
      <c r="CL1" s="552"/>
      <c r="CM1" s="552"/>
      <c r="CN1" s="552"/>
      <c r="CO1" s="552"/>
      <c r="CP1" s="552"/>
      <c r="CQ1" s="552"/>
      <c r="CR1" s="552"/>
      <c r="CS1" s="552"/>
      <c r="CT1" s="552"/>
      <c r="CU1" s="552"/>
      <c r="CV1" s="552"/>
      <c r="CW1" s="552"/>
      <c r="CX1" s="552"/>
      <c r="CY1" s="552"/>
      <c r="CZ1" s="552"/>
      <c r="DA1" s="552"/>
      <c r="DB1" s="552"/>
      <c r="DC1" s="552"/>
      <c r="DD1" s="552"/>
      <c r="DE1" s="552"/>
      <c r="DF1" s="552"/>
      <c r="DG1" s="552"/>
      <c r="DH1" s="552"/>
      <c r="DI1" s="552"/>
      <c r="DJ1" s="552"/>
      <c r="DK1" s="552"/>
      <c r="DL1" s="552"/>
      <c r="DM1" s="552"/>
      <c r="DN1" s="552"/>
      <c r="DO1" s="552"/>
      <c r="DP1" s="552"/>
      <c r="DQ1" s="552"/>
      <c r="DR1" s="552"/>
      <c r="DS1" s="552"/>
      <c r="DT1" s="552"/>
      <c r="DU1" s="552"/>
      <c r="DV1" s="552"/>
      <c r="DW1" s="552"/>
      <c r="DX1" s="552"/>
      <c r="DY1" s="552"/>
      <c r="DZ1" s="552"/>
      <c r="EA1" s="552"/>
      <c r="EB1" s="552"/>
      <c r="EC1" s="552"/>
      <c r="ED1" s="552"/>
      <c r="EE1" s="552"/>
      <c r="EF1" s="552"/>
      <c r="EG1" s="552"/>
      <c r="EH1" s="552"/>
      <c r="EI1" s="552"/>
      <c r="EJ1" s="552"/>
      <c r="EK1" s="552"/>
      <c r="EL1" s="552"/>
      <c r="EM1" s="552"/>
      <c r="EN1" s="552"/>
      <c r="EO1" s="552"/>
      <c r="EP1" s="552"/>
      <c r="EQ1" s="552"/>
      <c r="ER1" s="552"/>
      <c r="ES1" s="552"/>
      <c r="ET1" s="552"/>
      <c r="EU1" s="552"/>
      <c r="EV1" s="552"/>
      <c r="EW1" s="552"/>
      <c r="EX1" s="552"/>
      <c r="EY1" s="552"/>
      <c r="EZ1" s="552"/>
      <c r="FA1" s="552"/>
      <c r="FB1" s="552"/>
      <c r="FC1" s="552"/>
      <c r="FD1" s="552"/>
      <c r="FE1" s="552"/>
      <c r="FF1" s="552"/>
      <c r="FG1" s="552"/>
      <c r="FH1" s="552"/>
      <c r="FI1" s="552"/>
      <c r="FJ1" s="552"/>
      <c r="FK1" s="552"/>
      <c r="FL1" s="552"/>
      <c r="FM1" s="552"/>
      <c r="FN1" s="552"/>
      <c r="FO1" s="552"/>
      <c r="FP1" s="552"/>
      <c r="FQ1" s="552"/>
      <c r="FR1" s="552"/>
      <c r="FS1" s="552"/>
      <c r="FT1" s="552"/>
      <c r="FU1" s="552"/>
      <c r="FV1" s="552"/>
      <c r="FW1" s="552"/>
      <c r="FX1" s="552"/>
      <c r="FY1" s="552"/>
      <c r="FZ1" s="552"/>
      <c r="GA1" s="552"/>
      <c r="GB1" s="552"/>
      <c r="GC1" s="552"/>
      <c r="GD1" s="552"/>
      <c r="GE1" s="552"/>
      <c r="GF1" s="552"/>
      <c r="GG1" s="552"/>
      <c r="GH1" s="552"/>
      <c r="GI1" s="552"/>
      <c r="GJ1" s="552"/>
      <c r="GK1" s="552"/>
      <c r="GL1" s="552"/>
      <c r="GM1" s="552"/>
      <c r="GN1" s="552"/>
      <c r="GO1" s="552"/>
      <c r="GP1" s="552"/>
      <c r="GQ1" s="552"/>
      <c r="GR1" s="552"/>
      <c r="GS1" s="552"/>
      <c r="GT1" s="552"/>
      <c r="GU1" s="552"/>
      <c r="GV1" s="552"/>
      <c r="GW1" s="552"/>
      <c r="GX1" s="552"/>
      <c r="GY1" s="552"/>
      <c r="GZ1" s="552"/>
      <c r="HA1" s="552"/>
      <c r="HB1" s="552"/>
      <c r="HC1" s="552"/>
      <c r="HD1" s="552"/>
      <c r="HE1" s="552"/>
      <c r="HF1" s="552"/>
      <c r="HG1" s="552"/>
      <c r="HH1" s="552"/>
      <c r="HI1" s="552"/>
      <c r="HJ1" s="552"/>
      <c r="HK1" s="552"/>
      <c r="HL1" s="552"/>
      <c r="HM1" s="552"/>
      <c r="HN1" s="552"/>
      <c r="HO1" s="552"/>
      <c r="HP1" s="552"/>
      <c r="HQ1" s="552"/>
      <c r="HR1" s="552"/>
      <c r="HS1" s="552"/>
      <c r="HT1" s="552"/>
      <c r="HU1" s="552"/>
      <c r="HV1" s="552"/>
      <c r="HW1" s="552"/>
      <c r="HX1" s="552"/>
      <c r="HY1" s="552"/>
      <c r="HZ1" s="552"/>
      <c r="IA1" s="552"/>
      <c r="IB1" s="552"/>
      <c r="IC1" s="552"/>
      <c r="ID1" s="552"/>
      <c r="IE1" s="552"/>
      <c r="IF1" s="552"/>
      <c r="IG1" s="552"/>
      <c r="IH1" s="552"/>
      <c r="II1" s="552"/>
      <c r="IJ1" s="552"/>
      <c r="IK1" s="552"/>
      <c r="IL1" s="552"/>
      <c r="IM1" s="552"/>
    </row>
    <row r="2" spans="1:247" s="553" customFormat="1" ht="18" customHeight="1" x14ac:dyDescent="0.3">
      <c r="A2" s="549"/>
      <c r="B2" s="967"/>
      <c r="C2" s="967"/>
      <c r="D2" s="967"/>
      <c r="E2" s="550"/>
      <c r="F2" s="1231"/>
      <c r="G2" s="1231"/>
      <c r="H2" s="1232"/>
      <c r="I2" s="551"/>
      <c r="J2" s="552"/>
      <c r="K2" s="552"/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W2" s="552"/>
      <c r="X2" s="552"/>
      <c r="Y2" s="552"/>
      <c r="Z2" s="552"/>
      <c r="AA2" s="552"/>
      <c r="AB2" s="552"/>
      <c r="AC2" s="552"/>
      <c r="AD2" s="552"/>
      <c r="AE2" s="552"/>
      <c r="AF2" s="552"/>
      <c r="AG2" s="552"/>
      <c r="AH2" s="552"/>
      <c r="AI2" s="552"/>
      <c r="AJ2" s="552"/>
      <c r="AK2" s="552"/>
      <c r="AL2" s="552"/>
      <c r="AM2" s="552"/>
      <c r="AN2" s="552"/>
      <c r="AO2" s="552"/>
      <c r="AP2" s="552"/>
      <c r="AQ2" s="552"/>
      <c r="AR2" s="552"/>
      <c r="AS2" s="552"/>
      <c r="AT2" s="552"/>
      <c r="AU2" s="552"/>
      <c r="AV2" s="552"/>
      <c r="AW2" s="552"/>
      <c r="AX2" s="552"/>
      <c r="AY2" s="552"/>
      <c r="AZ2" s="552"/>
      <c r="BA2" s="552"/>
      <c r="BB2" s="552"/>
      <c r="BC2" s="552"/>
      <c r="BD2" s="552"/>
      <c r="BE2" s="552"/>
      <c r="BF2" s="552"/>
      <c r="BG2" s="552"/>
      <c r="BH2" s="552"/>
      <c r="BI2" s="552"/>
      <c r="BJ2" s="552"/>
      <c r="BK2" s="552"/>
      <c r="BL2" s="552"/>
      <c r="BM2" s="552"/>
      <c r="BN2" s="552"/>
      <c r="BO2" s="552"/>
      <c r="BP2" s="552"/>
      <c r="BQ2" s="552"/>
      <c r="BR2" s="552"/>
      <c r="BS2" s="552"/>
      <c r="BT2" s="552"/>
      <c r="BU2" s="552"/>
      <c r="BV2" s="552"/>
      <c r="BW2" s="552"/>
      <c r="BX2" s="552"/>
      <c r="BY2" s="552"/>
      <c r="BZ2" s="552"/>
      <c r="CA2" s="552"/>
      <c r="CB2" s="552"/>
      <c r="CC2" s="552"/>
      <c r="CD2" s="552"/>
      <c r="CE2" s="552"/>
      <c r="CF2" s="552"/>
      <c r="CG2" s="552"/>
      <c r="CH2" s="552"/>
      <c r="CI2" s="552"/>
      <c r="CJ2" s="552"/>
      <c r="CK2" s="552"/>
      <c r="CL2" s="552"/>
      <c r="CM2" s="552"/>
      <c r="CN2" s="552"/>
      <c r="CO2" s="552"/>
      <c r="CP2" s="552"/>
      <c r="CQ2" s="552"/>
      <c r="CR2" s="552"/>
      <c r="CS2" s="552"/>
      <c r="CT2" s="552"/>
      <c r="CU2" s="552"/>
      <c r="CV2" s="552"/>
      <c r="CW2" s="552"/>
      <c r="CX2" s="552"/>
      <c r="CY2" s="552"/>
      <c r="CZ2" s="552"/>
      <c r="DA2" s="552"/>
      <c r="DB2" s="552"/>
      <c r="DC2" s="552"/>
      <c r="DD2" s="552"/>
      <c r="DE2" s="552"/>
      <c r="DF2" s="552"/>
      <c r="DG2" s="552"/>
      <c r="DH2" s="552"/>
      <c r="DI2" s="552"/>
      <c r="DJ2" s="552"/>
      <c r="DK2" s="552"/>
      <c r="DL2" s="552"/>
      <c r="DM2" s="552"/>
      <c r="DN2" s="552"/>
      <c r="DO2" s="552"/>
      <c r="DP2" s="552"/>
      <c r="DQ2" s="552"/>
      <c r="DR2" s="552"/>
      <c r="DS2" s="552"/>
      <c r="DT2" s="552"/>
      <c r="DU2" s="552"/>
      <c r="DV2" s="552"/>
      <c r="DW2" s="552"/>
      <c r="DX2" s="552"/>
      <c r="DY2" s="552"/>
      <c r="DZ2" s="552"/>
      <c r="EA2" s="552"/>
      <c r="EB2" s="552"/>
      <c r="EC2" s="552"/>
      <c r="ED2" s="552"/>
      <c r="EE2" s="552"/>
      <c r="EF2" s="552"/>
      <c r="EG2" s="552"/>
      <c r="EH2" s="552"/>
      <c r="EI2" s="552"/>
      <c r="EJ2" s="552"/>
      <c r="EK2" s="552"/>
      <c r="EL2" s="552"/>
      <c r="EM2" s="552"/>
      <c r="EN2" s="552"/>
      <c r="EO2" s="552"/>
      <c r="EP2" s="552"/>
      <c r="EQ2" s="552"/>
      <c r="ER2" s="552"/>
      <c r="ES2" s="552"/>
      <c r="ET2" s="552"/>
      <c r="EU2" s="552"/>
      <c r="EV2" s="552"/>
      <c r="EW2" s="552"/>
      <c r="EX2" s="552"/>
      <c r="EY2" s="552"/>
      <c r="EZ2" s="552"/>
      <c r="FA2" s="552"/>
      <c r="FB2" s="552"/>
      <c r="FC2" s="552"/>
      <c r="FD2" s="552"/>
      <c r="FE2" s="552"/>
      <c r="FF2" s="552"/>
      <c r="FG2" s="552"/>
      <c r="FH2" s="552"/>
      <c r="FI2" s="552"/>
      <c r="FJ2" s="552"/>
      <c r="FK2" s="552"/>
      <c r="FL2" s="552"/>
      <c r="FM2" s="552"/>
      <c r="FN2" s="552"/>
      <c r="FO2" s="552"/>
      <c r="FP2" s="552"/>
      <c r="FQ2" s="552"/>
      <c r="FR2" s="552"/>
      <c r="FS2" s="552"/>
      <c r="FT2" s="552"/>
      <c r="FU2" s="552"/>
      <c r="FV2" s="552"/>
      <c r="FW2" s="552"/>
      <c r="FX2" s="552"/>
      <c r="FY2" s="552"/>
      <c r="FZ2" s="552"/>
      <c r="GA2" s="552"/>
      <c r="GB2" s="552"/>
      <c r="GC2" s="552"/>
      <c r="GD2" s="552"/>
      <c r="GE2" s="552"/>
      <c r="GF2" s="552"/>
      <c r="GG2" s="552"/>
      <c r="GH2" s="552"/>
      <c r="GI2" s="552"/>
      <c r="GJ2" s="552"/>
      <c r="GK2" s="552"/>
      <c r="GL2" s="552"/>
      <c r="GM2" s="552"/>
      <c r="GN2" s="552"/>
      <c r="GO2" s="552"/>
      <c r="GP2" s="552"/>
      <c r="GQ2" s="552"/>
      <c r="GR2" s="552"/>
      <c r="GS2" s="552"/>
      <c r="GT2" s="552"/>
      <c r="GU2" s="552"/>
      <c r="GV2" s="552"/>
      <c r="GW2" s="552"/>
      <c r="GX2" s="552"/>
      <c r="GY2" s="552"/>
      <c r="GZ2" s="552"/>
      <c r="HA2" s="552"/>
      <c r="HB2" s="552"/>
      <c r="HC2" s="552"/>
      <c r="HD2" s="552"/>
      <c r="HE2" s="552"/>
      <c r="HF2" s="552"/>
      <c r="HG2" s="552"/>
      <c r="HH2" s="552"/>
      <c r="HI2" s="552"/>
      <c r="HJ2" s="552"/>
      <c r="HK2" s="552"/>
      <c r="HL2" s="552"/>
      <c r="HM2" s="552"/>
      <c r="HN2" s="552"/>
      <c r="HO2" s="552"/>
      <c r="HP2" s="552"/>
      <c r="HQ2" s="552"/>
      <c r="HR2" s="552"/>
      <c r="HS2" s="552"/>
      <c r="HT2" s="552"/>
      <c r="HU2" s="552"/>
      <c r="HV2" s="552"/>
      <c r="HW2" s="552"/>
      <c r="HX2" s="552"/>
      <c r="HY2" s="552"/>
      <c r="HZ2" s="552"/>
      <c r="IA2" s="552"/>
      <c r="IB2" s="552"/>
      <c r="IC2" s="552"/>
      <c r="ID2" s="552"/>
      <c r="IE2" s="552"/>
      <c r="IF2" s="552"/>
      <c r="IG2" s="552"/>
      <c r="IH2" s="552"/>
      <c r="II2" s="552"/>
      <c r="IJ2" s="552"/>
      <c r="IK2" s="552"/>
      <c r="IL2" s="552"/>
      <c r="IM2" s="552"/>
    </row>
    <row r="3" spans="1:247" s="553" customFormat="1" ht="24.75" customHeight="1" x14ac:dyDescent="0.35">
      <c r="A3" s="554"/>
      <c r="B3" s="1377" t="s">
        <v>754</v>
      </c>
      <c r="C3" s="1377"/>
      <c r="D3" s="1377"/>
      <c r="E3" s="1377"/>
      <c r="F3" s="1377"/>
      <c r="G3" s="1377"/>
      <c r="H3" s="1377"/>
      <c r="I3" s="1377"/>
    </row>
    <row r="4" spans="1:247" s="553" customFormat="1" ht="24.75" customHeight="1" x14ac:dyDescent="0.3">
      <c r="A4" s="554"/>
      <c r="B4" s="1378" t="s">
        <v>725</v>
      </c>
      <c r="C4" s="1378"/>
      <c r="D4" s="1378"/>
      <c r="E4" s="1378"/>
      <c r="F4" s="1378"/>
      <c r="G4" s="1378"/>
      <c r="H4" s="1378"/>
      <c r="I4" s="1378"/>
    </row>
    <row r="5" spans="1:247" ht="18" customHeight="1" x14ac:dyDescent="0.3">
      <c r="A5" s="302"/>
      <c r="I5" s="559" t="s">
        <v>0</v>
      </c>
    </row>
    <row r="6" spans="1:247" s="563" customFormat="1" ht="18" customHeight="1" thickBot="1" x14ac:dyDescent="0.35">
      <c r="A6" s="560"/>
      <c r="B6" s="561" t="s">
        <v>1</v>
      </c>
      <c r="C6" s="562" t="s">
        <v>3</v>
      </c>
      <c r="D6" s="562" t="s">
        <v>2</v>
      </c>
      <c r="E6" s="562" t="s">
        <v>4</v>
      </c>
      <c r="F6" s="562" t="s">
        <v>5</v>
      </c>
      <c r="G6" s="562" t="s">
        <v>15</v>
      </c>
      <c r="H6" s="562" t="s">
        <v>16</v>
      </c>
      <c r="I6" s="562" t="s">
        <v>17</v>
      </c>
      <c r="J6" s="560"/>
      <c r="K6" s="560"/>
      <c r="L6" s="560"/>
      <c r="M6" s="560"/>
      <c r="N6" s="560"/>
      <c r="O6" s="560"/>
      <c r="P6" s="560"/>
      <c r="Q6" s="560"/>
      <c r="R6" s="560"/>
      <c r="S6" s="560"/>
      <c r="T6" s="560"/>
      <c r="U6" s="560"/>
      <c r="V6" s="560"/>
      <c r="W6" s="560"/>
      <c r="X6" s="560"/>
      <c r="Y6" s="560"/>
      <c r="Z6" s="560"/>
      <c r="AA6" s="560"/>
      <c r="AB6" s="560"/>
      <c r="AC6" s="560"/>
      <c r="AD6" s="560"/>
      <c r="AE6" s="560"/>
      <c r="AF6" s="560"/>
      <c r="AG6" s="560"/>
      <c r="AH6" s="560"/>
      <c r="AI6" s="560"/>
      <c r="AJ6" s="560"/>
      <c r="AK6" s="560"/>
      <c r="AL6" s="560"/>
      <c r="AM6" s="560"/>
      <c r="AN6" s="560"/>
      <c r="AO6" s="560"/>
      <c r="AP6" s="560"/>
      <c r="AQ6" s="560"/>
      <c r="AR6" s="560"/>
      <c r="AS6" s="560"/>
      <c r="AT6" s="560"/>
      <c r="AU6" s="560"/>
      <c r="AV6" s="560"/>
      <c r="AW6" s="560"/>
      <c r="AX6" s="560"/>
      <c r="AY6" s="560"/>
      <c r="AZ6" s="560"/>
      <c r="BA6" s="560"/>
      <c r="BB6" s="560"/>
      <c r="BC6" s="560"/>
      <c r="BD6" s="560"/>
      <c r="BE6" s="560"/>
      <c r="BF6" s="560"/>
      <c r="BG6" s="560"/>
      <c r="BH6" s="560"/>
      <c r="BI6" s="560"/>
      <c r="BJ6" s="560"/>
      <c r="BK6" s="560"/>
      <c r="BL6" s="560"/>
      <c r="BM6" s="560"/>
      <c r="BN6" s="560"/>
      <c r="BO6" s="560"/>
      <c r="BP6" s="560"/>
      <c r="BQ6" s="560"/>
      <c r="BR6" s="560"/>
      <c r="BS6" s="560"/>
      <c r="BT6" s="560"/>
      <c r="BU6" s="560"/>
      <c r="BV6" s="560"/>
      <c r="BW6" s="560"/>
      <c r="BX6" s="560"/>
      <c r="BY6" s="560"/>
      <c r="BZ6" s="560"/>
      <c r="CA6" s="560"/>
      <c r="CB6" s="560"/>
      <c r="CC6" s="560"/>
      <c r="CD6" s="560"/>
      <c r="CE6" s="560"/>
      <c r="CF6" s="560"/>
      <c r="CG6" s="560"/>
      <c r="CH6" s="560"/>
      <c r="CI6" s="560"/>
      <c r="CJ6" s="560"/>
      <c r="CK6" s="560"/>
      <c r="CL6" s="560"/>
      <c r="CM6" s="560"/>
      <c r="CN6" s="560"/>
      <c r="CO6" s="560"/>
      <c r="CP6" s="560"/>
      <c r="CQ6" s="560"/>
      <c r="CR6" s="560"/>
      <c r="CS6" s="560"/>
      <c r="CT6" s="560"/>
      <c r="CU6" s="560"/>
      <c r="CV6" s="560"/>
      <c r="CW6" s="560"/>
      <c r="CX6" s="560"/>
      <c r="CY6" s="560"/>
      <c r="CZ6" s="560"/>
      <c r="DA6" s="560"/>
      <c r="DB6" s="560"/>
      <c r="DC6" s="560"/>
      <c r="DD6" s="560"/>
      <c r="DE6" s="560"/>
      <c r="DF6" s="560"/>
      <c r="DG6" s="560"/>
      <c r="DH6" s="560"/>
      <c r="DI6" s="560"/>
      <c r="DJ6" s="560"/>
      <c r="DK6" s="560"/>
      <c r="DL6" s="560"/>
      <c r="DM6" s="560"/>
      <c r="DN6" s="560"/>
      <c r="DO6" s="560"/>
      <c r="DP6" s="560"/>
      <c r="DQ6" s="560"/>
      <c r="DR6" s="560"/>
      <c r="DS6" s="560"/>
      <c r="DT6" s="560"/>
      <c r="DU6" s="560"/>
      <c r="DV6" s="560"/>
      <c r="DW6" s="560"/>
      <c r="DX6" s="560"/>
      <c r="DY6" s="560"/>
      <c r="DZ6" s="560"/>
      <c r="EA6" s="560"/>
      <c r="EB6" s="560"/>
      <c r="EC6" s="560"/>
      <c r="ED6" s="560"/>
      <c r="EE6" s="560"/>
      <c r="EF6" s="560"/>
      <c r="EG6" s="560"/>
      <c r="EH6" s="560"/>
      <c r="EI6" s="560"/>
      <c r="EJ6" s="560"/>
      <c r="EK6" s="560"/>
      <c r="EL6" s="560"/>
      <c r="EM6" s="560"/>
      <c r="EN6" s="560"/>
      <c r="EO6" s="560"/>
      <c r="EP6" s="560"/>
      <c r="EQ6" s="560"/>
      <c r="ER6" s="560"/>
      <c r="ES6" s="560"/>
      <c r="ET6" s="560"/>
      <c r="EU6" s="560"/>
      <c r="EV6" s="560"/>
      <c r="EW6" s="560"/>
      <c r="EX6" s="560"/>
      <c r="EY6" s="560"/>
      <c r="EZ6" s="560"/>
      <c r="FA6" s="560"/>
      <c r="FB6" s="560"/>
      <c r="FC6" s="560"/>
      <c r="FD6" s="560"/>
      <c r="FE6" s="560"/>
      <c r="FF6" s="560"/>
      <c r="FG6" s="560"/>
      <c r="FH6" s="560"/>
      <c r="FI6" s="560"/>
      <c r="FJ6" s="560"/>
      <c r="FK6" s="560"/>
      <c r="FL6" s="560"/>
      <c r="FM6" s="560"/>
      <c r="FN6" s="560"/>
      <c r="FO6" s="560"/>
      <c r="FP6" s="560"/>
      <c r="FQ6" s="560"/>
      <c r="FR6" s="560"/>
      <c r="FS6" s="560"/>
      <c r="FT6" s="560"/>
      <c r="FU6" s="560"/>
      <c r="FV6" s="560"/>
      <c r="FW6" s="560"/>
      <c r="FX6" s="560"/>
      <c r="FY6" s="560"/>
      <c r="FZ6" s="560"/>
      <c r="GA6" s="560"/>
      <c r="GB6" s="560"/>
      <c r="GC6" s="560"/>
      <c r="GD6" s="560"/>
      <c r="GE6" s="560"/>
      <c r="GF6" s="560"/>
      <c r="GG6" s="560"/>
      <c r="GH6" s="560"/>
      <c r="GI6" s="560"/>
      <c r="GJ6" s="560"/>
      <c r="GK6" s="560"/>
      <c r="GL6" s="560"/>
      <c r="GM6" s="560"/>
      <c r="GN6" s="560"/>
      <c r="GO6" s="560"/>
      <c r="GP6" s="560"/>
      <c r="GQ6" s="560"/>
      <c r="GR6" s="560"/>
      <c r="GS6" s="560"/>
      <c r="GT6" s="560"/>
      <c r="GU6" s="560"/>
      <c r="GV6" s="560"/>
      <c r="GW6" s="560"/>
      <c r="GX6" s="560"/>
      <c r="GY6" s="560"/>
      <c r="GZ6" s="560"/>
      <c r="HA6" s="560"/>
      <c r="HB6" s="560"/>
      <c r="HC6" s="560"/>
      <c r="HD6" s="560"/>
      <c r="HE6" s="560"/>
      <c r="HF6" s="560"/>
      <c r="HG6" s="560"/>
      <c r="HH6" s="560"/>
      <c r="HI6" s="560"/>
      <c r="HJ6" s="560"/>
      <c r="HK6" s="560"/>
      <c r="HL6" s="560"/>
      <c r="HM6" s="560"/>
      <c r="HN6" s="560"/>
      <c r="HO6" s="560"/>
      <c r="HP6" s="560"/>
      <c r="HQ6" s="560"/>
      <c r="HR6" s="560"/>
      <c r="HS6" s="560"/>
      <c r="HT6" s="560"/>
      <c r="HU6" s="560"/>
      <c r="HV6" s="560"/>
      <c r="HW6" s="560"/>
      <c r="HX6" s="560"/>
      <c r="HY6" s="560"/>
      <c r="HZ6" s="560"/>
      <c r="IA6" s="560"/>
      <c r="IB6" s="560"/>
      <c r="IC6" s="560"/>
      <c r="ID6" s="560"/>
      <c r="IE6" s="560"/>
      <c r="IF6" s="560"/>
      <c r="IG6" s="560"/>
      <c r="IH6" s="560"/>
      <c r="II6" s="560"/>
      <c r="IJ6" s="560"/>
      <c r="IK6" s="560"/>
      <c r="IL6" s="560"/>
      <c r="IM6" s="560"/>
    </row>
    <row r="7" spans="1:247" ht="30" customHeight="1" x14ac:dyDescent="0.3">
      <c r="B7" s="1379" t="s">
        <v>18</v>
      </c>
      <c r="C7" s="1381" t="s">
        <v>19</v>
      </c>
      <c r="D7" s="1383" t="s">
        <v>6</v>
      </c>
      <c r="E7" s="1385" t="s">
        <v>550</v>
      </c>
      <c r="F7" s="1387" t="s">
        <v>726</v>
      </c>
      <c r="G7" s="1387" t="s">
        <v>532</v>
      </c>
      <c r="H7" s="1387" t="s">
        <v>619</v>
      </c>
      <c r="I7" s="1374" t="s">
        <v>727</v>
      </c>
    </row>
    <row r="8" spans="1:247" ht="60.75" customHeight="1" thickBot="1" x14ac:dyDescent="0.35">
      <c r="B8" s="1380"/>
      <c r="C8" s="1382"/>
      <c r="D8" s="1384"/>
      <c r="E8" s="1386"/>
      <c r="F8" s="1388"/>
      <c r="G8" s="1388"/>
      <c r="H8" s="1388"/>
      <c r="I8" s="1375"/>
    </row>
    <row r="9" spans="1:247" s="301" customFormat="1" ht="22.5" customHeight="1" x14ac:dyDescent="0.3">
      <c r="A9" s="295">
        <v>1</v>
      </c>
      <c r="B9" s="296">
        <v>1</v>
      </c>
      <c r="C9" s="297" t="s">
        <v>241</v>
      </c>
      <c r="D9" s="298"/>
      <c r="E9" s="299" t="s">
        <v>23</v>
      </c>
      <c r="F9" s="1233">
        <v>9365</v>
      </c>
      <c r="G9" s="1234"/>
      <c r="H9" s="1235">
        <v>4161</v>
      </c>
      <c r="I9" s="300"/>
    </row>
    <row r="10" spans="1:247" ht="18" customHeight="1" x14ac:dyDescent="0.3">
      <c r="A10" s="295">
        <v>2</v>
      </c>
      <c r="B10" s="296"/>
      <c r="C10" s="307">
        <v>1</v>
      </c>
      <c r="D10" s="672" t="s">
        <v>474</v>
      </c>
      <c r="E10" s="299"/>
      <c r="F10" s="1236"/>
      <c r="G10" s="1237"/>
      <c r="H10" s="1238"/>
      <c r="I10" s="305"/>
    </row>
    <row r="11" spans="1:247" ht="18" customHeight="1" x14ac:dyDescent="0.3">
      <c r="A11" s="295">
        <v>3</v>
      </c>
      <c r="B11" s="296"/>
      <c r="C11" s="308" t="s">
        <v>273</v>
      </c>
      <c r="D11" s="309"/>
      <c r="E11" s="299"/>
      <c r="F11" s="1233">
        <v>917</v>
      </c>
      <c r="G11" s="1234"/>
      <c r="H11" s="1235">
        <v>250</v>
      </c>
      <c r="I11" s="305"/>
    </row>
    <row r="12" spans="1:247" ht="18" customHeight="1" x14ac:dyDescent="0.3">
      <c r="A12" s="295">
        <v>4</v>
      </c>
      <c r="B12" s="296"/>
      <c r="C12" s="307">
        <v>2</v>
      </c>
      <c r="D12" s="672" t="s">
        <v>474</v>
      </c>
      <c r="E12" s="299"/>
      <c r="F12" s="1236"/>
      <c r="G12" s="1237"/>
      <c r="H12" s="1238"/>
      <c r="I12" s="305"/>
    </row>
    <row r="13" spans="1:247" s="301" customFormat="1" ht="22.5" customHeight="1" x14ac:dyDescent="0.3">
      <c r="A13" s="295">
        <v>5</v>
      </c>
      <c r="B13" s="296">
        <v>2</v>
      </c>
      <c r="C13" s="310" t="s">
        <v>240</v>
      </c>
      <c r="D13" s="298"/>
      <c r="E13" s="299" t="s">
        <v>23</v>
      </c>
      <c r="F13" s="1233">
        <v>5020</v>
      </c>
      <c r="G13" s="1234"/>
      <c r="H13" s="1235">
        <v>5325</v>
      </c>
      <c r="I13" s="300"/>
    </row>
    <row r="14" spans="1:247" ht="18" customHeight="1" x14ac:dyDescent="0.3">
      <c r="A14" s="295">
        <v>6</v>
      </c>
      <c r="B14" s="296"/>
      <c r="C14" s="307">
        <v>1</v>
      </c>
      <c r="D14" s="672" t="s">
        <v>474</v>
      </c>
      <c r="E14" s="299"/>
      <c r="F14" s="1236"/>
      <c r="G14" s="1237"/>
      <c r="H14" s="1238"/>
      <c r="I14" s="305"/>
    </row>
    <row r="15" spans="1:247" ht="18" customHeight="1" x14ac:dyDescent="0.3">
      <c r="A15" s="295">
        <v>7</v>
      </c>
      <c r="B15" s="296"/>
      <c r="C15" s="308" t="s">
        <v>274</v>
      </c>
      <c r="D15" s="309"/>
      <c r="E15" s="299"/>
      <c r="F15" s="1233">
        <v>4838</v>
      </c>
      <c r="G15" s="1234"/>
      <c r="H15" s="1235">
        <v>2752</v>
      </c>
      <c r="I15" s="305"/>
    </row>
    <row r="16" spans="1:247" ht="18" customHeight="1" x14ac:dyDescent="0.3">
      <c r="A16" s="295">
        <v>8</v>
      </c>
      <c r="B16" s="296"/>
      <c r="C16" s="307">
        <v>2</v>
      </c>
      <c r="D16" s="672" t="s">
        <v>474</v>
      </c>
      <c r="E16" s="299"/>
      <c r="F16" s="1236"/>
      <c r="G16" s="1237"/>
      <c r="H16" s="1238"/>
      <c r="I16" s="305"/>
    </row>
    <row r="17" spans="1:9" s="301" customFormat="1" ht="22.5" customHeight="1" x14ac:dyDescent="0.3">
      <c r="A17" s="295">
        <v>9</v>
      </c>
      <c r="B17" s="296">
        <v>3</v>
      </c>
      <c r="C17" s="310" t="s">
        <v>211</v>
      </c>
      <c r="D17" s="298"/>
      <c r="E17" s="299" t="s">
        <v>23</v>
      </c>
      <c r="F17" s="1233">
        <v>2695</v>
      </c>
      <c r="G17" s="1234"/>
      <c r="H17" s="1235">
        <v>5686</v>
      </c>
      <c r="I17" s="300"/>
    </row>
    <row r="18" spans="1:9" ht="18" customHeight="1" x14ac:dyDescent="0.3">
      <c r="A18" s="295">
        <v>10</v>
      </c>
      <c r="B18" s="296"/>
      <c r="C18" s="307">
        <v>1</v>
      </c>
      <c r="D18" s="672" t="s">
        <v>474</v>
      </c>
      <c r="E18" s="299"/>
      <c r="F18" s="1236"/>
      <c r="G18" s="1237"/>
      <c r="H18" s="1238"/>
      <c r="I18" s="305"/>
    </row>
    <row r="19" spans="1:9" ht="18" customHeight="1" x14ac:dyDescent="0.3">
      <c r="A19" s="295">
        <v>11</v>
      </c>
      <c r="B19" s="296"/>
      <c r="C19" s="308" t="s">
        <v>317</v>
      </c>
      <c r="D19" s="309"/>
      <c r="E19" s="299"/>
      <c r="F19" s="1233">
        <v>319</v>
      </c>
      <c r="G19" s="1234">
        <v>286</v>
      </c>
      <c r="H19" s="1235">
        <v>2000</v>
      </c>
      <c r="I19" s="305"/>
    </row>
    <row r="20" spans="1:9" ht="18" customHeight="1" x14ac:dyDescent="0.3">
      <c r="A20" s="295">
        <v>12</v>
      </c>
      <c r="B20" s="296"/>
      <c r="C20" s="307">
        <v>2</v>
      </c>
      <c r="D20" s="672" t="s">
        <v>477</v>
      </c>
      <c r="E20" s="299"/>
      <c r="F20" s="1236"/>
      <c r="G20" s="1237"/>
      <c r="H20" s="1238"/>
      <c r="I20" s="305"/>
    </row>
    <row r="21" spans="1:9" s="301" customFormat="1" ht="22.5" customHeight="1" x14ac:dyDescent="0.3">
      <c r="A21" s="295">
        <v>13</v>
      </c>
      <c r="B21" s="296">
        <v>4</v>
      </c>
      <c r="C21" s="310" t="s">
        <v>212</v>
      </c>
      <c r="D21" s="298"/>
      <c r="E21" s="299" t="s">
        <v>23</v>
      </c>
      <c r="F21" s="1233">
        <v>3009</v>
      </c>
      <c r="G21" s="1234"/>
      <c r="H21" s="1235">
        <v>3921</v>
      </c>
      <c r="I21" s="300"/>
    </row>
    <row r="22" spans="1:9" ht="18" customHeight="1" x14ac:dyDescent="0.3">
      <c r="A22" s="295">
        <v>14</v>
      </c>
      <c r="B22" s="296"/>
      <c r="C22" s="307">
        <v>1</v>
      </c>
      <c r="D22" s="672" t="s">
        <v>474</v>
      </c>
      <c r="E22" s="299"/>
      <c r="F22" s="1236"/>
      <c r="G22" s="1237"/>
      <c r="H22" s="1238"/>
      <c r="I22" s="305"/>
    </row>
    <row r="23" spans="1:9" ht="18" customHeight="1" x14ac:dyDescent="0.3">
      <c r="A23" s="295">
        <v>15</v>
      </c>
      <c r="B23" s="296"/>
      <c r="C23" s="311" t="s">
        <v>275</v>
      </c>
      <c r="D23" s="304"/>
      <c r="E23" s="299"/>
      <c r="F23" s="1233">
        <v>995</v>
      </c>
      <c r="G23" s="1234"/>
      <c r="H23" s="1235">
        <v>741</v>
      </c>
      <c r="I23" s="305"/>
    </row>
    <row r="24" spans="1:9" ht="18" customHeight="1" x14ac:dyDescent="0.3">
      <c r="A24" s="295">
        <v>16</v>
      </c>
      <c r="B24" s="296"/>
      <c r="C24" s="307">
        <v>2</v>
      </c>
      <c r="D24" s="672" t="s">
        <v>474</v>
      </c>
      <c r="E24" s="299"/>
      <c r="F24" s="1236"/>
      <c r="G24" s="1237"/>
      <c r="H24" s="1238"/>
      <c r="I24" s="305"/>
    </row>
    <row r="25" spans="1:9" s="301" customFormat="1" ht="22.5" customHeight="1" x14ac:dyDescent="0.3">
      <c r="A25" s="295">
        <v>17</v>
      </c>
      <c r="B25" s="296">
        <v>5</v>
      </c>
      <c r="C25" s="310" t="s">
        <v>213</v>
      </c>
      <c r="D25" s="298"/>
      <c r="E25" s="299" t="s">
        <v>23</v>
      </c>
      <c r="F25" s="1233">
        <v>2068</v>
      </c>
      <c r="G25" s="1234"/>
      <c r="H25" s="1235">
        <v>5500</v>
      </c>
      <c r="I25" s="300"/>
    </row>
    <row r="26" spans="1:9" ht="18" customHeight="1" x14ac:dyDescent="0.3">
      <c r="A26" s="295">
        <v>18</v>
      </c>
      <c r="B26" s="296"/>
      <c r="C26" s="307">
        <v>1</v>
      </c>
      <c r="D26" s="672" t="s">
        <v>728</v>
      </c>
      <c r="E26" s="299"/>
      <c r="F26" s="1236"/>
      <c r="G26" s="1237"/>
      <c r="H26" s="1238"/>
      <c r="I26" s="305">
        <v>262</v>
      </c>
    </row>
    <row r="27" spans="1:9" ht="18" customHeight="1" x14ac:dyDescent="0.3">
      <c r="A27" s="295">
        <v>19</v>
      </c>
      <c r="B27" s="296"/>
      <c r="C27" s="311" t="s">
        <v>276</v>
      </c>
      <c r="D27" s="304"/>
      <c r="E27" s="299"/>
      <c r="F27" s="1233">
        <v>2139</v>
      </c>
      <c r="G27" s="1234"/>
      <c r="H27" s="1235">
        <v>6500</v>
      </c>
      <c r="I27" s="305"/>
    </row>
    <row r="28" spans="1:9" ht="18" customHeight="1" x14ac:dyDescent="0.3">
      <c r="A28" s="295">
        <v>20</v>
      </c>
      <c r="B28" s="296"/>
      <c r="C28" s="307">
        <v>2</v>
      </c>
      <c r="D28" s="672" t="s">
        <v>474</v>
      </c>
      <c r="E28" s="299"/>
      <c r="F28" s="1236"/>
      <c r="G28" s="1237"/>
      <c r="H28" s="1238"/>
      <c r="I28" s="305"/>
    </row>
    <row r="29" spans="1:9" s="301" customFormat="1" ht="22.5" customHeight="1" x14ac:dyDescent="0.3">
      <c r="A29" s="295">
        <v>21</v>
      </c>
      <c r="B29" s="296">
        <v>6</v>
      </c>
      <c r="C29" s="310" t="s">
        <v>214</v>
      </c>
      <c r="D29" s="298"/>
      <c r="E29" s="299" t="s">
        <v>23</v>
      </c>
      <c r="F29" s="1233">
        <v>3045</v>
      </c>
      <c r="G29" s="1234"/>
      <c r="H29" s="1235">
        <v>2930</v>
      </c>
      <c r="I29" s="300"/>
    </row>
    <row r="30" spans="1:9" ht="18" customHeight="1" x14ac:dyDescent="0.3">
      <c r="A30" s="295">
        <v>22</v>
      </c>
      <c r="B30" s="296"/>
      <c r="C30" s="307">
        <v>1</v>
      </c>
      <c r="D30" s="672" t="s">
        <v>474</v>
      </c>
      <c r="E30" s="299"/>
      <c r="F30" s="1236"/>
      <c r="G30" s="1237"/>
      <c r="H30" s="1238"/>
      <c r="I30" s="305"/>
    </row>
    <row r="31" spans="1:9" ht="18" customHeight="1" x14ac:dyDescent="0.3">
      <c r="A31" s="295">
        <v>23</v>
      </c>
      <c r="B31" s="296"/>
      <c r="C31" s="311" t="s">
        <v>277</v>
      </c>
      <c r="D31" s="304"/>
      <c r="E31" s="299"/>
      <c r="F31" s="1233">
        <v>1220</v>
      </c>
      <c r="G31" s="1234"/>
      <c r="H31" s="1235">
        <v>820</v>
      </c>
      <c r="I31" s="305"/>
    </row>
    <row r="32" spans="1:9" ht="18" customHeight="1" x14ac:dyDescent="0.3">
      <c r="A32" s="295">
        <v>24</v>
      </c>
      <c r="B32" s="296"/>
      <c r="C32" s="307">
        <v>2</v>
      </c>
      <c r="D32" s="672" t="s">
        <v>474</v>
      </c>
      <c r="E32" s="299"/>
      <c r="F32" s="1236"/>
      <c r="G32" s="1237"/>
      <c r="H32" s="1238"/>
      <c r="I32" s="305"/>
    </row>
    <row r="33" spans="1:9" s="301" customFormat="1" ht="22.5" customHeight="1" x14ac:dyDescent="0.3">
      <c r="A33" s="295">
        <v>25</v>
      </c>
      <c r="B33" s="296">
        <v>7</v>
      </c>
      <c r="C33" s="297" t="s">
        <v>247</v>
      </c>
      <c r="D33" s="298"/>
      <c r="E33" s="299" t="s">
        <v>23</v>
      </c>
      <c r="F33" s="1239"/>
      <c r="G33" s="1234"/>
      <c r="H33" s="1240"/>
      <c r="I33" s="300"/>
    </row>
    <row r="34" spans="1:9" ht="18" customHeight="1" x14ac:dyDescent="0.3">
      <c r="A34" s="295">
        <v>26</v>
      </c>
      <c r="B34" s="296"/>
      <c r="C34" s="311" t="s">
        <v>295</v>
      </c>
      <c r="D34" s="312"/>
      <c r="E34" s="299"/>
      <c r="F34" s="1233">
        <v>1592</v>
      </c>
      <c r="G34" s="1234"/>
      <c r="H34" s="1235">
        <v>1000</v>
      </c>
      <c r="I34" s="305"/>
    </row>
    <row r="35" spans="1:9" ht="18" customHeight="1" x14ac:dyDescent="0.3">
      <c r="A35" s="295">
        <v>27</v>
      </c>
      <c r="B35" s="296"/>
      <c r="C35" s="307">
        <v>1</v>
      </c>
      <c r="D35" s="672" t="s">
        <v>474</v>
      </c>
      <c r="E35" s="299"/>
      <c r="F35" s="1236"/>
      <c r="G35" s="1237"/>
      <c r="H35" s="1238"/>
      <c r="I35" s="305"/>
    </row>
    <row r="36" spans="1:9" ht="18" customHeight="1" x14ac:dyDescent="0.3">
      <c r="A36" s="295">
        <v>28</v>
      </c>
      <c r="B36" s="296"/>
      <c r="C36" s="311" t="s">
        <v>278</v>
      </c>
      <c r="D36" s="312"/>
      <c r="E36" s="299"/>
      <c r="F36" s="1233">
        <v>2735</v>
      </c>
      <c r="G36" s="1234"/>
      <c r="H36" s="1235">
        <v>1700</v>
      </c>
      <c r="I36" s="305"/>
    </row>
    <row r="37" spans="1:9" ht="18" customHeight="1" x14ac:dyDescent="0.3">
      <c r="A37" s="295">
        <v>29</v>
      </c>
      <c r="B37" s="296"/>
      <c r="C37" s="307">
        <v>2</v>
      </c>
      <c r="D37" s="672" t="s">
        <v>474</v>
      </c>
      <c r="E37" s="299"/>
      <c r="F37" s="1236"/>
      <c r="G37" s="1237"/>
      <c r="H37" s="1238"/>
      <c r="I37" s="305"/>
    </row>
    <row r="38" spans="1:9" ht="18" customHeight="1" x14ac:dyDescent="0.3">
      <c r="A38" s="295">
        <v>30</v>
      </c>
      <c r="B38" s="296"/>
      <c r="C38" s="311" t="s">
        <v>279</v>
      </c>
      <c r="D38" s="312"/>
      <c r="E38" s="299"/>
      <c r="F38" s="1233">
        <v>4128</v>
      </c>
      <c r="G38" s="1234"/>
      <c r="H38" s="1235">
        <v>3300</v>
      </c>
      <c r="I38" s="305"/>
    </row>
    <row r="39" spans="1:9" ht="18" customHeight="1" x14ac:dyDescent="0.3">
      <c r="A39" s="295">
        <v>31</v>
      </c>
      <c r="B39" s="296"/>
      <c r="C39" s="307">
        <v>3</v>
      </c>
      <c r="D39" s="672" t="s">
        <v>474</v>
      </c>
      <c r="E39" s="299"/>
      <c r="F39" s="1236"/>
      <c r="G39" s="1237"/>
      <c r="H39" s="1238"/>
      <c r="I39" s="305"/>
    </row>
    <row r="40" spans="1:9" ht="18" customHeight="1" x14ac:dyDescent="0.3">
      <c r="A40" s="295">
        <v>32</v>
      </c>
      <c r="B40" s="296"/>
      <c r="C40" s="311" t="s">
        <v>281</v>
      </c>
      <c r="D40" s="304"/>
      <c r="E40" s="299"/>
      <c r="F40" s="1233">
        <v>4163</v>
      </c>
      <c r="G40" s="1234"/>
      <c r="H40" s="1235">
        <v>3000</v>
      </c>
      <c r="I40" s="305"/>
    </row>
    <row r="41" spans="1:9" ht="18" customHeight="1" x14ac:dyDescent="0.3">
      <c r="A41" s="295">
        <v>33</v>
      </c>
      <c r="B41" s="296"/>
      <c r="C41" s="307">
        <v>4</v>
      </c>
      <c r="D41" s="672" t="s">
        <v>474</v>
      </c>
      <c r="E41" s="299"/>
      <c r="F41" s="1236"/>
      <c r="G41" s="1237"/>
      <c r="H41" s="1238"/>
      <c r="I41" s="305"/>
    </row>
    <row r="42" spans="1:9" ht="18" customHeight="1" x14ac:dyDescent="0.3">
      <c r="A42" s="295">
        <v>34</v>
      </c>
      <c r="B42" s="296"/>
      <c r="C42" s="311" t="s">
        <v>280</v>
      </c>
      <c r="D42" s="312"/>
      <c r="E42" s="299"/>
      <c r="F42" s="1233">
        <v>2662</v>
      </c>
      <c r="G42" s="1234"/>
      <c r="H42" s="1235">
        <v>2600</v>
      </c>
      <c r="I42" s="305"/>
    </row>
    <row r="43" spans="1:9" ht="18" customHeight="1" x14ac:dyDescent="0.3">
      <c r="A43" s="295">
        <v>35</v>
      </c>
      <c r="B43" s="296"/>
      <c r="C43" s="307">
        <v>5</v>
      </c>
      <c r="D43" s="672" t="s">
        <v>474</v>
      </c>
      <c r="E43" s="299"/>
      <c r="F43" s="1236"/>
      <c r="G43" s="1237"/>
      <c r="H43" s="1238"/>
      <c r="I43" s="305"/>
    </row>
    <row r="44" spans="1:9" ht="18" customHeight="1" x14ac:dyDescent="0.3">
      <c r="A44" s="295">
        <v>36</v>
      </c>
      <c r="B44" s="296"/>
      <c r="C44" s="311" t="s">
        <v>329</v>
      </c>
      <c r="D44" s="312"/>
      <c r="E44" s="299"/>
      <c r="F44" s="1233">
        <v>371</v>
      </c>
      <c r="G44" s="1234"/>
      <c r="H44" s="1235">
        <v>250</v>
      </c>
      <c r="I44" s="305"/>
    </row>
    <row r="45" spans="1:9" ht="18" customHeight="1" x14ac:dyDescent="0.3">
      <c r="A45" s="295">
        <v>37</v>
      </c>
      <c r="B45" s="296"/>
      <c r="C45" s="307">
        <v>6</v>
      </c>
      <c r="D45" s="672" t="s">
        <v>474</v>
      </c>
      <c r="E45" s="299"/>
      <c r="F45" s="1236"/>
      <c r="G45" s="1237"/>
      <c r="H45" s="1238"/>
      <c r="I45" s="305"/>
    </row>
    <row r="46" spans="1:9" ht="18" customHeight="1" x14ac:dyDescent="0.3">
      <c r="A46" s="295">
        <v>38</v>
      </c>
      <c r="B46" s="296"/>
      <c r="C46" s="311" t="s">
        <v>257</v>
      </c>
      <c r="D46" s="304"/>
      <c r="E46" s="299"/>
      <c r="F46" s="1233">
        <v>8027</v>
      </c>
      <c r="G46" s="1234">
        <v>2334</v>
      </c>
      <c r="H46" s="1235">
        <v>12260</v>
      </c>
      <c r="I46" s="300"/>
    </row>
    <row r="47" spans="1:9" ht="18" customHeight="1" x14ac:dyDescent="0.3">
      <c r="A47" s="295">
        <v>39</v>
      </c>
      <c r="B47" s="296"/>
      <c r="C47" s="313" t="s">
        <v>475</v>
      </c>
      <c r="D47" s="304"/>
      <c r="E47" s="299"/>
      <c r="F47" s="1233"/>
      <c r="G47" s="1234"/>
      <c r="H47" s="1235"/>
      <c r="I47" s="300"/>
    </row>
    <row r="48" spans="1:9" ht="18" customHeight="1" x14ac:dyDescent="0.3">
      <c r="A48" s="295">
        <v>40</v>
      </c>
      <c r="B48" s="296"/>
      <c r="C48" s="307">
        <v>22</v>
      </c>
      <c r="D48" s="672" t="s">
        <v>477</v>
      </c>
      <c r="E48" s="299"/>
      <c r="F48" s="1233"/>
      <c r="G48" s="1234"/>
      <c r="H48" s="1235"/>
      <c r="I48" s="305"/>
    </row>
    <row r="49" spans="1:9" s="301" customFormat="1" ht="22.5" customHeight="1" x14ac:dyDescent="0.3">
      <c r="A49" s="295">
        <v>41</v>
      </c>
      <c r="B49" s="296">
        <v>8</v>
      </c>
      <c r="C49" s="310" t="s">
        <v>93</v>
      </c>
      <c r="D49" s="298"/>
      <c r="E49" s="299" t="s">
        <v>23</v>
      </c>
      <c r="F49" s="1233">
        <v>971</v>
      </c>
      <c r="G49" s="1234">
        <v>1200</v>
      </c>
      <c r="H49" s="1235">
        <v>1700</v>
      </c>
      <c r="I49" s="300"/>
    </row>
    <row r="50" spans="1:9" ht="18" customHeight="1" x14ac:dyDescent="0.3">
      <c r="A50" s="295">
        <v>42</v>
      </c>
      <c r="B50" s="296"/>
      <c r="C50" s="307">
        <v>2</v>
      </c>
      <c r="D50" s="672" t="s">
        <v>556</v>
      </c>
      <c r="E50" s="299"/>
      <c r="F50" s="1236"/>
      <c r="G50" s="1237"/>
      <c r="H50" s="1238"/>
      <c r="I50" s="305"/>
    </row>
    <row r="51" spans="1:9" s="301" customFormat="1" ht="22.5" customHeight="1" x14ac:dyDescent="0.3">
      <c r="A51" s="295">
        <v>43</v>
      </c>
      <c r="B51" s="296">
        <v>9</v>
      </c>
      <c r="C51" s="310" t="s">
        <v>290</v>
      </c>
      <c r="D51" s="298"/>
      <c r="E51" s="299" t="s">
        <v>23</v>
      </c>
      <c r="F51" s="1233">
        <v>1534</v>
      </c>
      <c r="G51" s="1234">
        <v>1550</v>
      </c>
      <c r="H51" s="1235">
        <v>2570</v>
      </c>
      <c r="I51" s="300"/>
    </row>
    <row r="52" spans="1:9" ht="18" customHeight="1" x14ac:dyDescent="0.3">
      <c r="A52" s="295">
        <v>44</v>
      </c>
      <c r="B52" s="296"/>
      <c r="C52" s="307">
        <v>1</v>
      </c>
      <c r="D52" s="672" t="s">
        <v>477</v>
      </c>
      <c r="E52" s="299"/>
      <c r="F52" s="1236"/>
      <c r="G52" s="1237"/>
      <c r="H52" s="1238"/>
      <c r="I52" s="305"/>
    </row>
    <row r="53" spans="1:9" s="301" customFormat="1" ht="22.5" customHeight="1" x14ac:dyDescent="0.3">
      <c r="A53" s="295">
        <v>45</v>
      </c>
      <c r="B53" s="296">
        <v>10</v>
      </c>
      <c r="C53" s="297" t="s">
        <v>292</v>
      </c>
      <c r="D53" s="298"/>
      <c r="E53" s="299" t="s">
        <v>23</v>
      </c>
      <c r="F53" s="1233">
        <v>41699</v>
      </c>
      <c r="G53" s="1234"/>
      <c r="H53" s="1235">
        <v>27624</v>
      </c>
      <c r="I53" s="300"/>
    </row>
    <row r="54" spans="1:9" ht="18" customHeight="1" x14ac:dyDescent="0.3">
      <c r="A54" s="295">
        <v>46</v>
      </c>
      <c r="B54" s="296"/>
      <c r="C54" s="307">
        <v>1</v>
      </c>
      <c r="D54" s="672" t="s">
        <v>477</v>
      </c>
      <c r="E54" s="299"/>
      <c r="F54" s="1236"/>
      <c r="G54" s="1237"/>
      <c r="H54" s="1238"/>
      <c r="I54" s="305"/>
    </row>
    <row r="55" spans="1:9" s="301" customFormat="1" ht="22.5" customHeight="1" x14ac:dyDescent="0.3">
      <c r="A55" s="295">
        <v>47</v>
      </c>
      <c r="B55" s="296">
        <v>11</v>
      </c>
      <c r="C55" s="310" t="s">
        <v>287</v>
      </c>
      <c r="D55" s="298"/>
      <c r="E55" s="299" t="s">
        <v>23</v>
      </c>
      <c r="F55" s="1233">
        <v>6879</v>
      </c>
      <c r="G55" s="1234">
        <v>2100</v>
      </c>
      <c r="H55" s="1235">
        <v>7522</v>
      </c>
      <c r="I55" s="300"/>
    </row>
    <row r="56" spans="1:9" ht="18" customHeight="1" x14ac:dyDescent="0.3">
      <c r="A56" s="295">
        <v>48</v>
      </c>
      <c r="B56" s="296"/>
      <c r="C56" s="307">
        <v>1</v>
      </c>
      <c r="D56" s="304" t="s">
        <v>477</v>
      </c>
      <c r="E56" s="299"/>
      <c r="F56" s="1233"/>
      <c r="G56" s="1234"/>
      <c r="H56" s="1235"/>
      <c r="I56" s="305"/>
    </row>
    <row r="57" spans="1:9" ht="18" customHeight="1" x14ac:dyDescent="0.3">
      <c r="A57" s="295">
        <v>49</v>
      </c>
      <c r="B57" s="296"/>
      <c r="C57" s="307">
        <v>26</v>
      </c>
      <c r="D57" s="304" t="s">
        <v>729</v>
      </c>
      <c r="E57" s="299"/>
      <c r="F57" s="1233"/>
      <c r="G57" s="1234"/>
      <c r="H57" s="1235"/>
      <c r="I57" s="305">
        <v>800</v>
      </c>
    </row>
    <row r="58" spans="1:9" ht="18" customHeight="1" x14ac:dyDescent="0.3">
      <c r="A58" s="295">
        <v>50</v>
      </c>
      <c r="B58" s="296"/>
      <c r="C58" s="307">
        <v>27</v>
      </c>
      <c r="D58" s="304" t="s">
        <v>730</v>
      </c>
      <c r="E58" s="299"/>
      <c r="F58" s="1233"/>
      <c r="G58" s="1234"/>
      <c r="H58" s="1235"/>
      <c r="I58" s="305">
        <v>67</v>
      </c>
    </row>
    <row r="59" spans="1:9" s="301" customFormat="1" ht="22.5" customHeight="1" x14ac:dyDescent="0.3">
      <c r="A59" s="295">
        <v>51</v>
      </c>
      <c r="B59" s="296">
        <v>12</v>
      </c>
      <c r="C59" s="310" t="s">
        <v>571</v>
      </c>
      <c r="D59" s="298"/>
      <c r="E59" s="299" t="s">
        <v>23</v>
      </c>
      <c r="F59" s="1233">
        <v>5741</v>
      </c>
      <c r="G59" s="1234"/>
      <c r="H59" s="1235">
        <v>22352</v>
      </c>
      <c r="I59" s="300"/>
    </row>
    <row r="60" spans="1:9" ht="30" x14ac:dyDescent="0.3">
      <c r="A60" s="295">
        <v>52</v>
      </c>
      <c r="B60" s="296"/>
      <c r="C60" s="303">
        <v>1</v>
      </c>
      <c r="D60" s="304" t="s">
        <v>361</v>
      </c>
      <c r="E60" s="299"/>
      <c r="F60" s="1233">
        <v>15778</v>
      </c>
      <c r="G60" s="1241">
        <v>11550</v>
      </c>
      <c r="H60" s="1235">
        <v>13838</v>
      </c>
      <c r="I60" s="305">
        <v>11550</v>
      </c>
    </row>
    <row r="61" spans="1:9" ht="28.5" customHeight="1" x14ac:dyDescent="0.3">
      <c r="A61" s="295">
        <v>53</v>
      </c>
      <c r="B61" s="296"/>
      <c r="C61" s="303">
        <v>2</v>
      </c>
      <c r="D61" s="304" t="s">
        <v>572</v>
      </c>
      <c r="E61" s="299"/>
      <c r="F61" s="1233">
        <v>55319</v>
      </c>
      <c r="G61" s="1241">
        <v>55030</v>
      </c>
      <c r="H61" s="1235">
        <v>56518</v>
      </c>
      <c r="I61" s="305">
        <v>55030</v>
      </c>
    </row>
    <row r="62" spans="1:9" ht="18" customHeight="1" x14ac:dyDescent="0.3">
      <c r="A62" s="295">
        <v>54</v>
      </c>
      <c r="B62" s="296"/>
      <c r="C62" s="307">
        <v>4</v>
      </c>
      <c r="D62" s="304" t="s">
        <v>552</v>
      </c>
      <c r="E62" s="299"/>
      <c r="F62" s="1233">
        <v>7555</v>
      </c>
      <c r="G62" s="1234">
        <v>2808</v>
      </c>
      <c r="H62" s="1235">
        <v>4329</v>
      </c>
      <c r="I62" s="305">
        <v>2056</v>
      </c>
    </row>
    <row r="63" spans="1:9" ht="30" x14ac:dyDescent="0.3">
      <c r="A63" s="295">
        <v>55</v>
      </c>
      <c r="B63" s="296"/>
      <c r="C63" s="303">
        <v>10</v>
      </c>
      <c r="D63" s="304" t="s">
        <v>553</v>
      </c>
      <c r="E63" s="299"/>
      <c r="F63" s="1233">
        <v>1260</v>
      </c>
      <c r="G63" s="1234">
        <v>1200</v>
      </c>
      <c r="H63" s="1235">
        <v>2560</v>
      </c>
      <c r="I63" s="305">
        <v>1300</v>
      </c>
    </row>
    <row r="64" spans="1:9" ht="18" customHeight="1" x14ac:dyDescent="0.3">
      <c r="A64" s="295">
        <v>56</v>
      </c>
      <c r="B64" s="296"/>
      <c r="C64" s="307">
        <v>11</v>
      </c>
      <c r="D64" s="304" t="s">
        <v>731</v>
      </c>
      <c r="E64" s="299"/>
      <c r="F64" s="1233"/>
      <c r="G64" s="1234"/>
      <c r="H64" s="1235"/>
      <c r="I64" s="305">
        <v>4763</v>
      </c>
    </row>
    <row r="65" spans="1:10" s="301" customFormat="1" ht="22.5" customHeight="1" x14ac:dyDescent="0.3">
      <c r="A65" s="295">
        <v>57</v>
      </c>
      <c r="B65" s="296">
        <v>13</v>
      </c>
      <c r="C65" s="310" t="s">
        <v>30</v>
      </c>
      <c r="D65" s="298"/>
      <c r="E65" s="299" t="s">
        <v>23</v>
      </c>
      <c r="F65" s="1233">
        <v>147101</v>
      </c>
      <c r="G65" s="1234"/>
      <c r="H65" s="1235">
        <v>2400</v>
      </c>
      <c r="I65" s="300"/>
    </row>
    <row r="66" spans="1:10" ht="18" customHeight="1" x14ac:dyDescent="0.3">
      <c r="A66" s="295">
        <v>58</v>
      </c>
      <c r="B66" s="296"/>
      <c r="C66" s="307">
        <v>3</v>
      </c>
      <c r="D66" s="304" t="s">
        <v>476</v>
      </c>
      <c r="E66" s="299"/>
      <c r="F66" s="1233"/>
      <c r="G66" s="1234">
        <v>5000</v>
      </c>
      <c r="H66" s="1235">
        <v>1800</v>
      </c>
      <c r="I66" s="305"/>
    </row>
    <row r="67" spans="1:10" ht="18" customHeight="1" x14ac:dyDescent="0.3">
      <c r="A67" s="295">
        <v>59</v>
      </c>
      <c r="B67" s="296"/>
      <c r="C67" s="307">
        <v>8</v>
      </c>
      <c r="D67" s="304" t="s">
        <v>477</v>
      </c>
      <c r="E67" s="299"/>
      <c r="F67" s="1233"/>
      <c r="G67" s="1234">
        <v>2400</v>
      </c>
      <c r="H67" s="1235">
        <v>3500</v>
      </c>
      <c r="I67" s="305"/>
    </row>
    <row r="68" spans="1:10" ht="18" customHeight="1" x14ac:dyDescent="0.3">
      <c r="A68" s="295">
        <v>60</v>
      </c>
      <c r="B68" s="296"/>
      <c r="C68" s="307">
        <v>45</v>
      </c>
      <c r="D68" s="304" t="s">
        <v>732</v>
      </c>
      <c r="E68" s="299"/>
      <c r="F68" s="1233"/>
      <c r="G68" s="1234"/>
      <c r="H68" s="1235">
        <v>440</v>
      </c>
      <c r="I68" s="305">
        <v>440</v>
      </c>
    </row>
    <row r="69" spans="1:10" ht="18" customHeight="1" x14ac:dyDescent="0.3">
      <c r="A69" s="295">
        <v>61</v>
      </c>
      <c r="B69" s="296"/>
      <c r="C69" s="307">
        <v>46</v>
      </c>
      <c r="D69" s="304" t="s">
        <v>733</v>
      </c>
      <c r="E69" s="299"/>
      <c r="F69" s="1233"/>
      <c r="G69" s="1234"/>
      <c r="H69" s="1235">
        <v>2550</v>
      </c>
      <c r="I69" s="305">
        <v>2495</v>
      </c>
    </row>
    <row r="70" spans="1:10" ht="18" customHeight="1" x14ac:dyDescent="0.3">
      <c r="A70" s="295">
        <v>62</v>
      </c>
      <c r="B70" s="296"/>
      <c r="C70" s="307">
        <v>48</v>
      </c>
      <c r="D70" s="304" t="s">
        <v>734</v>
      </c>
      <c r="E70" s="299"/>
      <c r="F70" s="1233"/>
      <c r="G70" s="1234"/>
      <c r="H70" s="1235">
        <v>3000</v>
      </c>
      <c r="I70" s="305">
        <v>3000</v>
      </c>
    </row>
    <row r="71" spans="1:10" ht="18" customHeight="1" x14ac:dyDescent="0.3">
      <c r="A71" s="295">
        <v>63</v>
      </c>
      <c r="B71" s="296"/>
      <c r="C71" s="307">
        <v>49</v>
      </c>
      <c r="D71" s="304" t="s">
        <v>735</v>
      </c>
      <c r="E71" s="299"/>
      <c r="F71" s="1233"/>
      <c r="G71" s="1234"/>
      <c r="H71" s="1235">
        <v>300</v>
      </c>
      <c r="I71" s="305">
        <v>446</v>
      </c>
    </row>
    <row r="72" spans="1:10" ht="18" customHeight="1" x14ac:dyDescent="0.3">
      <c r="A72" s="295">
        <v>64</v>
      </c>
      <c r="B72" s="296"/>
      <c r="C72" s="307">
        <v>50</v>
      </c>
      <c r="D72" s="304" t="s">
        <v>736</v>
      </c>
      <c r="E72" s="299"/>
      <c r="F72" s="1233"/>
      <c r="G72" s="1234"/>
      <c r="H72" s="1235">
        <v>1950</v>
      </c>
      <c r="I72" s="305">
        <v>1950</v>
      </c>
    </row>
    <row r="73" spans="1:10" ht="18" customHeight="1" x14ac:dyDescent="0.3">
      <c r="A73" s="295">
        <v>65</v>
      </c>
      <c r="B73" s="296"/>
      <c r="C73" s="307">
        <v>51</v>
      </c>
      <c r="D73" s="304" t="s">
        <v>737</v>
      </c>
      <c r="E73" s="299"/>
      <c r="F73" s="1233"/>
      <c r="G73" s="1234"/>
      <c r="H73" s="1235">
        <v>2921</v>
      </c>
      <c r="I73" s="305">
        <v>2300</v>
      </c>
    </row>
    <row r="74" spans="1:10" s="301" customFormat="1" ht="22.5" customHeight="1" x14ac:dyDescent="0.3">
      <c r="A74" s="295">
        <v>66</v>
      </c>
      <c r="B74" s="296">
        <v>14</v>
      </c>
      <c r="C74" s="310" t="s">
        <v>288</v>
      </c>
      <c r="D74" s="298"/>
      <c r="E74" s="299" t="s">
        <v>24</v>
      </c>
      <c r="F74" s="1233">
        <v>35373</v>
      </c>
      <c r="G74" s="1234">
        <v>15834</v>
      </c>
      <c r="H74" s="1235">
        <v>38234</v>
      </c>
      <c r="I74" s="300"/>
    </row>
    <row r="75" spans="1:10" ht="18" customHeight="1" x14ac:dyDescent="0.3">
      <c r="A75" s="295">
        <v>67</v>
      </c>
      <c r="B75" s="296"/>
      <c r="C75" s="307">
        <v>1</v>
      </c>
      <c r="D75" s="304" t="s">
        <v>738</v>
      </c>
      <c r="E75" s="299"/>
      <c r="F75" s="1233"/>
      <c r="G75" s="1234"/>
      <c r="H75" s="1235"/>
      <c r="I75" s="305">
        <v>4410</v>
      </c>
    </row>
    <row r="76" spans="1:10" ht="18" customHeight="1" x14ac:dyDescent="0.3">
      <c r="A76" s="295">
        <v>68</v>
      </c>
      <c r="B76" s="296"/>
      <c r="C76" s="307">
        <v>18</v>
      </c>
      <c r="D76" s="304" t="s">
        <v>739</v>
      </c>
      <c r="E76" s="299"/>
      <c r="F76" s="1233"/>
      <c r="G76" s="1234"/>
      <c r="H76" s="1235">
        <v>7000</v>
      </c>
      <c r="I76" s="305">
        <v>7000</v>
      </c>
    </row>
    <row r="77" spans="1:10" s="301" customFormat="1" ht="22.5" customHeight="1" x14ac:dyDescent="0.3">
      <c r="A77" s="295">
        <v>69</v>
      </c>
      <c r="B77" s="296">
        <v>15</v>
      </c>
      <c r="C77" s="310" t="s">
        <v>114</v>
      </c>
      <c r="D77" s="298"/>
      <c r="E77" s="299" t="s">
        <v>24</v>
      </c>
      <c r="F77" s="1233">
        <v>44997</v>
      </c>
      <c r="G77" s="1234">
        <v>4352</v>
      </c>
      <c r="H77" s="1235">
        <v>48787</v>
      </c>
      <c r="I77" s="300"/>
    </row>
    <row r="78" spans="1:10" ht="18" customHeight="1" x14ac:dyDescent="0.3">
      <c r="A78" s="295">
        <v>70</v>
      </c>
      <c r="B78" s="296"/>
      <c r="C78" s="307">
        <v>1</v>
      </c>
      <c r="D78" s="304" t="s">
        <v>556</v>
      </c>
      <c r="E78" s="299"/>
      <c r="F78" s="1233"/>
      <c r="G78" s="1234"/>
      <c r="H78" s="1235"/>
      <c r="I78" s="305">
        <v>1500</v>
      </c>
    </row>
    <row r="79" spans="1:10" s="301" customFormat="1" ht="22.5" customHeight="1" x14ac:dyDescent="0.3">
      <c r="A79" s="295">
        <v>71</v>
      </c>
      <c r="B79" s="296">
        <v>16</v>
      </c>
      <c r="C79" s="314" t="s">
        <v>215</v>
      </c>
      <c r="D79" s="298"/>
      <c r="E79" s="299" t="s">
        <v>23</v>
      </c>
      <c r="F79" s="1233">
        <v>8269</v>
      </c>
      <c r="G79" s="1234">
        <v>11103</v>
      </c>
      <c r="H79" s="1235">
        <v>16103</v>
      </c>
      <c r="I79" s="300"/>
    </row>
    <row r="80" spans="1:10" ht="18" customHeight="1" thickBot="1" x14ac:dyDescent="0.35">
      <c r="A80" s="295">
        <v>72</v>
      </c>
      <c r="B80" s="296"/>
      <c r="C80" s="307">
        <v>1</v>
      </c>
      <c r="D80" s="304" t="s">
        <v>740</v>
      </c>
      <c r="E80" s="299"/>
      <c r="F80" s="1233"/>
      <c r="G80" s="1234"/>
      <c r="H80" s="1235"/>
      <c r="I80" s="305"/>
      <c r="J80" s="1230"/>
    </row>
    <row r="81" spans="1:247" s="566" customFormat="1" ht="36" customHeight="1" thickTop="1" thickBot="1" x14ac:dyDescent="0.25">
      <c r="A81" s="295">
        <v>73</v>
      </c>
      <c r="B81" s="1389" t="s">
        <v>319</v>
      </c>
      <c r="C81" s="1390"/>
      <c r="D81" s="1391"/>
      <c r="E81" s="565"/>
      <c r="F81" s="1242">
        <f>SUM(F9:F79)</f>
        <v>431784</v>
      </c>
      <c r="G81" s="1243">
        <f>SUM(G9:G79)</f>
        <v>116747</v>
      </c>
      <c r="H81" s="1244">
        <f>SUM(H9:H79)</f>
        <v>332694</v>
      </c>
      <c r="I81" s="1251">
        <f>SUM(I9:I80)</f>
        <v>99369</v>
      </c>
      <c r="J81" s="673"/>
    </row>
    <row r="82" spans="1:247" s="301" customFormat="1" ht="22.5" customHeight="1" x14ac:dyDescent="0.3">
      <c r="A82" s="295">
        <v>74</v>
      </c>
      <c r="B82" s="296">
        <v>17</v>
      </c>
      <c r="C82" s="315" t="s">
        <v>153</v>
      </c>
      <c r="D82" s="298"/>
      <c r="E82" s="299" t="s">
        <v>23</v>
      </c>
      <c r="F82" s="1233">
        <v>4293</v>
      </c>
      <c r="G82" s="1234"/>
      <c r="H82" s="1235"/>
      <c r="I82" s="300"/>
    </row>
    <row r="83" spans="1:247" s="301" customFormat="1" ht="22.5" customHeight="1" x14ac:dyDescent="0.3">
      <c r="A83" s="295">
        <v>75</v>
      </c>
      <c r="B83" s="296"/>
      <c r="C83" s="311"/>
      <c r="D83" s="298" t="s">
        <v>123</v>
      </c>
      <c r="E83" s="299"/>
      <c r="F83" s="1233">
        <v>3038</v>
      </c>
      <c r="G83" s="1234">
        <v>79000</v>
      </c>
      <c r="H83" s="1235">
        <v>69000</v>
      </c>
      <c r="I83" s="300"/>
    </row>
    <row r="84" spans="1:247" ht="18" customHeight="1" x14ac:dyDescent="0.3">
      <c r="A84" s="295">
        <v>76</v>
      </c>
      <c r="B84" s="296"/>
      <c r="C84" s="316">
        <v>5</v>
      </c>
      <c r="D84" s="304" t="s">
        <v>478</v>
      </c>
      <c r="E84" s="299"/>
      <c r="F84" s="1236"/>
      <c r="G84" s="1237">
        <v>1000</v>
      </c>
      <c r="H84" s="1238">
        <v>1000</v>
      </c>
      <c r="I84" s="305">
        <v>1000</v>
      </c>
    </row>
    <row r="85" spans="1:247" ht="18" customHeight="1" x14ac:dyDescent="0.3">
      <c r="A85" s="295">
        <v>77</v>
      </c>
      <c r="B85" s="296"/>
      <c r="C85" s="316">
        <v>10</v>
      </c>
      <c r="D85" s="304" t="s">
        <v>362</v>
      </c>
      <c r="E85" s="299"/>
      <c r="F85" s="1236">
        <v>330</v>
      </c>
      <c r="G85" s="1237">
        <v>800</v>
      </c>
      <c r="H85" s="1238">
        <v>800</v>
      </c>
      <c r="I85" s="305">
        <v>800</v>
      </c>
    </row>
    <row r="86" spans="1:247" ht="18" customHeight="1" x14ac:dyDescent="0.3">
      <c r="A86" s="295">
        <v>78</v>
      </c>
      <c r="B86" s="296"/>
      <c r="C86" s="316">
        <v>11</v>
      </c>
      <c r="D86" s="304" t="s">
        <v>551</v>
      </c>
      <c r="E86" s="299"/>
      <c r="F86" s="1236">
        <v>4155</v>
      </c>
      <c r="G86" s="1237">
        <v>11247</v>
      </c>
      <c r="H86" s="1238">
        <v>16247</v>
      </c>
      <c r="I86" s="305">
        <v>12000</v>
      </c>
    </row>
    <row r="87" spans="1:247" ht="18" customHeight="1" x14ac:dyDescent="0.3">
      <c r="A87" s="295">
        <v>79</v>
      </c>
      <c r="B87" s="296"/>
      <c r="C87" s="316">
        <v>12</v>
      </c>
      <c r="D87" s="304" t="s">
        <v>384</v>
      </c>
      <c r="E87" s="299"/>
      <c r="F87" s="1236">
        <v>1835</v>
      </c>
      <c r="G87" s="1237">
        <v>10000</v>
      </c>
      <c r="H87" s="1238">
        <v>79317</v>
      </c>
      <c r="I87" s="305">
        <v>10000</v>
      </c>
    </row>
    <row r="88" spans="1:247" ht="18" customHeight="1" x14ac:dyDescent="0.3">
      <c r="A88" s="295">
        <v>80</v>
      </c>
      <c r="B88" s="296"/>
      <c r="C88" s="316">
        <v>13</v>
      </c>
      <c r="D88" s="304" t="s">
        <v>378</v>
      </c>
      <c r="E88" s="299"/>
      <c r="F88" s="1236">
        <v>3028</v>
      </c>
      <c r="G88" s="1237">
        <v>4000</v>
      </c>
      <c r="H88" s="1238">
        <v>4000</v>
      </c>
      <c r="I88" s="305">
        <v>4000</v>
      </c>
    </row>
    <row r="89" spans="1:247" ht="22.5" customHeight="1" x14ac:dyDescent="0.3">
      <c r="A89" s="295">
        <v>81</v>
      </c>
      <c r="B89" s="296"/>
      <c r="C89" s="316"/>
      <c r="D89" s="298" t="s">
        <v>344</v>
      </c>
      <c r="E89" s="299"/>
      <c r="F89" s="1236"/>
      <c r="G89" s="1237"/>
      <c r="H89" s="1238"/>
      <c r="I89" s="305"/>
    </row>
    <row r="90" spans="1:247" ht="18" customHeight="1" thickBot="1" x14ac:dyDescent="0.35">
      <c r="A90" s="295">
        <v>82</v>
      </c>
      <c r="B90" s="296"/>
      <c r="C90" s="299">
        <v>15</v>
      </c>
      <c r="D90" s="304" t="s">
        <v>31</v>
      </c>
      <c r="E90" s="299"/>
      <c r="F90" s="1236">
        <v>18417</v>
      </c>
      <c r="G90" s="1237">
        <v>24900</v>
      </c>
      <c r="H90" s="1238">
        <v>50283</v>
      </c>
      <c r="I90" s="305">
        <v>57669</v>
      </c>
    </row>
    <row r="91" spans="1:247" s="566" customFormat="1" ht="36" customHeight="1" thickTop="1" thickBot="1" x14ac:dyDescent="0.25">
      <c r="A91" s="295">
        <v>83</v>
      </c>
      <c r="B91" s="1389" t="s">
        <v>320</v>
      </c>
      <c r="C91" s="1390"/>
      <c r="D91" s="1391"/>
      <c r="E91" s="565"/>
      <c r="F91" s="1242">
        <f>SUM(F82:F90)</f>
        <v>35096</v>
      </c>
      <c r="G91" s="1243">
        <f>SUM(G82:G90)</f>
        <v>130947</v>
      </c>
      <c r="H91" s="1244">
        <f>SUM(H82:H90)</f>
        <v>220647</v>
      </c>
      <c r="I91" s="1251">
        <f>SUM(I82:I90)</f>
        <v>85469</v>
      </c>
    </row>
    <row r="92" spans="1:247" s="566" customFormat="1" ht="36" customHeight="1" thickBot="1" x14ac:dyDescent="0.25">
      <c r="A92" s="295">
        <v>84</v>
      </c>
      <c r="B92" s="1371" t="s">
        <v>321</v>
      </c>
      <c r="C92" s="1372"/>
      <c r="D92" s="1373"/>
      <c r="E92" s="567"/>
      <c r="F92" s="1245">
        <f>SUM(F91,F81)</f>
        <v>466880</v>
      </c>
      <c r="G92" s="1246">
        <f>SUM(G91,G81)</f>
        <v>247694</v>
      </c>
      <c r="H92" s="1247">
        <f>SUM(H91,H81)</f>
        <v>553341</v>
      </c>
      <c r="I92" s="1252">
        <f>SUM(I91,I81)</f>
        <v>184838</v>
      </c>
    </row>
    <row r="93" spans="1:247" ht="18" customHeight="1" x14ac:dyDescent="0.3">
      <c r="B93" s="568"/>
      <c r="C93" s="569" t="s">
        <v>25</v>
      </c>
      <c r="D93" s="568"/>
      <c r="E93" s="570"/>
      <c r="F93" s="1248"/>
      <c r="G93" s="1249"/>
      <c r="H93" s="571"/>
      <c r="I93" s="571"/>
    </row>
    <row r="94" spans="1:247" s="572" customFormat="1" ht="18" customHeight="1" x14ac:dyDescent="0.3">
      <c r="A94" s="564"/>
      <c r="B94" s="568" t="s">
        <v>26</v>
      </c>
      <c r="C94" s="568"/>
      <c r="D94" s="568"/>
      <c r="E94" s="570"/>
      <c r="F94" s="1250"/>
      <c r="G94" s="1249"/>
      <c r="H94" s="571"/>
      <c r="I94" s="571"/>
      <c r="J94" s="306"/>
      <c r="K94" s="306"/>
      <c r="L94" s="306"/>
      <c r="M94" s="306"/>
      <c r="N94" s="306"/>
      <c r="O94" s="306"/>
      <c r="P94" s="306"/>
      <c r="Q94" s="306"/>
      <c r="R94" s="306"/>
      <c r="S94" s="306"/>
      <c r="T94" s="306"/>
      <c r="U94" s="306"/>
      <c r="V94" s="306"/>
      <c r="W94" s="306"/>
      <c r="X94" s="306"/>
      <c r="Y94" s="306"/>
      <c r="Z94" s="306"/>
      <c r="AA94" s="306"/>
      <c r="AB94" s="306"/>
      <c r="AC94" s="306"/>
      <c r="AD94" s="306"/>
      <c r="AE94" s="306"/>
      <c r="AF94" s="306"/>
      <c r="AG94" s="306"/>
      <c r="AH94" s="306"/>
      <c r="AI94" s="306"/>
      <c r="AJ94" s="306"/>
      <c r="AK94" s="306"/>
      <c r="AL94" s="306"/>
      <c r="AM94" s="306"/>
      <c r="AN94" s="306"/>
      <c r="AO94" s="306"/>
      <c r="AP94" s="306"/>
      <c r="AQ94" s="306"/>
      <c r="AR94" s="306"/>
      <c r="AS94" s="306"/>
      <c r="AT94" s="306"/>
      <c r="AU94" s="306"/>
      <c r="AV94" s="306"/>
      <c r="AW94" s="306"/>
      <c r="AX94" s="306"/>
      <c r="AY94" s="306"/>
      <c r="AZ94" s="306"/>
      <c r="BA94" s="306"/>
      <c r="BB94" s="306"/>
      <c r="BC94" s="306"/>
      <c r="BD94" s="306"/>
      <c r="BE94" s="306"/>
      <c r="BF94" s="306"/>
      <c r="BG94" s="306"/>
      <c r="BH94" s="306"/>
      <c r="BI94" s="306"/>
      <c r="BJ94" s="306"/>
      <c r="BK94" s="306"/>
      <c r="BL94" s="306"/>
      <c r="BM94" s="306"/>
      <c r="BN94" s="306"/>
      <c r="BO94" s="306"/>
      <c r="BP94" s="306"/>
      <c r="BQ94" s="306"/>
      <c r="BR94" s="306"/>
      <c r="BS94" s="306"/>
      <c r="BT94" s="306"/>
      <c r="BU94" s="306"/>
      <c r="BV94" s="306"/>
      <c r="BW94" s="306"/>
      <c r="BX94" s="306"/>
      <c r="BY94" s="306"/>
      <c r="BZ94" s="306"/>
      <c r="CA94" s="306"/>
      <c r="CB94" s="306"/>
      <c r="CC94" s="306"/>
      <c r="CD94" s="306"/>
      <c r="CE94" s="306"/>
      <c r="CF94" s="306"/>
      <c r="CG94" s="306"/>
      <c r="CH94" s="306"/>
      <c r="CI94" s="306"/>
      <c r="CJ94" s="306"/>
      <c r="CK94" s="306"/>
      <c r="CL94" s="306"/>
      <c r="CM94" s="306"/>
      <c r="CN94" s="306"/>
      <c r="CO94" s="306"/>
      <c r="CP94" s="306"/>
      <c r="CQ94" s="306"/>
      <c r="CR94" s="306"/>
      <c r="CS94" s="306"/>
      <c r="CT94" s="306"/>
      <c r="CU94" s="306"/>
      <c r="CV94" s="306"/>
      <c r="CW94" s="306"/>
      <c r="CX94" s="306"/>
      <c r="CY94" s="306"/>
      <c r="CZ94" s="306"/>
      <c r="DA94" s="306"/>
      <c r="DB94" s="306"/>
      <c r="DC94" s="306"/>
      <c r="DD94" s="306"/>
      <c r="DE94" s="306"/>
      <c r="DF94" s="306"/>
      <c r="DG94" s="306"/>
      <c r="DH94" s="306"/>
      <c r="DI94" s="306"/>
      <c r="DJ94" s="306"/>
      <c r="DK94" s="306"/>
      <c r="DL94" s="306"/>
      <c r="DM94" s="306"/>
      <c r="DN94" s="306"/>
      <c r="DO94" s="306"/>
      <c r="DP94" s="306"/>
      <c r="DQ94" s="306"/>
      <c r="DR94" s="306"/>
      <c r="DS94" s="306"/>
      <c r="DT94" s="306"/>
      <c r="DU94" s="306"/>
      <c r="DV94" s="306"/>
      <c r="DW94" s="306"/>
      <c r="DX94" s="306"/>
      <c r="DY94" s="306"/>
      <c r="DZ94" s="306"/>
      <c r="EA94" s="306"/>
      <c r="EB94" s="306"/>
      <c r="EC94" s="306"/>
      <c r="ED94" s="306"/>
      <c r="EE94" s="306"/>
      <c r="EF94" s="306"/>
      <c r="EG94" s="306"/>
      <c r="EH94" s="306"/>
      <c r="EI94" s="306"/>
      <c r="EJ94" s="306"/>
      <c r="EK94" s="306"/>
      <c r="EL94" s="306"/>
      <c r="EM94" s="306"/>
      <c r="EN94" s="306"/>
      <c r="EO94" s="306"/>
      <c r="EP94" s="306"/>
      <c r="EQ94" s="306"/>
      <c r="ER94" s="306"/>
      <c r="ES94" s="306"/>
      <c r="ET94" s="306"/>
      <c r="EU94" s="306"/>
      <c r="EV94" s="306"/>
      <c r="EW94" s="306"/>
      <c r="EX94" s="306"/>
      <c r="EY94" s="306"/>
      <c r="EZ94" s="306"/>
      <c r="FA94" s="306"/>
      <c r="FB94" s="306"/>
      <c r="FC94" s="306"/>
      <c r="FD94" s="306"/>
      <c r="FE94" s="306"/>
      <c r="FF94" s="306"/>
      <c r="FG94" s="306"/>
      <c r="FH94" s="306"/>
      <c r="FI94" s="306"/>
      <c r="FJ94" s="306"/>
      <c r="FK94" s="306"/>
      <c r="FL94" s="306"/>
      <c r="FM94" s="306"/>
      <c r="FN94" s="306"/>
      <c r="FO94" s="306"/>
      <c r="FP94" s="306"/>
      <c r="FQ94" s="306"/>
      <c r="FR94" s="306"/>
      <c r="FS94" s="306"/>
      <c r="FT94" s="306"/>
      <c r="FU94" s="306"/>
      <c r="FV94" s="306"/>
      <c r="FW94" s="306"/>
      <c r="FX94" s="306"/>
      <c r="FY94" s="306"/>
      <c r="FZ94" s="306"/>
      <c r="GA94" s="306"/>
      <c r="GB94" s="306"/>
      <c r="GC94" s="306"/>
      <c r="GD94" s="306"/>
      <c r="GE94" s="306"/>
      <c r="GF94" s="306"/>
      <c r="GG94" s="306"/>
      <c r="GH94" s="306"/>
      <c r="GI94" s="306"/>
      <c r="GJ94" s="306"/>
      <c r="GK94" s="306"/>
      <c r="GL94" s="306"/>
      <c r="GM94" s="306"/>
      <c r="GN94" s="306"/>
      <c r="GO94" s="306"/>
      <c r="GP94" s="306"/>
      <c r="GQ94" s="306"/>
      <c r="GR94" s="306"/>
      <c r="GS94" s="306"/>
      <c r="GT94" s="306"/>
      <c r="GU94" s="306"/>
      <c r="GV94" s="306"/>
      <c r="GW94" s="306"/>
      <c r="GX94" s="306"/>
      <c r="GY94" s="306"/>
      <c r="GZ94" s="306"/>
      <c r="HA94" s="306"/>
      <c r="HB94" s="306"/>
      <c r="HC94" s="306"/>
      <c r="HD94" s="306"/>
      <c r="HE94" s="306"/>
      <c r="HF94" s="306"/>
      <c r="HG94" s="306"/>
      <c r="HH94" s="306"/>
      <c r="HI94" s="306"/>
      <c r="HJ94" s="306"/>
      <c r="HK94" s="306"/>
      <c r="HL94" s="306"/>
      <c r="HM94" s="306"/>
      <c r="HN94" s="306"/>
      <c r="HO94" s="306"/>
      <c r="HP94" s="306"/>
      <c r="HQ94" s="306"/>
      <c r="HR94" s="306"/>
      <c r="HS94" s="306"/>
      <c r="HT94" s="306"/>
      <c r="HU94" s="306"/>
      <c r="HV94" s="306"/>
      <c r="HW94" s="306"/>
      <c r="HX94" s="306"/>
      <c r="HY94" s="306"/>
      <c r="HZ94" s="306"/>
      <c r="IA94" s="306"/>
      <c r="IB94" s="306"/>
      <c r="IC94" s="306"/>
      <c r="ID94" s="306"/>
      <c r="IE94" s="306"/>
      <c r="IF94" s="306"/>
      <c r="IG94" s="306"/>
      <c r="IH94" s="306"/>
      <c r="II94" s="306"/>
      <c r="IJ94" s="306"/>
      <c r="IK94" s="306"/>
      <c r="IL94" s="306"/>
      <c r="IM94" s="306"/>
    </row>
    <row r="95" spans="1:247" s="572" customFormat="1" ht="18" customHeight="1" x14ac:dyDescent="0.3">
      <c r="A95" s="564"/>
      <c r="B95" s="568" t="s">
        <v>27</v>
      </c>
      <c r="C95" s="568"/>
      <c r="D95" s="568"/>
      <c r="E95" s="570"/>
      <c r="F95" s="1250"/>
      <c r="G95" s="1249"/>
      <c r="H95" s="571"/>
      <c r="I95" s="571"/>
      <c r="J95" s="306"/>
      <c r="K95" s="306"/>
      <c r="L95" s="306"/>
      <c r="M95" s="306"/>
      <c r="N95" s="306"/>
      <c r="O95" s="306"/>
      <c r="P95" s="306"/>
      <c r="Q95" s="306"/>
      <c r="R95" s="306"/>
      <c r="S95" s="306"/>
      <c r="T95" s="306"/>
      <c r="U95" s="306"/>
      <c r="V95" s="306"/>
      <c r="W95" s="306"/>
      <c r="X95" s="306"/>
      <c r="Y95" s="306"/>
      <c r="Z95" s="306"/>
      <c r="AA95" s="306"/>
      <c r="AB95" s="306"/>
      <c r="AC95" s="306"/>
      <c r="AD95" s="306"/>
      <c r="AE95" s="306"/>
      <c r="AF95" s="306"/>
      <c r="AG95" s="306"/>
      <c r="AH95" s="306"/>
      <c r="AI95" s="306"/>
      <c r="AJ95" s="306"/>
      <c r="AK95" s="306"/>
      <c r="AL95" s="306"/>
      <c r="AM95" s="306"/>
      <c r="AN95" s="306"/>
      <c r="AO95" s="306"/>
      <c r="AP95" s="306"/>
      <c r="AQ95" s="306"/>
      <c r="AR95" s="306"/>
      <c r="AS95" s="306"/>
      <c r="AT95" s="306"/>
      <c r="AU95" s="306"/>
      <c r="AV95" s="306"/>
      <c r="AW95" s="306"/>
      <c r="AX95" s="306"/>
      <c r="AY95" s="306"/>
      <c r="AZ95" s="306"/>
      <c r="BA95" s="306"/>
      <c r="BB95" s="306"/>
      <c r="BC95" s="306"/>
      <c r="BD95" s="306"/>
      <c r="BE95" s="306"/>
      <c r="BF95" s="306"/>
      <c r="BG95" s="306"/>
      <c r="BH95" s="306"/>
      <c r="BI95" s="306"/>
      <c r="BJ95" s="306"/>
      <c r="BK95" s="306"/>
      <c r="BL95" s="306"/>
      <c r="BM95" s="306"/>
      <c r="BN95" s="306"/>
      <c r="BO95" s="306"/>
      <c r="BP95" s="306"/>
      <c r="BQ95" s="306"/>
      <c r="BR95" s="306"/>
      <c r="BS95" s="306"/>
      <c r="BT95" s="306"/>
      <c r="BU95" s="306"/>
      <c r="BV95" s="306"/>
      <c r="BW95" s="306"/>
      <c r="BX95" s="306"/>
      <c r="BY95" s="306"/>
      <c r="BZ95" s="306"/>
      <c r="CA95" s="306"/>
      <c r="CB95" s="306"/>
      <c r="CC95" s="306"/>
      <c r="CD95" s="306"/>
      <c r="CE95" s="306"/>
      <c r="CF95" s="306"/>
      <c r="CG95" s="306"/>
      <c r="CH95" s="306"/>
      <c r="CI95" s="306"/>
      <c r="CJ95" s="306"/>
      <c r="CK95" s="306"/>
      <c r="CL95" s="306"/>
      <c r="CM95" s="306"/>
      <c r="CN95" s="306"/>
      <c r="CO95" s="306"/>
      <c r="CP95" s="306"/>
      <c r="CQ95" s="306"/>
      <c r="CR95" s="306"/>
      <c r="CS95" s="306"/>
      <c r="CT95" s="306"/>
      <c r="CU95" s="306"/>
      <c r="CV95" s="306"/>
      <c r="CW95" s="306"/>
      <c r="CX95" s="306"/>
      <c r="CY95" s="306"/>
      <c r="CZ95" s="306"/>
      <c r="DA95" s="306"/>
      <c r="DB95" s="306"/>
      <c r="DC95" s="306"/>
      <c r="DD95" s="306"/>
      <c r="DE95" s="306"/>
      <c r="DF95" s="306"/>
      <c r="DG95" s="306"/>
      <c r="DH95" s="306"/>
      <c r="DI95" s="306"/>
      <c r="DJ95" s="306"/>
      <c r="DK95" s="306"/>
      <c r="DL95" s="306"/>
      <c r="DM95" s="306"/>
      <c r="DN95" s="306"/>
      <c r="DO95" s="306"/>
      <c r="DP95" s="306"/>
      <c r="DQ95" s="306"/>
      <c r="DR95" s="306"/>
      <c r="DS95" s="306"/>
      <c r="DT95" s="306"/>
      <c r="DU95" s="306"/>
      <c r="DV95" s="306"/>
      <c r="DW95" s="306"/>
      <c r="DX95" s="306"/>
      <c r="DY95" s="306"/>
      <c r="DZ95" s="306"/>
      <c r="EA95" s="306"/>
      <c r="EB95" s="306"/>
      <c r="EC95" s="306"/>
      <c r="ED95" s="306"/>
      <c r="EE95" s="306"/>
      <c r="EF95" s="306"/>
      <c r="EG95" s="306"/>
      <c r="EH95" s="306"/>
      <c r="EI95" s="306"/>
      <c r="EJ95" s="306"/>
      <c r="EK95" s="306"/>
      <c r="EL95" s="306"/>
      <c r="EM95" s="306"/>
      <c r="EN95" s="306"/>
      <c r="EO95" s="306"/>
      <c r="EP95" s="306"/>
      <c r="EQ95" s="306"/>
      <c r="ER95" s="306"/>
      <c r="ES95" s="306"/>
      <c r="ET95" s="306"/>
      <c r="EU95" s="306"/>
      <c r="EV95" s="306"/>
      <c r="EW95" s="306"/>
      <c r="EX95" s="306"/>
      <c r="EY95" s="306"/>
      <c r="EZ95" s="306"/>
      <c r="FA95" s="306"/>
      <c r="FB95" s="306"/>
      <c r="FC95" s="306"/>
      <c r="FD95" s="306"/>
      <c r="FE95" s="306"/>
      <c r="FF95" s="306"/>
      <c r="FG95" s="306"/>
      <c r="FH95" s="306"/>
      <c r="FI95" s="306"/>
      <c r="FJ95" s="306"/>
      <c r="FK95" s="306"/>
      <c r="FL95" s="306"/>
      <c r="FM95" s="306"/>
      <c r="FN95" s="306"/>
      <c r="FO95" s="306"/>
      <c r="FP95" s="306"/>
      <c r="FQ95" s="306"/>
      <c r="FR95" s="306"/>
      <c r="FS95" s="306"/>
      <c r="FT95" s="306"/>
      <c r="FU95" s="306"/>
      <c r="FV95" s="306"/>
      <c r="FW95" s="306"/>
      <c r="FX95" s="306"/>
      <c r="FY95" s="306"/>
      <c r="FZ95" s="306"/>
      <c r="GA95" s="306"/>
      <c r="GB95" s="306"/>
      <c r="GC95" s="306"/>
      <c r="GD95" s="306"/>
      <c r="GE95" s="306"/>
      <c r="GF95" s="306"/>
      <c r="GG95" s="306"/>
      <c r="GH95" s="306"/>
      <c r="GI95" s="306"/>
      <c r="GJ95" s="306"/>
      <c r="GK95" s="306"/>
      <c r="GL95" s="306"/>
      <c r="GM95" s="306"/>
      <c r="GN95" s="306"/>
      <c r="GO95" s="306"/>
      <c r="GP95" s="306"/>
      <c r="GQ95" s="306"/>
      <c r="GR95" s="306"/>
      <c r="GS95" s="306"/>
      <c r="GT95" s="306"/>
      <c r="GU95" s="306"/>
      <c r="GV95" s="306"/>
      <c r="GW95" s="306"/>
      <c r="GX95" s="306"/>
      <c r="GY95" s="306"/>
      <c r="GZ95" s="306"/>
      <c r="HA95" s="306"/>
      <c r="HB95" s="306"/>
      <c r="HC95" s="306"/>
      <c r="HD95" s="306"/>
      <c r="HE95" s="306"/>
      <c r="HF95" s="306"/>
      <c r="HG95" s="306"/>
      <c r="HH95" s="306"/>
      <c r="HI95" s="306"/>
      <c r="HJ95" s="306"/>
      <c r="HK95" s="306"/>
      <c r="HL95" s="306"/>
      <c r="HM95" s="306"/>
      <c r="HN95" s="306"/>
      <c r="HO95" s="306"/>
      <c r="HP95" s="306"/>
      <c r="HQ95" s="306"/>
      <c r="HR95" s="306"/>
      <c r="HS95" s="306"/>
      <c r="HT95" s="306"/>
      <c r="HU95" s="306"/>
      <c r="HV95" s="306"/>
      <c r="HW95" s="306"/>
      <c r="HX95" s="306"/>
      <c r="HY95" s="306"/>
      <c r="HZ95" s="306"/>
      <c r="IA95" s="306"/>
      <c r="IB95" s="306"/>
      <c r="IC95" s="306"/>
      <c r="ID95" s="306"/>
      <c r="IE95" s="306"/>
      <c r="IF95" s="306"/>
      <c r="IG95" s="306"/>
      <c r="IH95" s="306"/>
      <c r="II95" s="306"/>
      <c r="IJ95" s="306"/>
      <c r="IK95" s="306"/>
      <c r="IL95" s="306"/>
      <c r="IM95" s="306"/>
    </row>
    <row r="96" spans="1:247" s="572" customFormat="1" x14ac:dyDescent="0.3">
      <c r="A96" s="564"/>
      <c r="B96" s="302"/>
      <c r="C96" s="555"/>
      <c r="D96" s="556"/>
      <c r="E96" s="557"/>
      <c r="F96" s="1230"/>
      <c r="G96" s="1230"/>
      <c r="H96" s="558"/>
      <c r="I96" s="558"/>
      <c r="J96" s="306"/>
      <c r="K96" s="306"/>
      <c r="L96" s="306"/>
      <c r="M96" s="306"/>
      <c r="N96" s="306"/>
      <c r="O96" s="306"/>
      <c r="P96" s="306"/>
      <c r="Q96" s="306"/>
      <c r="R96" s="306"/>
      <c r="S96" s="306"/>
      <c r="T96" s="306"/>
      <c r="U96" s="306"/>
      <c r="V96" s="306"/>
      <c r="W96" s="306"/>
      <c r="X96" s="306"/>
      <c r="Y96" s="306"/>
      <c r="Z96" s="306"/>
      <c r="AA96" s="306"/>
      <c r="AB96" s="306"/>
      <c r="AC96" s="306"/>
      <c r="AD96" s="306"/>
      <c r="AE96" s="306"/>
      <c r="AF96" s="306"/>
      <c r="AG96" s="306"/>
      <c r="AH96" s="306"/>
      <c r="AI96" s="306"/>
      <c r="AJ96" s="306"/>
      <c r="AK96" s="306"/>
      <c r="AL96" s="306"/>
      <c r="AM96" s="306"/>
      <c r="AN96" s="306"/>
      <c r="AO96" s="306"/>
      <c r="AP96" s="306"/>
      <c r="AQ96" s="306"/>
      <c r="AR96" s="306"/>
      <c r="AS96" s="306"/>
      <c r="AT96" s="306"/>
      <c r="AU96" s="306"/>
      <c r="AV96" s="306"/>
      <c r="AW96" s="306"/>
      <c r="AX96" s="306"/>
      <c r="AY96" s="306"/>
      <c r="AZ96" s="306"/>
      <c r="BA96" s="306"/>
      <c r="BB96" s="306"/>
      <c r="BC96" s="306"/>
      <c r="BD96" s="306"/>
      <c r="BE96" s="306"/>
      <c r="BF96" s="306"/>
      <c r="BG96" s="306"/>
      <c r="BH96" s="306"/>
      <c r="BI96" s="306"/>
      <c r="BJ96" s="306"/>
      <c r="BK96" s="306"/>
      <c r="BL96" s="306"/>
      <c r="BM96" s="306"/>
      <c r="BN96" s="306"/>
      <c r="BO96" s="306"/>
      <c r="BP96" s="306"/>
      <c r="BQ96" s="306"/>
      <c r="BR96" s="306"/>
      <c r="BS96" s="306"/>
      <c r="BT96" s="306"/>
      <c r="BU96" s="306"/>
      <c r="BV96" s="306"/>
      <c r="BW96" s="306"/>
      <c r="BX96" s="306"/>
      <c r="BY96" s="306"/>
      <c r="BZ96" s="306"/>
      <c r="CA96" s="306"/>
      <c r="CB96" s="306"/>
      <c r="CC96" s="306"/>
      <c r="CD96" s="306"/>
      <c r="CE96" s="306"/>
      <c r="CF96" s="306"/>
      <c r="CG96" s="306"/>
      <c r="CH96" s="306"/>
      <c r="CI96" s="306"/>
      <c r="CJ96" s="306"/>
      <c r="CK96" s="306"/>
      <c r="CL96" s="306"/>
      <c r="CM96" s="306"/>
      <c r="CN96" s="306"/>
      <c r="CO96" s="306"/>
      <c r="CP96" s="306"/>
      <c r="CQ96" s="306"/>
      <c r="CR96" s="306"/>
      <c r="CS96" s="306"/>
      <c r="CT96" s="306"/>
      <c r="CU96" s="306"/>
      <c r="CV96" s="306"/>
      <c r="CW96" s="306"/>
      <c r="CX96" s="306"/>
      <c r="CY96" s="306"/>
      <c r="CZ96" s="306"/>
      <c r="DA96" s="306"/>
      <c r="DB96" s="306"/>
      <c r="DC96" s="306"/>
      <c r="DD96" s="306"/>
      <c r="DE96" s="306"/>
      <c r="DF96" s="306"/>
      <c r="DG96" s="306"/>
      <c r="DH96" s="306"/>
      <c r="DI96" s="306"/>
      <c r="DJ96" s="306"/>
      <c r="DK96" s="306"/>
      <c r="DL96" s="306"/>
      <c r="DM96" s="306"/>
      <c r="DN96" s="306"/>
      <c r="DO96" s="306"/>
      <c r="DP96" s="306"/>
      <c r="DQ96" s="306"/>
      <c r="DR96" s="306"/>
      <c r="DS96" s="306"/>
      <c r="DT96" s="306"/>
      <c r="DU96" s="306"/>
      <c r="DV96" s="306"/>
      <c r="DW96" s="306"/>
      <c r="DX96" s="306"/>
      <c r="DY96" s="306"/>
      <c r="DZ96" s="306"/>
      <c r="EA96" s="306"/>
      <c r="EB96" s="306"/>
      <c r="EC96" s="306"/>
      <c r="ED96" s="306"/>
      <c r="EE96" s="306"/>
      <c r="EF96" s="306"/>
      <c r="EG96" s="306"/>
      <c r="EH96" s="306"/>
      <c r="EI96" s="306"/>
      <c r="EJ96" s="306"/>
      <c r="EK96" s="306"/>
      <c r="EL96" s="306"/>
      <c r="EM96" s="306"/>
      <c r="EN96" s="306"/>
      <c r="EO96" s="306"/>
      <c r="EP96" s="306"/>
      <c r="EQ96" s="306"/>
      <c r="ER96" s="306"/>
      <c r="ES96" s="306"/>
      <c r="ET96" s="306"/>
      <c r="EU96" s="306"/>
      <c r="EV96" s="306"/>
      <c r="EW96" s="306"/>
      <c r="EX96" s="306"/>
      <c r="EY96" s="306"/>
      <c r="EZ96" s="306"/>
      <c r="FA96" s="306"/>
      <c r="FB96" s="306"/>
      <c r="FC96" s="306"/>
      <c r="FD96" s="306"/>
      <c r="FE96" s="306"/>
      <c r="FF96" s="306"/>
      <c r="FG96" s="306"/>
      <c r="FH96" s="306"/>
      <c r="FI96" s="306"/>
      <c r="FJ96" s="306"/>
      <c r="FK96" s="306"/>
      <c r="FL96" s="306"/>
      <c r="FM96" s="306"/>
      <c r="FN96" s="306"/>
      <c r="FO96" s="306"/>
      <c r="FP96" s="306"/>
      <c r="FQ96" s="306"/>
      <c r="FR96" s="306"/>
      <c r="FS96" s="306"/>
      <c r="FT96" s="306"/>
      <c r="FU96" s="306"/>
      <c r="FV96" s="306"/>
      <c r="FW96" s="306"/>
      <c r="FX96" s="306"/>
      <c r="FY96" s="306"/>
      <c r="FZ96" s="306"/>
      <c r="GA96" s="306"/>
      <c r="GB96" s="306"/>
      <c r="GC96" s="306"/>
      <c r="GD96" s="306"/>
      <c r="GE96" s="306"/>
      <c r="GF96" s="306"/>
      <c r="GG96" s="306"/>
      <c r="GH96" s="306"/>
      <c r="GI96" s="306"/>
      <c r="GJ96" s="306"/>
      <c r="GK96" s="306"/>
      <c r="GL96" s="306"/>
      <c r="GM96" s="306"/>
      <c r="GN96" s="306"/>
      <c r="GO96" s="306"/>
      <c r="GP96" s="306"/>
      <c r="GQ96" s="306"/>
      <c r="GR96" s="306"/>
      <c r="GS96" s="306"/>
      <c r="GT96" s="306"/>
      <c r="GU96" s="306"/>
      <c r="GV96" s="306"/>
      <c r="GW96" s="306"/>
      <c r="GX96" s="306"/>
      <c r="GY96" s="306"/>
      <c r="GZ96" s="306"/>
      <c r="HA96" s="306"/>
      <c r="HB96" s="306"/>
      <c r="HC96" s="306"/>
      <c r="HD96" s="306"/>
      <c r="HE96" s="306"/>
      <c r="HF96" s="306"/>
      <c r="HG96" s="306"/>
      <c r="HH96" s="306"/>
      <c r="HI96" s="306"/>
      <c r="HJ96" s="306"/>
      <c r="HK96" s="306"/>
      <c r="HL96" s="306"/>
      <c r="HM96" s="306"/>
      <c r="HN96" s="306"/>
      <c r="HO96" s="306"/>
      <c r="HP96" s="306"/>
      <c r="HQ96" s="306"/>
      <c r="HR96" s="306"/>
      <c r="HS96" s="306"/>
      <c r="HT96" s="306"/>
      <c r="HU96" s="306"/>
      <c r="HV96" s="306"/>
      <c r="HW96" s="306"/>
      <c r="HX96" s="306"/>
      <c r="HY96" s="306"/>
      <c r="HZ96" s="306"/>
      <c r="IA96" s="306"/>
      <c r="IB96" s="306"/>
      <c r="IC96" s="306"/>
      <c r="ID96" s="306"/>
      <c r="IE96" s="306"/>
      <c r="IF96" s="306"/>
      <c r="IG96" s="306"/>
      <c r="IH96" s="306"/>
      <c r="II96" s="306"/>
      <c r="IJ96" s="306"/>
      <c r="IK96" s="306"/>
      <c r="IL96" s="306"/>
      <c r="IM96" s="306"/>
    </row>
  </sheetData>
  <mergeCells count="14">
    <mergeCell ref="B92:D92"/>
    <mergeCell ref="I7:I8"/>
    <mergeCell ref="B1:D1"/>
    <mergeCell ref="B3:I3"/>
    <mergeCell ref="B4:I4"/>
    <mergeCell ref="B7:B8"/>
    <mergeCell ref="C7:C8"/>
    <mergeCell ref="D7:D8"/>
    <mergeCell ref="E7:E8"/>
    <mergeCell ref="F7:F8"/>
    <mergeCell ref="G7:G8"/>
    <mergeCell ref="H7:H8"/>
    <mergeCell ref="B81:D81"/>
    <mergeCell ref="B91:D91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2" fitToHeight="0" orientation="portrait" r:id="rId1"/>
  <headerFooter alignWithMargins="0">
    <oddFooter>&amp;C- &amp;P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2"/>
  <sheetViews>
    <sheetView view="pageBreakPreview" zoomScale="75" zoomScaleNormal="75" zoomScaleSheetLayoutView="75" workbookViewId="0">
      <selection activeCell="B1" sqref="B1:D1"/>
    </sheetView>
  </sheetViews>
  <sheetFormatPr defaultColWidth="9.28515625" defaultRowHeight="17.25" x14ac:dyDescent="0.35"/>
  <cols>
    <col min="1" max="1" width="3.7109375" style="824" customWidth="1"/>
    <col min="2" max="2" width="5.7109375" style="839" customWidth="1"/>
    <col min="3" max="3" width="5.7109375" style="961" customWidth="1"/>
    <col min="4" max="4" width="87.7109375" style="962" customWidth="1"/>
    <col min="5" max="7" width="11.7109375" style="807" customWidth="1"/>
    <col min="8" max="8" width="6.7109375" style="839" customWidth="1"/>
    <col min="9" max="9" width="12.7109375" style="963" customWidth="1"/>
    <col min="10" max="14" width="12.7109375" style="807" customWidth="1"/>
    <col min="15" max="15" width="9.28515625" style="807" bestFit="1" customWidth="1"/>
    <col min="16" max="16384" width="9.28515625" style="807"/>
  </cols>
  <sheetData>
    <row r="1" spans="1:16" ht="16.5" x14ac:dyDescent="0.3">
      <c r="A1" s="806"/>
      <c r="B1" s="1424" t="s">
        <v>762</v>
      </c>
      <c r="C1" s="1424"/>
      <c r="D1" s="1424"/>
      <c r="G1" s="1425"/>
      <c r="H1" s="1425"/>
      <c r="I1" s="1425"/>
      <c r="J1" s="808"/>
      <c r="K1" s="808"/>
      <c r="L1" s="808"/>
      <c r="M1" s="808"/>
      <c r="N1" s="808"/>
    </row>
    <row r="2" spans="1:16" ht="24.75" customHeight="1" x14ac:dyDescent="0.35">
      <c r="A2" s="806"/>
      <c r="B2" s="1426" t="s">
        <v>14</v>
      </c>
      <c r="C2" s="1426"/>
      <c r="D2" s="1426"/>
      <c r="E2" s="1426"/>
      <c r="F2" s="1426"/>
      <c r="G2" s="1426"/>
      <c r="H2" s="1426"/>
      <c r="I2" s="1426"/>
      <c r="J2" s="1426"/>
      <c r="K2" s="1426"/>
      <c r="L2" s="1426"/>
      <c r="M2" s="1426"/>
      <c r="N2" s="1426"/>
    </row>
    <row r="3" spans="1:16" s="811" customFormat="1" ht="24.75" customHeight="1" x14ac:dyDescent="0.2">
      <c r="A3" s="806"/>
      <c r="B3" s="1427" t="s">
        <v>755</v>
      </c>
      <c r="C3" s="1427"/>
      <c r="D3" s="1427"/>
      <c r="E3" s="1427"/>
      <c r="F3" s="1427"/>
      <c r="G3" s="1427"/>
      <c r="H3" s="1427"/>
      <c r="I3" s="1427"/>
      <c r="J3" s="1427"/>
      <c r="K3" s="1427"/>
      <c r="L3" s="1427"/>
      <c r="M3" s="1427"/>
      <c r="N3" s="1427"/>
    </row>
    <row r="4" spans="1:16" s="816" customFormat="1" ht="15" x14ac:dyDescent="0.3">
      <c r="A4" s="812"/>
      <c r="B4" s="813"/>
      <c r="C4" s="814"/>
      <c r="D4" s="815"/>
      <c r="H4" s="817"/>
      <c r="I4" s="818"/>
      <c r="J4" s="819"/>
      <c r="K4" s="819"/>
      <c r="L4" s="819"/>
      <c r="M4" s="1428" t="s">
        <v>0</v>
      </c>
      <c r="N4" s="1428"/>
    </row>
    <row r="5" spans="1:16" s="821" customFormat="1" ht="15" thickBot="1" x14ac:dyDescent="0.35">
      <c r="A5" s="820"/>
      <c r="B5" s="821" t="s">
        <v>1</v>
      </c>
      <c r="C5" s="821" t="s">
        <v>3</v>
      </c>
      <c r="D5" s="822" t="s">
        <v>2</v>
      </c>
      <c r="E5" s="821" t="s">
        <v>4</v>
      </c>
      <c r="F5" s="821" t="s">
        <v>5</v>
      </c>
      <c r="G5" s="821" t="s">
        <v>15</v>
      </c>
      <c r="H5" s="823" t="s">
        <v>16</v>
      </c>
      <c r="I5" s="821" t="s">
        <v>17</v>
      </c>
      <c r="J5" s="821" t="s">
        <v>32</v>
      </c>
      <c r="K5" s="821" t="s">
        <v>28</v>
      </c>
      <c r="L5" s="821" t="s">
        <v>23</v>
      </c>
      <c r="M5" s="821" t="s">
        <v>33</v>
      </c>
      <c r="N5" s="821" t="s">
        <v>34</v>
      </c>
    </row>
    <row r="6" spans="1:16" s="810" customFormat="1" ht="34.5" customHeight="1" x14ac:dyDescent="0.2">
      <c r="A6" s="824"/>
      <c r="B6" s="1405" t="s">
        <v>18</v>
      </c>
      <c r="C6" s="1407" t="s">
        <v>19</v>
      </c>
      <c r="D6" s="1411" t="s">
        <v>6</v>
      </c>
      <c r="E6" s="1403" t="s">
        <v>603</v>
      </c>
      <c r="F6" s="1403" t="s">
        <v>532</v>
      </c>
      <c r="G6" s="1409" t="s">
        <v>619</v>
      </c>
      <c r="H6" s="1413" t="s">
        <v>20</v>
      </c>
      <c r="I6" s="1399" t="s">
        <v>581</v>
      </c>
      <c r="J6" s="1401" t="s">
        <v>35</v>
      </c>
      <c r="K6" s="1401"/>
      <c r="L6" s="1401"/>
      <c r="M6" s="1401"/>
      <c r="N6" s="1402"/>
    </row>
    <row r="7" spans="1:16" s="810" customFormat="1" ht="45.75" thickBot="1" x14ac:dyDescent="0.25">
      <c r="A7" s="824"/>
      <c r="B7" s="1406"/>
      <c r="C7" s="1408"/>
      <c r="D7" s="1412"/>
      <c r="E7" s="1404"/>
      <c r="F7" s="1404"/>
      <c r="G7" s="1410"/>
      <c r="H7" s="1414"/>
      <c r="I7" s="1400"/>
      <c r="J7" s="805" t="s">
        <v>36</v>
      </c>
      <c r="K7" s="805" t="s">
        <v>573</v>
      </c>
      <c r="L7" s="805" t="s">
        <v>38</v>
      </c>
      <c r="M7" s="805" t="s">
        <v>174</v>
      </c>
      <c r="N7" s="825" t="s">
        <v>39</v>
      </c>
    </row>
    <row r="8" spans="1:16" s="810" customFormat="1" ht="23.25" customHeight="1" x14ac:dyDescent="0.3">
      <c r="A8" s="824">
        <v>1</v>
      </c>
      <c r="B8" s="826">
        <v>18</v>
      </c>
      <c r="C8" s="251" t="s">
        <v>318</v>
      </c>
      <c r="D8" s="827"/>
      <c r="E8" s="1169"/>
      <c r="F8" s="1169"/>
      <c r="G8" s="1218"/>
      <c r="H8" s="828"/>
      <c r="I8" s="829"/>
      <c r="J8" s="830"/>
      <c r="K8" s="830"/>
      <c r="L8" s="830"/>
      <c r="M8" s="830"/>
      <c r="N8" s="831"/>
    </row>
    <row r="9" spans="1:16" s="839" customFormat="1" ht="22.5" customHeight="1" x14ac:dyDescent="0.3">
      <c r="A9" s="824">
        <v>2</v>
      </c>
      <c r="B9" s="832"/>
      <c r="C9" s="833">
        <v>1</v>
      </c>
      <c r="D9" s="834" t="s">
        <v>40</v>
      </c>
      <c r="E9" s="1170">
        <v>1060</v>
      </c>
      <c r="F9" s="1170">
        <v>2164</v>
      </c>
      <c r="G9" s="1214">
        <v>1016</v>
      </c>
      <c r="H9" s="835" t="s">
        <v>23</v>
      </c>
      <c r="I9" s="836"/>
      <c r="J9" s="837"/>
      <c r="K9" s="837"/>
      <c r="L9" s="837"/>
      <c r="M9" s="837"/>
      <c r="N9" s="838"/>
    </row>
    <row r="10" spans="1:16" s="847" customFormat="1" ht="18" customHeight="1" x14ac:dyDescent="0.3">
      <c r="A10" s="824">
        <v>3</v>
      </c>
      <c r="B10" s="840"/>
      <c r="C10" s="841"/>
      <c r="D10" s="292" t="s">
        <v>238</v>
      </c>
      <c r="E10" s="992"/>
      <c r="F10" s="992"/>
      <c r="G10" s="991"/>
      <c r="H10" s="842"/>
      <c r="I10" s="843">
        <f>SUM(J10:N10)</f>
        <v>1612</v>
      </c>
      <c r="J10" s="844"/>
      <c r="K10" s="844"/>
      <c r="L10" s="845">
        <f>1612</f>
        <v>1612</v>
      </c>
      <c r="M10" s="844"/>
      <c r="N10" s="846"/>
    </row>
    <row r="11" spans="1:16" s="839" customFormat="1" ht="22.5" customHeight="1" x14ac:dyDescent="0.3">
      <c r="A11" s="824">
        <v>4</v>
      </c>
      <c r="B11" s="848"/>
      <c r="C11" s="849">
        <v>2</v>
      </c>
      <c r="D11" s="850" t="s">
        <v>562</v>
      </c>
      <c r="E11" s="992">
        <v>68</v>
      </c>
      <c r="F11" s="992">
        <v>5000</v>
      </c>
      <c r="G11" s="991">
        <v>47100</v>
      </c>
      <c r="H11" s="842" t="s">
        <v>24</v>
      </c>
      <c r="I11" s="851"/>
      <c r="J11" s="852"/>
      <c r="K11" s="852"/>
      <c r="L11" s="852"/>
      <c r="M11" s="852"/>
      <c r="N11" s="853"/>
      <c r="P11" s="847"/>
    </row>
    <row r="12" spans="1:16" s="847" customFormat="1" ht="18" customHeight="1" x14ac:dyDescent="0.3">
      <c r="A12" s="824">
        <v>5</v>
      </c>
      <c r="B12" s="840"/>
      <c r="C12" s="841"/>
      <c r="D12" s="292" t="s">
        <v>238</v>
      </c>
      <c r="E12" s="992"/>
      <c r="F12" s="992"/>
      <c r="G12" s="991"/>
      <c r="H12" s="842"/>
      <c r="I12" s="843">
        <f>SUM(J12:N12)</f>
        <v>13476</v>
      </c>
      <c r="J12" s="844"/>
      <c r="K12" s="844"/>
      <c r="L12" s="845">
        <f>5000+8476</f>
        <v>13476</v>
      </c>
      <c r="M12" s="844"/>
      <c r="N12" s="854"/>
    </row>
    <row r="13" spans="1:16" s="839" customFormat="1" ht="22.5" customHeight="1" x14ac:dyDescent="0.3">
      <c r="A13" s="824">
        <v>6</v>
      </c>
      <c r="B13" s="848"/>
      <c r="C13" s="849">
        <v>3</v>
      </c>
      <c r="D13" s="850" t="s">
        <v>41</v>
      </c>
      <c r="E13" s="992">
        <v>3754</v>
      </c>
      <c r="F13" s="992">
        <v>20000</v>
      </c>
      <c r="G13" s="991">
        <v>31945</v>
      </c>
      <c r="H13" s="842" t="s">
        <v>24</v>
      </c>
      <c r="I13" s="855"/>
      <c r="J13" s="856"/>
      <c r="K13" s="856"/>
      <c r="L13" s="856"/>
      <c r="M13" s="856"/>
      <c r="N13" s="857"/>
      <c r="P13" s="847"/>
    </row>
    <row r="14" spans="1:16" s="839" customFormat="1" ht="18" customHeight="1" x14ac:dyDescent="0.3">
      <c r="A14" s="824">
        <v>7</v>
      </c>
      <c r="B14" s="848"/>
      <c r="C14" s="849"/>
      <c r="D14" s="292" t="s">
        <v>238</v>
      </c>
      <c r="E14" s="992"/>
      <c r="F14" s="992"/>
      <c r="G14" s="991"/>
      <c r="H14" s="842"/>
      <c r="I14" s="843">
        <f>SUM(J14:N14)</f>
        <v>24264</v>
      </c>
      <c r="J14" s="845">
        <f>1500+44</f>
        <v>1544</v>
      </c>
      <c r="K14" s="845">
        <f>500</f>
        <v>500</v>
      </c>
      <c r="L14" s="845">
        <f>9500+4220</f>
        <v>13720</v>
      </c>
      <c r="M14" s="844"/>
      <c r="N14" s="854">
        <v>8500</v>
      </c>
      <c r="P14" s="847"/>
    </row>
    <row r="15" spans="1:16" s="839" customFormat="1" ht="22.5" customHeight="1" x14ac:dyDescent="0.3">
      <c r="A15" s="824">
        <v>8</v>
      </c>
      <c r="B15" s="848"/>
      <c r="C15" s="849">
        <v>4</v>
      </c>
      <c r="D15" s="850" t="s">
        <v>42</v>
      </c>
      <c r="E15" s="992">
        <v>30951</v>
      </c>
      <c r="F15" s="992">
        <v>57448</v>
      </c>
      <c r="G15" s="991">
        <v>77578</v>
      </c>
      <c r="H15" s="842" t="s">
        <v>24</v>
      </c>
      <c r="I15" s="843"/>
      <c r="J15" s="844"/>
      <c r="K15" s="844"/>
      <c r="L15" s="844"/>
      <c r="M15" s="844"/>
      <c r="N15" s="846"/>
      <c r="P15" s="847"/>
    </row>
    <row r="16" spans="1:16" s="847" customFormat="1" ht="18" customHeight="1" x14ac:dyDescent="0.3">
      <c r="A16" s="824">
        <v>9</v>
      </c>
      <c r="B16" s="840"/>
      <c r="C16" s="841"/>
      <c r="D16" s="292" t="s">
        <v>238</v>
      </c>
      <c r="F16" s="1212"/>
      <c r="H16" s="842"/>
      <c r="I16" s="843">
        <f>SUM(J16:N16)</f>
        <v>37921</v>
      </c>
      <c r="J16" s="845">
        <f>1180+600</f>
        <v>1780</v>
      </c>
      <c r="K16" s="845">
        <f>501+65</f>
        <v>566</v>
      </c>
      <c r="L16" s="845">
        <v>35575</v>
      </c>
      <c r="M16" s="844"/>
      <c r="N16" s="846"/>
    </row>
    <row r="17" spans="1:16" s="839" customFormat="1" ht="22.5" customHeight="1" x14ac:dyDescent="0.3">
      <c r="A17" s="824">
        <v>10</v>
      </c>
      <c r="B17" s="848"/>
      <c r="C17" s="849">
        <v>5</v>
      </c>
      <c r="D17" s="850" t="s">
        <v>12</v>
      </c>
      <c r="E17" s="992">
        <v>29901</v>
      </c>
      <c r="F17" s="992">
        <v>32128</v>
      </c>
      <c r="G17" s="991">
        <v>33082</v>
      </c>
      <c r="H17" s="842" t="s">
        <v>24</v>
      </c>
      <c r="I17" s="855"/>
      <c r="J17" s="856"/>
      <c r="K17" s="856"/>
      <c r="L17" s="856"/>
      <c r="M17" s="856"/>
      <c r="N17" s="857"/>
      <c r="O17" s="847"/>
      <c r="P17" s="847"/>
    </row>
    <row r="18" spans="1:16" s="863" customFormat="1" ht="18" customHeight="1" x14ac:dyDescent="0.3">
      <c r="A18" s="824">
        <v>11</v>
      </c>
      <c r="B18" s="860"/>
      <c r="C18" s="861"/>
      <c r="D18" s="292" t="s">
        <v>238</v>
      </c>
      <c r="E18" s="1142"/>
      <c r="F18" s="1142"/>
      <c r="G18" s="1213"/>
      <c r="H18" s="862"/>
      <c r="I18" s="843">
        <f>SUM(J18:N18)</f>
        <v>32843</v>
      </c>
      <c r="J18" s="845">
        <f>12704+1311</f>
        <v>14015</v>
      </c>
      <c r="K18" s="845">
        <f>2483+341</f>
        <v>2824</v>
      </c>
      <c r="L18" s="845">
        <f>14463+1191</f>
        <v>15654</v>
      </c>
      <c r="M18" s="845"/>
      <c r="N18" s="854">
        <v>350</v>
      </c>
    </row>
    <row r="19" spans="1:16" s="863" customFormat="1" ht="22.5" customHeight="1" x14ac:dyDescent="0.3">
      <c r="A19" s="824">
        <v>12</v>
      </c>
      <c r="B19" s="860"/>
      <c r="C19" s="849">
        <v>6</v>
      </c>
      <c r="D19" s="850" t="s">
        <v>356</v>
      </c>
      <c r="E19" s="992">
        <v>9365</v>
      </c>
      <c r="F19" s="992">
        <v>43775</v>
      </c>
      <c r="G19" s="992">
        <v>43775</v>
      </c>
      <c r="H19" s="842" t="s">
        <v>24</v>
      </c>
      <c r="I19" s="843"/>
      <c r="J19" s="845"/>
      <c r="K19" s="845"/>
      <c r="L19" s="845"/>
      <c r="M19" s="845"/>
      <c r="N19" s="854"/>
    </row>
    <row r="20" spans="1:16" s="863" customFormat="1" ht="18" customHeight="1" x14ac:dyDescent="0.3">
      <c r="A20" s="824">
        <v>13</v>
      </c>
      <c r="B20" s="860"/>
      <c r="C20" s="849"/>
      <c r="D20" s="292" t="s">
        <v>238</v>
      </c>
      <c r="E20" s="992"/>
      <c r="F20" s="992"/>
      <c r="G20" s="991"/>
      <c r="H20" s="862"/>
      <c r="I20" s="843">
        <f>SUM(J20:N20)</f>
        <v>52071</v>
      </c>
      <c r="J20" s="845"/>
      <c r="K20" s="845"/>
      <c r="L20" s="845">
        <f>40000+12071</f>
        <v>52071</v>
      </c>
      <c r="M20" s="845"/>
      <c r="N20" s="854"/>
    </row>
    <row r="21" spans="1:16" s="839" customFormat="1" ht="22.5" customHeight="1" x14ac:dyDescent="0.3">
      <c r="A21" s="824">
        <v>14</v>
      </c>
      <c r="B21" s="848"/>
      <c r="C21" s="849">
        <v>7</v>
      </c>
      <c r="D21" s="850" t="s">
        <v>10</v>
      </c>
      <c r="E21" s="992">
        <f>SUM(E23,E25,E27,E29,E31)+E33+E35+E37+E39+E41+E43+E45+E47</f>
        <v>195000</v>
      </c>
      <c r="F21" s="992">
        <f>SUM(F23,F25,F27,F29,F31)+F33+F35+F37+F39+F41+F43+F45+F47</f>
        <v>276000</v>
      </c>
      <c r="G21" s="992">
        <f t="shared" ref="G21" si="0">SUM(G23,G25,G27,G29,G31)+G33+G35+G37+G39+G41+G43+G45+G47</f>
        <v>316150</v>
      </c>
      <c r="H21" s="842" t="s">
        <v>24</v>
      </c>
      <c r="I21" s="855"/>
      <c r="J21" s="856"/>
      <c r="K21" s="856"/>
      <c r="L21" s="856"/>
      <c r="M21" s="856"/>
      <c r="N21" s="857"/>
      <c r="O21" s="847"/>
      <c r="P21" s="847"/>
    </row>
    <row r="22" spans="1:16" s="847" customFormat="1" ht="18" customHeight="1" x14ac:dyDescent="0.3">
      <c r="A22" s="824">
        <v>15</v>
      </c>
      <c r="B22" s="840"/>
      <c r="C22" s="841"/>
      <c r="D22" s="292" t="s">
        <v>238</v>
      </c>
      <c r="E22" s="992"/>
      <c r="F22" s="992"/>
      <c r="G22" s="991"/>
      <c r="H22" s="842"/>
      <c r="I22" s="843">
        <f>SUM(J22:N22)</f>
        <v>283500</v>
      </c>
      <c r="J22" s="845">
        <f>SUM(J26,J34,)+J24+J28+J30+J32+J42+J44+J46+J38+J40</f>
        <v>0</v>
      </c>
      <c r="K22" s="845">
        <f t="shared" ref="K22:M22" si="1">SUM(K26,K34,)+K24+K28+K30+K32+K42+K44+K46+K38+K40</f>
        <v>0</v>
      </c>
      <c r="L22" s="845">
        <f t="shared" si="1"/>
        <v>0</v>
      </c>
      <c r="M22" s="845">
        <f t="shared" si="1"/>
        <v>0</v>
      </c>
      <c r="N22" s="854">
        <f>SUM(N26,N34,)+N24+N28+N30+N32+N42+N44+N46+N38+N40+N36+N48</f>
        <v>283500</v>
      </c>
    </row>
    <row r="23" spans="1:16" s="870" customFormat="1" ht="18" customHeight="1" x14ac:dyDescent="0.3">
      <c r="A23" s="824">
        <v>16</v>
      </c>
      <c r="B23" s="864"/>
      <c r="C23" s="865"/>
      <c r="D23" s="164" t="s">
        <v>437</v>
      </c>
      <c r="E23" s="992">
        <v>40000</v>
      </c>
      <c r="F23" s="992">
        <v>30000</v>
      </c>
      <c r="G23" s="991">
        <v>30000</v>
      </c>
      <c r="H23" s="866"/>
      <c r="I23" s="867"/>
      <c r="J23" s="868"/>
      <c r="K23" s="868"/>
      <c r="L23" s="868"/>
      <c r="M23" s="868"/>
      <c r="N23" s="869"/>
      <c r="P23" s="847"/>
    </row>
    <row r="24" spans="1:16" s="870" customFormat="1" ht="18" customHeight="1" x14ac:dyDescent="0.3">
      <c r="A24" s="824">
        <v>17</v>
      </c>
      <c r="B24" s="864"/>
      <c r="C24" s="865"/>
      <c r="D24" s="322" t="s">
        <v>238</v>
      </c>
      <c r="E24" s="992"/>
      <c r="F24" s="992"/>
      <c r="G24" s="991"/>
      <c r="H24" s="866"/>
      <c r="I24" s="871">
        <f>SUM(J24:N24)</f>
        <v>30000</v>
      </c>
      <c r="J24" s="868"/>
      <c r="K24" s="868"/>
      <c r="L24" s="868"/>
      <c r="M24" s="868"/>
      <c r="N24" s="869">
        <v>30000</v>
      </c>
      <c r="P24" s="847"/>
    </row>
    <row r="25" spans="1:16" s="870" customFormat="1" ht="18" customHeight="1" x14ac:dyDescent="0.3">
      <c r="A25" s="824">
        <v>18</v>
      </c>
      <c r="B25" s="864"/>
      <c r="C25" s="865"/>
      <c r="D25" s="164" t="s">
        <v>43</v>
      </c>
      <c r="E25" s="992"/>
      <c r="F25" s="992">
        <v>50000</v>
      </c>
      <c r="G25" s="991">
        <v>63650</v>
      </c>
      <c r="H25" s="866"/>
      <c r="I25" s="872"/>
      <c r="J25" s="873"/>
      <c r="K25" s="873"/>
      <c r="L25" s="873"/>
      <c r="M25" s="873"/>
      <c r="N25" s="874"/>
      <c r="P25" s="847"/>
    </row>
    <row r="26" spans="1:16" s="870" customFormat="1" ht="18" customHeight="1" x14ac:dyDescent="0.3">
      <c r="A26" s="824">
        <v>19</v>
      </c>
      <c r="B26" s="864"/>
      <c r="C26" s="841"/>
      <c r="D26" s="322" t="s">
        <v>238</v>
      </c>
      <c r="E26" s="992"/>
      <c r="F26" s="992"/>
      <c r="G26" s="991"/>
      <c r="H26" s="866"/>
      <c r="I26" s="871">
        <f>SUM(J26:N26)</f>
        <v>50000</v>
      </c>
      <c r="J26" s="868"/>
      <c r="K26" s="868"/>
      <c r="L26" s="868"/>
      <c r="M26" s="868"/>
      <c r="N26" s="869">
        <v>50000</v>
      </c>
      <c r="P26" s="847"/>
    </row>
    <row r="27" spans="1:16" s="870" customFormat="1" ht="18" customHeight="1" x14ac:dyDescent="0.3">
      <c r="A27" s="824">
        <v>20</v>
      </c>
      <c r="B27" s="864"/>
      <c r="C27" s="865"/>
      <c r="D27" s="164" t="s">
        <v>587</v>
      </c>
      <c r="E27" s="992">
        <v>20000</v>
      </c>
      <c r="F27" s="992">
        <v>20000</v>
      </c>
      <c r="G27" s="991">
        <v>20000</v>
      </c>
      <c r="H27" s="866"/>
      <c r="I27" s="872"/>
      <c r="J27" s="873"/>
      <c r="K27" s="873"/>
      <c r="L27" s="873"/>
      <c r="M27" s="873"/>
      <c r="N27" s="874"/>
      <c r="P27" s="847"/>
    </row>
    <row r="28" spans="1:16" s="870" customFormat="1" ht="18" customHeight="1" x14ac:dyDescent="0.3">
      <c r="A28" s="824">
        <v>21</v>
      </c>
      <c r="B28" s="864"/>
      <c r="C28" s="865"/>
      <c r="D28" s="322" t="s">
        <v>238</v>
      </c>
      <c r="E28" s="992"/>
      <c r="F28" s="992"/>
      <c r="G28" s="991"/>
      <c r="H28" s="866"/>
      <c r="I28" s="871">
        <f>SUM(J28:N28)</f>
        <v>20000</v>
      </c>
      <c r="J28" s="873"/>
      <c r="K28" s="873"/>
      <c r="L28" s="873"/>
      <c r="M28" s="873"/>
      <c r="N28" s="874">
        <v>20000</v>
      </c>
      <c r="P28" s="847"/>
    </row>
    <row r="29" spans="1:16" s="870" customFormat="1" ht="18" customHeight="1" x14ac:dyDescent="0.3">
      <c r="A29" s="824">
        <v>22</v>
      </c>
      <c r="B29" s="864"/>
      <c r="C29" s="865"/>
      <c r="D29" s="164" t="s">
        <v>44</v>
      </c>
      <c r="E29" s="992">
        <v>65000</v>
      </c>
      <c r="F29" s="992">
        <v>65000</v>
      </c>
      <c r="G29" s="991">
        <v>74000</v>
      </c>
      <c r="H29" s="866"/>
      <c r="I29" s="872"/>
      <c r="J29" s="873"/>
      <c r="K29" s="873"/>
      <c r="L29" s="873"/>
      <c r="M29" s="873"/>
      <c r="N29" s="874"/>
      <c r="P29" s="847"/>
    </row>
    <row r="30" spans="1:16" s="870" customFormat="1" ht="18" customHeight="1" x14ac:dyDescent="0.3">
      <c r="A30" s="824">
        <v>23</v>
      </c>
      <c r="B30" s="864"/>
      <c r="C30" s="865"/>
      <c r="D30" s="322" t="s">
        <v>238</v>
      </c>
      <c r="E30" s="992"/>
      <c r="F30" s="992"/>
      <c r="G30" s="991"/>
      <c r="H30" s="866"/>
      <c r="I30" s="871">
        <f>SUM(J30:N30)</f>
        <v>65000</v>
      </c>
      <c r="J30" s="873"/>
      <c r="K30" s="873"/>
      <c r="L30" s="873"/>
      <c r="M30" s="873"/>
      <c r="N30" s="874">
        <v>65000</v>
      </c>
      <c r="P30" s="847"/>
    </row>
    <row r="31" spans="1:16" s="870" customFormat="1" ht="18" customHeight="1" x14ac:dyDescent="0.3">
      <c r="A31" s="824">
        <v>24</v>
      </c>
      <c r="B31" s="864"/>
      <c r="C31" s="841"/>
      <c r="D31" s="164" t="s">
        <v>586</v>
      </c>
      <c r="E31" s="992">
        <v>40000</v>
      </c>
      <c r="F31" s="992">
        <v>20000</v>
      </c>
      <c r="G31" s="991">
        <v>50000</v>
      </c>
      <c r="H31" s="866"/>
      <c r="I31" s="872"/>
      <c r="J31" s="873"/>
      <c r="K31" s="873"/>
      <c r="L31" s="873"/>
      <c r="M31" s="873"/>
      <c r="N31" s="874"/>
    </row>
    <row r="32" spans="1:16" s="870" customFormat="1" ht="18" customHeight="1" x14ac:dyDescent="0.3">
      <c r="A32" s="824">
        <v>25</v>
      </c>
      <c r="B32" s="864"/>
      <c r="C32" s="841"/>
      <c r="D32" s="322" t="s">
        <v>238</v>
      </c>
      <c r="E32" s="992"/>
      <c r="F32" s="992"/>
      <c r="G32" s="991"/>
      <c r="H32" s="866"/>
      <c r="I32" s="871">
        <f>SUM(J32:N32)</f>
        <v>20000</v>
      </c>
      <c r="J32" s="873"/>
      <c r="K32" s="873"/>
      <c r="L32" s="873"/>
      <c r="M32" s="873"/>
      <c r="N32" s="874">
        <v>20000</v>
      </c>
    </row>
    <row r="33" spans="1:14" s="870" customFormat="1" ht="18" customHeight="1" x14ac:dyDescent="0.3">
      <c r="A33" s="824">
        <v>26</v>
      </c>
      <c r="B33" s="864"/>
      <c r="C33" s="841"/>
      <c r="D33" s="164" t="s">
        <v>352</v>
      </c>
      <c r="E33" s="992">
        <v>20000</v>
      </c>
      <c r="F33" s="992">
        <v>10000</v>
      </c>
      <c r="G33" s="991">
        <v>10000</v>
      </c>
      <c r="H33" s="866"/>
      <c r="I33" s="867"/>
      <c r="J33" s="868"/>
      <c r="K33" s="868"/>
      <c r="L33" s="868"/>
      <c r="M33" s="868"/>
      <c r="N33" s="869"/>
    </row>
    <row r="34" spans="1:14" s="870" customFormat="1" ht="18" customHeight="1" x14ac:dyDescent="0.3">
      <c r="A34" s="824">
        <v>27</v>
      </c>
      <c r="B34" s="864"/>
      <c r="C34" s="841"/>
      <c r="D34" s="322" t="s">
        <v>238</v>
      </c>
      <c r="E34" s="992"/>
      <c r="F34" s="992"/>
      <c r="G34" s="991"/>
      <c r="H34" s="866"/>
      <c r="I34" s="871">
        <f>SUM(J34:N34)</f>
        <v>10000</v>
      </c>
      <c r="J34" s="868"/>
      <c r="K34" s="868"/>
      <c r="L34" s="868"/>
      <c r="M34" s="868"/>
      <c r="N34" s="869">
        <v>10000</v>
      </c>
    </row>
    <row r="35" spans="1:14" s="870" customFormat="1" ht="18" customHeight="1" x14ac:dyDescent="0.3">
      <c r="A35" s="824">
        <v>28</v>
      </c>
      <c r="B35" s="864"/>
      <c r="C35" s="841"/>
      <c r="D35" s="164" t="s">
        <v>353</v>
      </c>
      <c r="E35" s="992">
        <v>10000</v>
      </c>
      <c r="F35" s="992"/>
      <c r="G35" s="991">
        <v>10000</v>
      </c>
      <c r="H35" s="866"/>
      <c r="I35" s="867"/>
      <c r="J35" s="868"/>
      <c r="K35" s="868"/>
      <c r="L35" s="868"/>
      <c r="M35" s="868"/>
      <c r="N35" s="869"/>
    </row>
    <row r="36" spans="1:14" s="870" customFormat="1" ht="18" customHeight="1" x14ac:dyDescent="0.3">
      <c r="A36" s="824">
        <v>29</v>
      </c>
      <c r="B36" s="864"/>
      <c r="C36" s="841"/>
      <c r="D36" s="322" t="s">
        <v>238</v>
      </c>
      <c r="E36" s="992"/>
      <c r="F36" s="992"/>
      <c r="G36" s="991"/>
      <c r="H36" s="866"/>
      <c r="I36" s="871">
        <f>SUM(J36:N36)</f>
        <v>10000</v>
      </c>
      <c r="J36" s="868"/>
      <c r="K36" s="868"/>
      <c r="L36" s="868"/>
      <c r="M36" s="868"/>
      <c r="N36" s="869">
        <v>10000</v>
      </c>
    </row>
    <row r="37" spans="1:14" s="870" customFormat="1" ht="18" customHeight="1" x14ac:dyDescent="0.3">
      <c r="A37" s="824">
        <v>30</v>
      </c>
      <c r="B37" s="864"/>
      <c r="C37" s="841"/>
      <c r="D37" s="164" t="s">
        <v>513</v>
      </c>
      <c r="E37" s="992"/>
      <c r="F37" s="992">
        <v>50000</v>
      </c>
      <c r="G37" s="991">
        <v>50000</v>
      </c>
      <c r="H37" s="866"/>
      <c r="I37" s="871"/>
      <c r="J37" s="868"/>
      <c r="K37" s="868"/>
      <c r="L37" s="868"/>
      <c r="M37" s="868"/>
      <c r="N37" s="869"/>
    </row>
    <row r="38" spans="1:14" s="870" customFormat="1" ht="18" customHeight="1" x14ac:dyDescent="0.3">
      <c r="A38" s="824">
        <v>31</v>
      </c>
      <c r="B38" s="864"/>
      <c r="C38" s="841"/>
      <c r="D38" s="322" t="s">
        <v>238</v>
      </c>
      <c r="E38" s="992"/>
      <c r="F38" s="992"/>
      <c r="G38" s="991"/>
      <c r="H38" s="866"/>
      <c r="I38" s="871">
        <f>SUM(J38:N38)</f>
        <v>50000</v>
      </c>
      <c r="J38" s="868"/>
      <c r="K38" s="868"/>
      <c r="L38" s="868"/>
      <c r="M38" s="868"/>
      <c r="N38" s="869">
        <v>50000</v>
      </c>
    </row>
    <row r="39" spans="1:14" s="870" customFormat="1" ht="18" customHeight="1" x14ac:dyDescent="0.3">
      <c r="A39" s="824">
        <v>32</v>
      </c>
      <c r="B39" s="864"/>
      <c r="C39" s="841"/>
      <c r="D39" s="164" t="s">
        <v>514</v>
      </c>
      <c r="E39" s="992"/>
      <c r="F39" s="992">
        <v>5000</v>
      </c>
      <c r="G39" s="991">
        <v>5000</v>
      </c>
      <c r="H39" s="866"/>
      <c r="I39" s="871"/>
      <c r="J39" s="868"/>
      <c r="K39" s="868"/>
      <c r="L39" s="868"/>
      <c r="M39" s="868"/>
      <c r="N39" s="869"/>
    </row>
    <row r="40" spans="1:14" s="870" customFormat="1" ht="18" customHeight="1" x14ac:dyDescent="0.3">
      <c r="A40" s="824">
        <v>33</v>
      </c>
      <c r="B40" s="864"/>
      <c r="C40" s="841"/>
      <c r="D40" s="322" t="s">
        <v>238</v>
      </c>
      <c r="E40" s="992"/>
      <c r="F40" s="992"/>
      <c r="G40" s="991"/>
      <c r="H40" s="866"/>
      <c r="I40" s="871">
        <f>SUM(J40:N40)</f>
        <v>5000</v>
      </c>
      <c r="J40" s="868"/>
      <c r="K40" s="868"/>
      <c r="L40" s="868"/>
      <c r="M40" s="868"/>
      <c r="N40" s="869">
        <v>5000</v>
      </c>
    </row>
    <row r="41" spans="1:14" s="870" customFormat="1" ht="18" customHeight="1" x14ac:dyDescent="0.3">
      <c r="A41" s="824">
        <v>34</v>
      </c>
      <c r="B41" s="864"/>
      <c r="C41" s="841"/>
      <c r="D41" s="164" t="s">
        <v>585</v>
      </c>
      <c r="E41" s="992"/>
      <c r="F41" s="992">
        <v>10000</v>
      </c>
      <c r="G41" s="991"/>
      <c r="H41" s="866"/>
      <c r="I41" s="871"/>
      <c r="J41" s="868"/>
      <c r="K41" s="868"/>
      <c r="L41" s="868"/>
      <c r="M41" s="868"/>
      <c r="N41" s="869"/>
    </row>
    <row r="42" spans="1:14" s="870" customFormat="1" ht="18" customHeight="1" x14ac:dyDescent="0.3">
      <c r="A42" s="824">
        <v>35</v>
      </c>
      <c r="B42" s="864"/>
      <c r="C42" s="841"/>
      <c r="D42" s="322" t="s">
        <v>238</v>
      </c>
      <c r="E42" s="992"/>
      <c r="F42" s="992"/>
      <c r="G42" s="991"/>
      <c r="H42" s="866"/>
      <c r="I42" s="871">
        <f>SUM(J42:N42)</f>
        <v>10000</v>
      </c>
      <c r="J42" s="868"/>
      <c r="K42" s="868"/>
      <c r="L42" s="868"/>
      <c r="M42" s="868"/>
      <c r="N42" s="869">
        <v>10000</v>
      </c>
    </row>
    <row r="43" spans="1:14" s="870" customFormat="1" ht="18" customHeight="1" x14ac:dyDescent="0.3">
      <c r="A43" s="824">
        <v>36</v>
      </c>
      <c r="B43" s="864"/>
      <c r="C43" s="841"/>
      <c r="D43" s="164" t="s">
        <v>584</v>
      </c>
      <c r="E43" s="992"/>
      <c r="F43" s="992">
        <v>10000</v>
      </c>
      <c r="G43" s="991"/>
      <c r="H43" s="866"/>
      <c r="I43" s="871"/>
      <c r="J43" s="868"/>
      <c r="K43" s="868"/>
      <c r="L43" s="868"/>
      <c r="M43" s="868"/>
      <c r="N43" s="869"/>
    </row>
    <row r="44" spans="1:14" s="870" customFormat="1" ht="18" customHeight="1" x14ac:dyDescent="0.3">
      <c r="A44" s="824">
        <v>37</v>
      </c>
      <c r="B44" s="864"/>
      <c r="C44" s="841"/>
      <c r="D44" s="322" t="s">
        <v>238</v>
      </c>
      <c r="E44" s="992"/>
      <c r="F44" s="992"/>
      <c r="G44" s="991"/>
      <c r="H44" s="866"/>
      <c r="I44" s="871">
        <f>SUM(J44:N44)</f>
        <v>10000</v>
      </c>
      <c r="J44" s="868"/>
      <c r="K44" s="868"/>
      <c r="L44" s="868"/>
      <c r="M44" s="868"/>
      <c r="N44" s="869">
        <v>10000</v>
      </c>
    </row>
    <row r="45" spans="1:14" s="870" customFormat="1" ht="18" customHeight="1" x14ac:dyDescent="0.3">
      <c r="A45" s="824">
        <v>38</v>
      </c>
      <c r="B45" s="864"/>
      <c r="C45" s="841"/>
      <c r="D45" s="164" t="s">
        <v>583</v>
      </c>
      <c r="E45" s="992"/>
      <c r="F45" s="992">
        <v>6000</v>
      </c>
      <c r="G45" s="991"/>
      <c r="H45" s="866"/>
      <c r="I45" s="871"/>
      <c r="J45" s="868"/>
      <c r="K45" s="868"/>
      <c r="L45" s="868"/>
      <c r="M45" s="868"/>
      <c r="N45" s="869"/>
    </row>
    <row r="46" spans="1:14" s="870" customFormat="1" ht="18" customHeight="1" x14ac:dyDescent="0.3">
      <c r="A46" s="824">
        <v>39</v>
      </c>
      <c r="B46" s="864"/>
      <c r="C46" s="841"/>
      <c r="D46" s="322" t="s">
        <v>238</v>
      </c>
      <c r="E46" s="992"/>
      <c r="F46" s="992"/>
      <c r="G46" s="991"/>
      <c r="H46" s="866"/>
      <c r="I46" s="871">
        <f>SUM(J46:N46)</f>
        <v>0</v>
      </c>
      <c r="J46" s="868"/>
      <c r="K46" s="868"/>
      <c r="L46" s="868"/>
      <c r="M46" s="868"/>
      <c r="N46" s="869"/>
    </row>
    <row r="47" spans="1:14" s="870" customFormat="1" ht="18" customHeight="1" x14ac:dyDescent="0.3">
      <c r="A47" s="824">
        <v>40</v>
      </c>
      <c r="B47" s="864"/>
      <c r="C47" s="841"/>
      <c r="D47" s="164" t="s">
        <v>582</v>
      </c>
      <c r="E47" s="992"/>
      <c r="F47" s="992"/>
      <c r="G47" s="991">
        <v>3500</v>
      </c>
      <c r="H47" s="866"/>
      <c r="I47" s="871"/>
      <c r="J47" s="868"/>
      <c r="K47" s="868"/>
      <c r="L47" s="868"/>
      <c r="M47" s="868"/>
      <c r="N47" s="869"/>
    </row>
    <row r="48" spans="1:14" s="870" customFormat="1" ht="18" customHeight="1" x14ac:dyDescent="0.3">
      <c r="A48" s="824">
        <v>41</v>
      </c>
      <c r="B48" s="864"/>
      <c r="C48" s="841"/>
      <c r="D48" s="322" t="s">
        <v>238</v>
      </c>
      <c r="E48" s="992"/>
      <c r="F48" s="992"/>
      <c r="G48" s="991"/>
      <c r="H48" s="866"/>
      <c r="I48" s="871">
        <f>SUM(J48:N48)</f>
        <v>3500</v>
      </c>
      <c r="J48" s="868"/>
      <c r="K48" s="868"/>
      <c r="L48" s="868"/>
      <c r="M48" s="868"/>
      <c r="N48" s="869">
        <v>3500</v>
      </c>
    </row>
    <row r="49" spans="1:16" s="870" customFormat="1" ht="22.5" customHeight="1" x14ac:dyDescent="0.3">
      <c r="A49" s="824">
        <v>42</v>
      </c>
      <c r="B49" s="864"/>
      <c r="C49" s="849">
        <v>8</v>
      </c>
      <c r="D49" s="850" t="s">
        <v>444</v>
      </c>
      <c r="E49" s="992">
        <v>9300</v>
      </c>
      <c r="F49" s="992">
        <v>5000</v>
      </c>
      <c r="G49" s="991">
        <v>5000</v>
      </c>
      <c r="H49" s="842" t="s">
        <v>24</v>
      </c>
      <c r="I49" s="871"/>
      <c r="J49" s="868"/>
      <c r="K49" s="868"/>
      <c r="L49" s="868"/>
      <c r="M49" s="868"/>
      <c r="N49" s="869"/>
    </row>
    <row r="50" spans="1:16" s="870" customFormat="1" ht="18" customHeight="1" x14ac:dyDescent="0.3">
      <c r="A50" s="824">
        <v>43</v>
      </c>
      <c r="B50" s="864"/>
      <c r="C50" s="841"/>
      <c r="D50" s="292" t="s">
        <v>238</v>
      </c>
      <c r="E50" s="992"/>
      <c r="F50" s="992"/>
      <c r="G50" s="991"/>
      <c r="H50" s="866"/>
      <c r="I50" s="843">
        <f>SUM(J50:N50)</f>
        <v>5000</v>
      </c>
      <c r="J50" s="868"/>
      <c r="K50" s="868"/>
      <c r="L50" s="868"/>
      <c r="M50" s="868"/>
      <c r="N50" s="854">
        <v>5000</v>
      </c>
    </row>
    <row r="51" spans="1:16" s="839" customFormat="1" ht="22.5" customHeight="1" x14ac:dyDescent="0.3">
      <c r="A51" s="824">
        <v>44</v>
      </c>
      <c r="B51" s="848"/>
      <c r="C51" s="849">
        <v>9</v>
      </c>
      <c r="D51" s="850" t="s">
        <v>218</v>
      </c>
      <c r="E51" s="992">
        <v>24165</v>
      </c>
      <c r="F51" s="992">
        <v>21088</v>
      </c>
      <c r="G51" s="991">
        <v>49088</v>
      </c>
      <c r="H51" s="842" t="s">
        <v>24</v>
      </c>
      <c r="I51" s="843"/>
      <c r="J51" s="844"/>
      <c r="K51" s="844"/>
      <c r="L51" s="844"/>
      <c r="M51" s="844"/>
      <c r="N51" s="846"/>
      <c r="P51" s="847"/>
    </row>
    <row r="52" spans="1:16" s="847" customFormat="1" ht="18" customHeight="1" x14ac:dyDescent="0.3">
      <c r="A52" s="824">
        <v>45</v>
      </c>
      <c r="B52" s="840"/>
      <c r="C52" s="841"/>
      <c r="D52" s="292" t="s">
        <v>238</v>
      </c>
      <c r="F52" s="1212"/>
      <c r="H52" s="842"/>
      <c r="I52" s="843">
        <f>SUM(J52:N52)</f>
        <v>16300</v>
      </c>
      <c r="J52" s="845"/>
      <c r="K52" s="845"/>
      <c r="L52" s="845">
        <f>10000+6300</f>
        <v>16300</v>
      </c>
      <c r="M52" s="844"/>
      <c r="N52" s="846"/>
    </row>
    <row r="53" spans="1:16" s="839" customFormat="1" ht="22.5" customHeight="1" x14ac:dyDescent="0.3">
      <c r="A53" s="824">
        <v>46</v>
      </c>
      <c r="B53" s="848"/>
      <c r="C53" s="849">
        <v>10</v>
      </c>
      <c r="D53" s="850" t="s">
        <v>45</v>
      </c>
      <c r="E53" s="992">
        <v>9404</v>
      </c>
      <c r="F53" s="992">
        <v>11011</v>
      </c>
      <c r="G53" s="991">
        <v>12871</v>
      </c>
      <c r="H53" s="842" t="s">
        <v>24</v>
      </c>
      <c r="I53" s="843"/>
      <c r="J53" s="844"/>
      <c r="K53" s="844"/>
      <c r="L53" s="844"/>
      <c r="M53" s="844"/>
      <c r="N53" s="846"/>
      <c r="P53" s="847"/>
    </row>
    <row r="54" spans="1:16" s="847" customFormat="1" ht="18" customHeight="1" x14ac:dyDescent="0.3">
      <c r="A54" s="824">
        <v>47</v>
      </c>
      <c r="B54" s="840"/>
      <c r="C54" s="841"/>
      <c r="D54" s="292" t="s">
        <v>238</v>
      </c>
      <c r="E54" s="992"/>
      <c r="F54" s="992"/>
      <c r="G54" s="991"/>
      <c r="H54" s="842"/>
      <c r="I54" s="843">
        <f>SUM(J54:N54)</f>
        <v>10210</v>
      </c>
      <c r="J54" s="845">
        <v>3006</v>
      </c>
      <c r="K54" s="845">
        <f>1242+291</f>
        <v>1533</v>
      </c>
      <c r="L54" s="845">
        <f>3752+1919</f>
        <v>5671</v>
      </c>
      <c r="M54" s="844"/>
      <c r="N54" s="846"/>
    </row>
    <row r="55" spans="1:16" s="839" customFormat="1" ht="22.5" customHeight="1" x14ac:dyDescent="0.3">
      <c r="A55" s="824">
        <v>48</v>
      </c>
      <c r="B55" s="848"/>
      <c r="C55" s="849">
        <v>11</v>
      </c>
      <c r="D55" s="850" t="s">
        <v>46</v>
      </c>
      <c r="E55" s="992">
        <v>468</v>
      </c>
      <c r="F55" s="992">
        <v>6150</v>
      </c>
      <c r="G55" s="991">
        <v>926</v>
      </c>
      <c r="H55" s="835" t="s">
        <v>24</v>
      </c>
      <c r="I55" s="843"/>
      <c r="J55" s="844"/>
      <c r="K55" s="844"/>
      <c r="L55" s="844"/>
      <c r="M55" s="844"/>
      <c r="N55" s="846"/>
      <c r="P55" s="847"/>
    </row>
    <row r="56" spans="1:16" s="839" customFormat="1" ht="18" customHeight="1" x14ac:dyDescent="0.3">
      <c r="A56" s="824">
        <v>49</v>
      </c>
      <c r="B56" s="848"/>
      <c r="C56" s="849"/>
      <c r="D56" s="292" t="s">
        <v>238</v>
      </c>
      <c r="E56" s="992"/>
      <c r="F56" s="992"/>
      <c r="G56" s="991"/>
      <c r="H56" s="835"/>
      <c r="I56" s="843">
        <f>SUM(J56:N56)</f>
        <v>642</v>
      </c>
      <c r="J56" s="844"/>
      <c r="K56" s="844"/>
      <c r="L56" s="845">
        <v>642</v>
      </c>
      <c r="M56" s="844"/>
      <c r="N56" s="854"/>
      <c r="P56" s="847"/>
    </row>
    <row r="57" spans="1:16" s="839" customFormat="1" ht="22.5" customHeight="1" x14ac:dyDescent="0.3">
      <c r="A57" s="824">
        <v>50</v>
      </c>
      <c r="B57" s="848"/>
      <c r="C57" s="849">
        <v>13</v>
      </c>
      <c r="D57" s="850" t="s">
        <v>47</v>
      </c>
      <c r="E57" s="992">
        <f>SUM(E59,E61,E65,E66)+E63+E64+E67+E68+E69+E70+E71+E75+E76</f>
        <v>12531</v>
      </c>
      <c r="F57" s="992">
        <f>SUM(F59,F61,F65,F66)+F63+F64+F67+F68+F69+F70+F71+F75+F76</f>
        <v>12754</v>
      </c>
      <c r="G57" s="992">
        <f>SUM(G59,G61,G65,G66)+G63+G64+G67+G68+G69+G70+G71+G75+G76+G73+G74</f>
        <v>19830</v>
      </c>
      <c r="H57" s="842" t="s">
        <v>24</v>
      </c>
      <c r="I57" s="843"/>
      <c r="J57" s="844"/>
      <c r="K57" s="844"/>
      <c r="L57" s="844"/>
      <c r="M57" s="844"/>
      <c r="N57" s="846"/>
      <c r="P57" s="847"/>
    </row>
    <row r="58" spans="1:16" s="839" customFormat="1" ht="18" customHeight="1" x14ac:dyDescent="0.3">
      <c r="A58" s="824">
        <v>51</v>
      </c>
      <c r="B58" s="848"/>
      <c r="C58" s="849"/>
      <c r="D58" s="292" t="s">
        <v>238</v>
      </c>
      <c r="E58" s="992"/>
      <c r="F58" s="992"/>
      <c r="G58" s="991"/>
      <c r="H58" s="842"/>
      <c r="I58" s="843">
        <f>SUM(J58:N58)</f>
        <v>11254</v>
      </c>
      <c r="J58" s="845">
        <f>J62+J60+J72</f>
        <v>0</v>
      </c>
      <c r="K58" s="845">
        <f t="shared" ref="K58:N58" si="2">K62+K60+K72</f>
        <v>0</v>
      </c>
      <c r="L58" s="845">
        <f t="shared" si="2"/>
        <v>0</v>
      </c>
      <c r="M58" s="845">
        <f t="shared" si="2"/>
        <v>0</v>
      </c>
      <c r="N58" s="854">
        <f t="shared" si="2"/>
        <v>11254</v>
      </c>
      <c r="P58" s="847"/>
    </row>
    <row r="59" spans="1:16" s="870" customFormat="1" ht="18" customHeight="1" x14ac:dyDescent="0.3">
      <c r="A59" s="824">
        <v>52</v>
      </c>
      <c r="B59" s="864"/>
      <c r="C59" s="841"/>
      <c r="D59" s="875" t="s">
        <v>750</v>
      </c>
      <c r="E59" s="992"/>
      <c r="F59" s="992">
        <v>3054</v>
      </c>
      <c r="G59" s="991"/>
      <c r="H59" s="866"/>
      <c r="I59" s="867"/>
      <c r="J59" s="868"/>
      <c r="K59" s="868"/>
      <c r="L59" s="868"/>
      <c r="M59" s="868"/>
      <c r="N59" s="869"/>
    </row>
    <row r="60" spans="1:16" s="870" customFormat="1" ht="18" customHeight="1" x14ac:dyDescent="0.3">
      <c r="A60" s="824">
        <v>53</v>
      </c>
      <c r="B60" s="864"/>
      <c r="C60" s="841"/>
      <c r="D60" s="876" t="s">
        <v>238</v>
      </c>
      <c r="E60" s="992"/>
      <c r="F60" s="992"/>
      <c r="G60" s="991"/>
      <c r="H60" s="866"/>
      <c r="I60" s="871">
        <f>SUM(J60:N60)</f>
        <v>3054</v>
      </c>
      <c r="J60" s="868"/>
      <c r="K60" s="868"/>
      <c r="L60" s="868"/>
      <c r="M60" s="868"/>
      <c r="N60" s="869">
        <v>3054</v>
      </c>
    </row>
    <row r="61" spans="1:16" s="870" customFormat="1" ht="22.35" customHeight="1" x14ac:dyDescent="0.3">
      <c r="A61" s="824">
        <v>54</v>
      </c>
      <c r="B61" s="864"/>
      <c r="C61" s="841"/>
      <c r="D61" s="1295" t="s">
        <v>749</v>
      </c>
      <c r="E61" s="992">
        <v>4000</v>
      </c>
      <c r="F61" s="992">
        <v>4000</v>
      </c>
      <c r="G61" s="991">
        <v>4000</v>
      </c>
      <c r="H61" s="866"/>
      <c r="I61" s="872"/>
      <c r="J61" s="873"/>
      <c r="K61" s="873"/>
      <c r="L61" s="873"/>
      <c r="M61" s="873"/>
      <c r="N61" s="874"/>
    </row>
    <row r="62" spans="1:16" s="870" customFormat="1" ht="18" customHeight="1" x14ac:dyDescent="0.3">
      <c r="A62" s="824">
        <v>55</v>
      </c>
      <c r="B62" s="864"/>
      <c r="C62" s="841"/>
      <c r="D62" s="876" t="s">
        <v>238</v>
      </c>
      <c r="E62" s="992"/>
      <c r="F62" s="992"/>
      <c r="G62" s="991"/>
      <c r="H62" s="866"/>
      <c r="I62" s="871">
        <f>SUM(J62:N62)</f>
        <v>4000</v>
      </c>
      <c r="J62" s="873"/>
      <c r="K62" s="873"/>
      <c r="L62" s="873"/>
      <c r="M62" s="873"/>
      <c r="N62" s="874">
        <v>4000</v>
      </c>
    </row>
    <row r="63" spans="1:16" s="870" customFormat="1" ht="18" customHeight="1" x14ac:dyDescent="0.3">
      <c r="A63" s="824">
        <v>56</v>
      </c>
      <c r="B63" s="864"/>
      <c r="C63" s="841"/>
      <c r="D63" s="875" t="s">
        <v>490</v>
      </c>
      <c r="E63" s="992">
        <v>1500</v>
      </c>
      <c r="F63" s="992"/>
      <c r="G63" s="991"/>
      <c r="H63" s="866"/>
      <c r="I63" s="871"/>
      <c r="J63" s="873"/>
      <c r="K63" s="873"/>
      <c r="L63" s="873"/>
      <c r="M63" s="873"/>
      <c r="N63" s="874"/>
    </row>
    <row r="64" spans="1:16" s="870" customFormat="1" ht="18" customHeight="1" x14ac:dyDescent="0.3">
      <c r="A64" s="824">
        <v>57</v>
      </c>
      <c r="B64" s="864"/>
      <c r="C64" s="841"/>
      <c r="D64" s="875" t="s">
        <v>479</v>
      </c>
      <c r="E64" s="992">
        <v>2200</v>
      </c>
      <c r="F64" s="992"/>
      <c r="G64" s="991"/>
      <c r="H64" s="866"/>
      <c r="I64" s="871"/>
      <c r="J64" s="873"/>
      <c r="K64" s="873"/>
      <c r="L64" s="873"/>
      <c r="M64" s="873"/>
      <c r="N64" s="874"/>
    </row>
    <row r="65" spans="1:14" s="870" customFormat="1" ht="18" customHeight="1" x14ac:dyDescent="0.3">
      <c r="A65" s="824">
        <v>58</v>
      </c>
      <c r="B65" s="864"/>
      <c r="C65" s="841"/>
      <c r="D65" s="875" t="s">
        <v>342</v>
      </c>
      <c r="E65" s="992"/>
      <c r="F65" s="992"/>
      <c r="G65" s="991"/>
      <c r="H65" s="866"/>
      <c r="I65" s="871"/>
      <c r="J65" s="868"/>
      <c r="K65" s="868"/>
      <c r="L65" s="868"/>
      <c r="M65" s="868"/>
      <c r="N65" s="869"/>
    </row>
    <row r="66" spans="1:14" s="870" customFormat="1" ht="18" customHeight="1" x14ac:dyDescent="0.3">
      <c r="A66" s="824">
        <v>59</v>
      </c>
      <c r="B66" s="864"/>
      <c r="C66" s="841"/>
      <c r="D66" s="875" t="s">
        <v>588</v>
      </c>
      <c r="E66" s="992"/>
      <c r="F66" s="992"/>
      <c r="G66" s="991">
        <v>5000</v>
      </c>
      <c r="H66" s="866"/>
      <c r="I66" s="867"/>
      <c r="J66" s="868"/>
      <c r="K66" s="868"/>
      <c r="L66" s="868"/>
      <c r="M66" s="868"/>
      <c r="N66" s="869"/>
    </row>
    <row r="67" spans="1:14" s="870" customFormat="1" ht="18" customHeight="1" x14ac:dyDescent="0.3">
      <c r="A67" s="824">
        <v>60</v>
      </c>
      <c r="B67" s="864"/>
      <c r="C67" s="841"/>
      <c r="D67" s="875" t="s">
        <v>438</v>
      </c>
      <c r="E67" s="992">
        <v>1500</v>
      </c>
      <c r="F67" s="992"/>
      <c r="G67" s="991"/>
      <c r="H67" s="866"/>
      <c r="I67" s="871"/>
      <c r="J67" s="868"/>
      <c r="K67" s="868"/>
      <c r="L67" s="868"/>
      <c r="M67" s="868"/>
      <c r="N67" s="869"/>
    </row>
    <row r="68" spans="1:14" s="870" customFormat="1" ht="18" customHeight="1" x14ac:dyDescent="0.3">
      <c r="A68" s="824">
        <v>61</v>
      </c>
      <c r="B68" s="864"/>
      <c r="C68" s="841"/>
      <c r="D68" s="875" t="s">
        <v>443</v>
      </c>
      <c r="E68" s="992">
        <v>1400</v>
      </c>
      <c r="F68" s="992">
        <v>1500</v>
      </c>
      <c r="G68" s="991">
        <v>1500</v>
      </c>
      <c r="H68" s="866"/>
      <c r="I68" s="867"/>
      <c r="J68" s="868"/>
      <c r="K68" s="868"/>
      <c r="L68" s="868"/>
      <c r="M68" s="868"/>
      <c r="N68" s="869"/>
    </row>
    <row r="69" spans="1:14" s="870" customFormat="1" ht="18" customHeight="1" x14ac:dyDescent="0.3">
      <c r="A69" s="824">
        <v>62</v>
      </c>
      <c r="B69" s="864"/>
      <c r="C69" s="841"/>
      <c r="D69" s="875" t="s">
        <v>439</v>
      </c>
      <c r="E69" s="992"/>
      <c r="F69" s="992"/>
      <c r="G69" s="991"/>
      <c r="H69" s="866"/>
      <c r="I69" s="867"/>
      <c r="J69" s="868"/>
      <c r="K69" s="868"/>
      <c r="L69" s="868"/>
      <c r="M69" s="868"/>
      <c r="N69" s="869"/>
    </row>
    <row r="70" spans="1:14" s="870" customFormat="1" ht="18" customHeight="1" x14ac:dyDescent="0.3">
      <c r="A70" s="824">
        <v>63</v>
      </c>
      <c r="B70" s="864"/>
      <c r="C70" s="841"/>
      <c r="D70" s="1295" t="s">
        <v>751</v>
      </c>
      <c r="E70" s="1177">
        <v>500</v>
      </c>
      <c r="F70" s="992"/>
      <c r="G70" s="991"/>
      <c r="H70" s="866"/>
      <c r="I70" s="867"/>
      <c r="J70" s="868"/>
      <c r="K70" s="868"/>
      <c r="L70" s="868"/>
      <c r="M70" s="868"/>
      <c r="N70" s="869"/>
    </row>
    <row r="71" spans="1:14" s="870" customFormat="1" ht="18" customHeight="1" x14ac:dyDescent="0.3">
      <c r="A71" s="824">
        <v>64</v>
      </c>
      <c r="B71" s="864"/>
      <c r="C71" s="841"/>
      <c r="D71" s="875" t="s">
        <v>440</v>
      </c>
      <c r="E71" s="992"/>
      <c r="F71" s="992">
        <v>4200</v>
      </c>
      <c r="G71" s="991">
        <v>4200</v>
      </c>
      <c r="H71" s="866"/>
      <c r="I71" s="867"/>
      <c r="J71" s="868"/>
      <c r="K71" s="868"/>
      <c r="L71" s="868"/>
      <c r="M71" s="868"/>
      <c r="N71" s="869"/>
    </row>
    <row r="72" spans="1:14" s="870" customFormat="1" ht="18" customHeight="1" x14ac:dyDescent="0.3">
      <c r="A72" s="824">
        <v>65</v>
      </c>
      <c r="B72" s="864"/>
      <c r="C72" s="841"/>
      <c r="D72" s="876" t="s">
        <v>238</v>
      </c>
      <c r="E72" s="992"/>
      <c r="F72" s="992"/>
      <c r="G72" s="991"/>
      <c r="H72" s="866"/>
      <c r="I72" s="871">
        <f>SUM(J72:N72)</f>
        <v>4200</v>
      </c>
      <c r="J72" s="868"/>
      <c r="K72" s="868"/>
      <c r="L72" s="868"/>
      <c r="M72" s="868"/>
      <c r="N72" s="869">
        <f>3000+1200</f>
        <v>4200</v>
      </c>
    </row>
    <row r="73" spans="1:14" s="870" customFormat="1" ht="18" customHeight="1" x14ac:dyDescent="0.3">
      <c r="A73" s="824">
        <v>66</v>
      </c>
      <c r="B73" s="864"/>
      <c r="C73" s="841"/>
      <c r="D73" s="875" t="s">
        <v>722</v>
      </c>
      <c r="E73" s="992"/>
      <c r="F73" s="992"/>
      <c r="G73" s="991">
        <v>4500</v>
      </c>
      <c r="H73" s="866"/>
      <c r="I73" s="871"/>
      <c r="J73" s="868"/>
      <c r="K73" s="868"/>
      <c r="L73" s="868"/>
      <c r="M73" s="868"/>
      <c r="N73" s="869"/>
    </row>
    <row r="74" spans="1:14" s="870" customFormat="1" ht="18" customHeight="1" x14ac:dyDescent="0.3">
      <c r="A74" s="824">
        <v>67</v>
      </c>
      <c r="B74" s="864"/>
      <c r="C74" s="841"/>
      <c r="D74" s="875" t="s">
        <v>723</v>
      </c>
      <c r="E74" s="992"/>
      <c r="F74" s="992"/>
      <c r="G74" s="991">
        <v>630</v>
      </c>
      <c r="H74" s="866"/>
      <c r="I74" s="871"/>
      <c r="J74" s="868"/>
      <c r="K74" s="868"/>
      <c r="L74" s="868"/>
      <c r="M74" s="868"/>
      <c r="N74" s="869"/>
    </row>
    <row r="75" spans="1:14" s="870" customFormat="1" ht="18" customHeight="1" x14ac:dyDescent="0.3">
      <c r="A75" s="824">
        <v>68</v>
      </c>
      <c r="B75" s="864"/>
      <c r="C75" s="841"/>
      <c r="D75" s="875" t="s">
        <v>441</v>
      </c>
      <c r="E75" s="992">
        <v>990</v>
      </c>
      <c r="F75" s="992"/>
      <c r="G75" s="991"/>
      <c r="H75" s="866"/>
      <c r="I75" s="871"/>
      <c r="J75" s="868"/>
      <c r="K75" s="868"/>
      <c r="L75" s="868"/>
      <c r="M75" s="868"/>
      <c r="N75" s="869"/>
    </row>
    <row r="76" spans="1:14" s="870" customFormat="1" ht="18" customHeight="1" x14ac:dyDescent="0.3">
      <c r="A76" s="824">
        <v>69</v>
      </c>
      <c r="B76" s="864"/>
      <c r="C76" s="841"/>
      <c r="D76" s="875" t="s">
        <v>442</v>
      </c>
      <c r="E76" s="992">
        <v>441</v>
      </c>
      <c r="F76" s="992"/>
      <c r="G76" s="991"/>
      <c r="H76" s="866"/>
      <c r="I76" s="867"/>
      <c r="J76" s="868"/>
      <c r="K76" s="868"/>
      <c r="L76" s="868"/>
      <c r="M76" s="868"/>
      <c r="N76" s="869"/>
    </row>
    <row r="77" spans="1:14" s="870" customFormat="1" ht="22.5" customHeight="1" x14ac:dyDescent="0.3">
      <c r="A77" s="824">
        <v>70</v>
      </c>
      <c r="B77" s="864"/>
      <c r="C77" s="849">
        <v>14</v>
      </c>
      <c r="D77" s="850" t="s">
        <v>330</v>
      </c>
      <c r="E77" s="992">
        <v>1250</v>
      </c>
      <c r="F77" s="992">
        <v>1250</v>
      </c>
      <c r="G77" s="991">
        <v>7157</v>
      </c>
      <c r="H77" s="842" t="s">
        <v>24</v>
      </c>
      <c r="I77" s="867"/>
      <c r="J77" s="868"/>
      <c r="K77" s="868"/>
      <c r="L77" s="868"/>
      <c r="M77" s="868"/>
      <c r="N77" s="869"/>
    </row>
    <row r="78" spans="1:14" s="879" customFormat="1" ht="18" customHeight="1" x14ac:dyDescent="0.3">
      <c r="A78" s="824">
        <v>71</v>
      </c>
      <c r="B78" s="877"/>
      <c r="C78" s="861"/>
      <c r="D78" s="292" t="s">
        <v>238</v>
      </c>
      <c r="E78" s="1142"/>
      <c r="F78" s="1142"/>
      <c r="G78" s="1213"/>
      <c r="H78" s="862"/>
      <c r="I78" s="843">
        <f>SUM(J78:N78)</f>
        <v>18989</v>
      </c>
      <c r="J78" s="878"/>
      <c r="K78" s="878"/>
      <c r="L78" s="878"/>
      <c r="M78" s="878"/>
      <c r="N78" s="854">
        <v>18989</v>
      </c>
    </row>
    <row r="79" spans="1:14" s="870" customFormat="1" ht="22.5" customHeight="1" x14ac:dyDescent="0.3">
      <c r="A79" s="824">
        <v>72</v>
      </c>
      <c r="B79" s="864"/>
      <c r="C79" s="849">
        <v>15</v>
      </c>
      <c r="D79" s="850" t="s">
        <v>331</v>
      </c>
      <c r="E79" s="992">
        <v>5000</v>
      </c>
      <c r="F79" s="992">
        <v>1250</v>
      </c>
      <c r="G79" s="991">
        <v>1250</v>
      </c>
      <c r="H79" s="842" t="s">
        <v>24</v>
      </c>
      <c r="I79" s="867"/>
      <c r="J79" s="868"/>
      <c r="K79" s="868"/>
      <c r="L79" s="868"/>
      <c r="M79" s="868"/>
      <c r="N79" s="869"/>
    </row>
    <row r="80" spans="1:14" s="879" customFormat="1" ht="18" customHeight="1" x14ac:dyDescent="0.3">
      <c r="A80" s="824">
        <v>73</v>
      </c>
      <c r="B80" s="877"/>
      <c r="C80" s="861"/>
      <c r="D80" s="292" t="s">
        <v>238</v>
      </c>
      <c r="E80" s="1142"/>
      <c r="F80" s="1142"/>
      <c r="G80" s="1213"/>
      <c r="H80" s="862"/>
      <c r="I80" s="843">
        <f>SUM(J80:N80)</f>
        <v>1250</v>
      </c>
      <c r="J80" s="878"/>
      <c r="K80" s="878"/>
      <c r="L80" s="878"/>
      <c r="M80" s="878"/>
      <c r="N80" s="854">
        <v>1250</v>
      </c>
    </row>
    <row r="81" spans="1:16" s="870" customFormat="1" ht="22.5" customHeight="1" x14ac:dyDescent="0.3">
      <c r="A81" s="824">
        <v>74</v>
      </c>
      <c r="B81" s="864"/>
      <c r="C81" s="849">
        <v>16</v>
      </c>
      <c r="D81" s="850" t="s">
        <v>500</v>
      </c>
      <c r="E81" s="992">
        <v>2100</v>
      </c>
      <c r="F81" s="992">
        <v>1250</v>
      </c>
      <c r="G81" s="991">
        <v>1250</v>
      </c>
      <c r="H81" s="842" t="s">
        <v>24</v>
      </c>
      <c r="I81" s="867"/>
      <c r="J81" s="868"/>
      <c r="K81" s="868"/>
      <c r="L81" s="868"/>
      <c r="M81" s="868"/>
      <c r="N81" s="869"/>
    </row>
    <row r="82" spans="1:16" s="879" customFormat="1" ht="18" customHeight="1" x14ac:dyDescent="0.3">
      <c r="A82" s="824">
        <v>75</v>
      </c>
      <c r="B82" s="877"/>
      <c r="C82" s="861"/>
      <c r="D82" s="292" t="s">
        <v>238</v>
      </c>
      <c r="E82" s="1142"/>
      <c r="F82" s="1142"/>
      <c r="G82" s="1213"/>
      <c r="H82" s="880"/>
      <c r="I82" s="843">
        <f>SUM(J82:N82)</f>
        <v>1250</v>
      </c>
      <c r="J82" s="878"/>
      <c r="K82" s="878"/>
      <c r="L82" s="878"/>
      <c r="M82" s="878"/>
      <c r="N82" s="854">
        <v>1250</v>
      </c>
    </row>
    <row r="83" spans="1:16" s="870" customFormat="1" ht="23.45" customHeight="1" x14ac:dyDescent="0.3">
      <c r="A83" s="824">
        <v>76</v>
      </c>
      <c r="B83" s="864"/>
      <c r="C83" s="849">
        <v>17</v>
      </c>
      <c r="D83" s="850" t="s">
        <v>298</v>
      </c>
      <c r="E83" s="992">
        <v>4200</v>
      </c>
      <c r="F83" s="992">
        <v>2500</v>
      </c>
      <c r="G83" s="991">
        <v>4200</v>
      </c>
      <c r="H83" s="842" t="s">
        <v>24</v>
      </c>
      <c r="I83" s="867"/>
      <c r="J83" s="868"/>
      <c r="K83" s="868"/>
      <c r="L83" s="868"/>
      <c r="M83" s="868"/>
      <c r="N83" s="869"/>
    </row>
    <row r="84" spans="1:16" s="839" customFormat="1" ht="22.5" customHeight="1" x14ac:dyDescent="0.3">
      <c r="A84" s="824">
        <v>77</v>
      </c>
      <c r="B84" s="848"/>
      <c r="C84" s="849">
        <v>19</v>
      </c>
      <c r="D84" s="850" t="s">
        <v>203</v>
      </c>
      <c r="E84" s="992">
        <f>SUM(E86,E88,E90,E92,E94)+E96</f>
        <v>149100</v>
      </c>
      <c r="F84" s="992">
        <f>SUM(F86,F88,F90,F92,F94)+F96+F98</f>
        <v>183000</v>
      </c>
      <c r="G84" s="991">
        <f>SUM(G86,G88,G90,G92,G94)+G96+G98</f>
        <v>186000</v>
      </c>
      <c r="H84" s="842" t="s">
        <v>24</v>
      </c>
      <c r="I84" s="855"/>
      <c r="J84" s="856"/>
      <c r="K84" s="856"/>
      <c r="L84" s="856"/>
      <c r="M84" s="856"/>
      <c r="N84" s="857"/>
      <c r="O84" s="847"/>
      <c r="P84" s="847"/>
    </row>
    <row r="85" spans="1:16" s="863" customFormat="1" ht="18" customHeight="1" x14ac:dyDescent="0.3">
      <c r="A85" s="824">
        <v>78</v>
      </c>
      <c r="B85" s="860"/>
      <c r="C85" s="861"/>
      <c r="D85" s="292" t="s">
        <v>238</v>
      </c>
      <c r="E85" s="1142"/>
      <c r="F85" s="1142"/>
      <c r="G85" s="1213"/>
      <c r="H85" s="862"/>
      <c r="I85" s="843">
        <f>SUM(J85:N85)</f>
        <v>185790</v>
      </c>
      <c r="J85" s="858">
        <f>SUM(J87,)+J89+J91+J93+J95+J97+J99</f>
        <v>0</v>
      </c>
      <c r="K85" s="858">
        <f t="shared" ref="K85:N85" si="3">SUM(K87,)+K89+K91+K93+K95+K97+K99</f>
        <v>0</v>
      </c>
      <c r="L85" s="858">
        <f t="shared" si="3"/>
        <v>0</v>
      </c>
      <c r="M85" s="858">
        <f t="shared" si="3"/>
        <v>0</v>
      </c>
      <c r="N85" s="859">
        <f t="shared" si="3"/>
        <v>185790</v>
      </c>
    </row>
    <row r="86" spans="1:16" s="870" customFormat="1" ht="18" customHeight="1" x14ac:dyDescent="0.3">
      <c r="A86" s="824">
        <v>79</v>
      </c>
      <c r="B86" s="864"/>
      <c r="C86" s="865"/>
      <c r="D86" s="881" t="s">
        <v>48</v>
      </c>
      <c r="E86" s="992">
        <v>98000</v>
      </c>
      <c r="F86" s="992">
        <v>147000</v>
      </c>
      <c r="G86" s="991">
        <v>147000</v>
      </c>
      <c r="H86" s="866"/>
      <c r="I86" s="867"/>
      <c r="J86" s="868"/>
      <c r="K86" s="868"/>
      <c r="L86" s="868"/>
      <c r="M86" s="868"/>
      <c r="N86" s="869"/>
      <c r="P86" s="847"/>
    </row>
    <row r="87" spans="1:16" s="879" customFormat="1" ht="18" customHeight="1" x14ac:dyDescent="0.3">
      <c r="A87" s="824">
        <v>80</v>
      </c>
      <c r="B87" s="877"/>
      <c r="C87" s="861"/>
      <c r="D87" s="876" t="s">
        <v>238</v>
      </c>
      <c r="E87" s="1142"/>
      <c r="F87" s="1142"/>
      <c r="G87" s="1213"/>
      <c r="H87" s="880"/>
      <c r="I87" s="871">
        <f>SUM(J87:N87)</f>
        <v>149790</v>
      </c>
      <c r="J87" s="878"/>
      <c r="K87" s="878"/>
      <c r="L87" s="878"/>
      <c r="M87" s="878"/>
      <c r="N87" s="869">
        <v>149790</v>
      </c>
      <c r="P87" s="863"/>
    </row>
    <row r="88" spans="1:16" s="870" customFormat="1" ht="18" customHeight="1" x14ac:dyDescent="0.3">
      <c r="A88" s="824">
        <v>81</v>
      </c>
      <c r="B88" s="864"/>
      <c r="C88" s="865"/>
      <c r="D88" s="882" t="s">
        <v>49</v>
      </c>
      <c r="E88" s="992">
        <v>19600</v>
      </c>
      <c r="F88" s="992">
        <v>8000</v>
      </c>
      <c r="G88" s="991">
        <v>8000</v>
      </c>
      <c r="H88" s="866"/>
      <c r="I88" s="872"/>
      <c r="J88" s="873"/>
      <c r="K88" s="873"/>
      <c r="L88" s="873"/>
      <c r="M88" s="873"/>
      <c r="N88" s="874"/>
      <c r="P88" s="847"/>
    </row>
    <row r="89" spans="1:16" s="870" customFormat="1" ht="18" customHeight="1" x14ac:dyDescent="0.3">
      <c r="A89" s="824">
        <v>82</v>
      </c>
      <c r="B89" s="864"/>
      <c r="C89" s="865"/>
      <c r="D89" s="876" t="s">
        <v>238</v>
      </c>
      <c r="E89" s="992"/>
      <c r="F89" s="992"/>
      <c r="G89" s="991"/>
      <c r="H89" s="866"/>
      <c r="I89" s="871">
        <f>SUM(J89:N89)</f>
        <v>8000</v>
      </c>
      <c r="J89" s="873"/>
      <c r="K89" s="873"/>
      <c r="L89" s="873"/>
      <c r="M89" s="873"/>
      <c r="N89" s="874">
        <v>8000</v>
      </c>
      <c r="P89" s="847"/>
    </row>
    <row r="90" spans="1:16" s="870" customFormat="1" ht="18" customHeight="1" x14ac:dyDescent="0.3">
      <c r="A90" s="824">
        <v>83</v>
      </c>
      <c r="B90" s="864"/>
      <c r="C90" s="841"/>
      <c r="D90" s="882" t="s">
        <v>589</v>
      </c>
      <c r="E90" s="992">
        <v>9500</v>
      </c>
      <c r="F90" s="992">
        <v>9500</v>
      </c>
      <c r="G90" s="991">
        <v>12500</v>
      </c>
      <c r="H90" s="866"/>
      <c r="I90" s="872"/>
      <c r="J90" s="873"/>
      <c r="K90" s="873"/>
      <c r="L90" s="873"/>
      <c r="M90" s="873"/>
      <c r="N90" s="874"/>
      <c r="P90" s="847"/>
    </row>
    <row r="91" spans="1:16" s="870" customFormat="1" ht="18" customHeight="1" x14ac:dyDescent="0.3">
      <c r="A91" s="824">
        <v>84</v>
      </c>
      <c r="B91" s="864"/>
      <c r="C91" s="841"/>
      <c r="D91" s="876" t="s">
        <v>238</v>
      </c>
      <c r="E91" s="992"/>
      <c r="F91" s="992"/>
      <c r="G91" s="991"/>
      <c r="H91" s="866"/>
      <c r="I91" s="871">
        <f>SUM(J91:N91)</f>
        <v>9500</v>
      </c>
      <c r="J91" s="873"/>
      <c r="K91" s="873"/>
      <c r="L91" s="873"/>
      <c r="M91" s="873"/>
      <c r="N91" s="874">
        <v>9500</v>
      </c>
      <c r="P91" s="847"/>
    </row>
    <row r="92" spans="1:16" s="870" customFormat="1" ht="18" customHeight="1" x14ac:dyDescent="0.3">
      <c r="A92" s="824">
        <v>85</v>
      </c>
      <c r="B92" s="864"/>
      <c r="C92" s="841"/>
      <c r="D92" s="882" t="s">
        <v>590</v>
      </c>
      <c r="E92" s="992">
        <v>8000</v>
      </c>
      <c r="F92" s="992">
        <v>6000</v>
      </c>
      <c r="G92" s="991">
        <v>6000</v>
      </c>
      <c r="H92" s="866"/>
      <c r="I92" s="872"/>
      <c r="J92" s="873"/>
      <c r="K92" s="873"/>
      <c r="L92" s="873"/>
      <c r="M92" s="873"/>
      <c r="N92" s="874"/>
      <c r="P92" s="847"/>
    </row>
    <row r="93" spans="1:16" s="870" customFormat="1" ht="18" customHeight="1" x14ac:dyDescent="0.3">
      <c r="A93" s="824">
        <v>86</v>
      </c>
      <c r="B93" s="864"/>
      <c r="C93" s="841"/>
      <c r="D93" s="876" t="s">
        <v>238</v>
      </c>
      <c r="E93" s="992"/>
      <c r="F93" s="992"/>
      <c r="G93" s="991"/>
      <c r="H93" s="866"/>
      <c r="I93" s="871">
        <f>SUM(J93:N93)</f>
        <v>6000</v>
      </c>
      <c r="J93" s="873"/>
      <c r="K93" s="873"/>
      <c r="L93" s="873"/>
      <c r="M93" s="873"/>
      <c r="N93" s="874">
        <v>6000</v>
      </c>
      <c r="P93" s="847"/>
    </row>
    <row r="94" spans="1:16" s="870" customFormat="1" ht="18" customHeight="1" x14ac:dyDescent="0.3">
      <c r="A94" s="824">
        <v>87</v>
      </c>
      <c r="B94" s="864"/>
      <c r="C94" s="841"/>
      <c r="D94" s="882" t="s">
        <v>591</v>
      </c>
      <c r="E94" s="992">
        <v>7000</v>
      </c>
      <c r="F94" s="992">
        <v>5000</v>
      </c>
      <c r="G94" s="991">
        <v>5000</v>
      </c>
      <c r="H94" s="866"/>
      <c r="I94" s="872"/>
      <c r="J94" s="873"/>
      <c r="K94" s="873"/>
      <c r="L94" s="873"/>
      <c r="M94" s="873"/>
      <c r="N94" s="874"/>
      <c r="P94" s="847"/>
    </row>
    <row r="95" spans="1:16" s="870" customFormat="1" ht="18" customHeight="1" x14ac:dyDescent="0.3">
      <c r="A95" s="824">
        <v>88</v>
      </c>
      <c r="B95" s="864"/>
      <c r="C95" s="841"/>
      <c r="D95" s="876" t="s">
        <v>238</v>
      </c>
      <c r="E95" s="992"/>
      <c r="F95" s="992"/>
      <c r="G95" s="991"/>
      <c r="H95" s="866"/>
      <c r="I95" s="871">
        <f>SUM(J95:N95)</f>
        <v>5000</v>
      </c>
      <c r="J95" s="873"/>
      <c r="K95" s="873"/>
      <c r="L95" s="873"/>
      <c r="M95" s="873"/>
      <c r="N95" s="874">
        <v>5000</v>
      </c>
      <c r="P95" s="847"/>
    </row>
    <row r="96" spans="1:16" s="870" customFormat="1" ht="18" customHeight="1" x14ac:dyDescent="0.3">
      <c r="A96" s="824">
        <v>89</v>
      </c>
      <c r="B96" s="864"/>
      <c r="C96" s="841"/>
      <c r="D96" s="882" t="s">
        <v>592</v>
      </c>
      <c r="E96" s="992">
        <v>7000</v>
      </c>
      <c r="F96" s="992">
        <v>5000</v>
      </c>
      <c r="G96" s="991">
        <v>5000</v>
      </c>
      <c r="H96" s="866"/>
      <c r="I96" s="871"/>
      <c r="J96" s="873"/>
      <c r="K96" s="873"/>
      <c r="L96" s="873"/>
      <c r="M96" s="873"/>
      <c r="N96" s="874"/>
      <c r="P96" s="847"/>
    </row>
    <row r="97" spans="1:16" s="870" customFormat="1" ht="18" customHeight="1" x14ac:dyDescent="0.3">
      <c r="A97" s="824">
        <v>90</v>
      </c>
      <c r="B97" s="864"/>
      <c r="C97" s="841"/>
      <c r="D97" s="876" t="s">
        <v>238</v>
      </c>
      <c r="E97" s="992"/>
      <c r="F97" s="992"/>
      <c r="G97" s="991"/>
      <c r="H97" s="866"/>
      <c r="I97" s="871">
        <f>SUM(J97:N97)</f>
        <v>5000</v>
      </c>
      <c r="J97" s="873"/>
      <c r="K97" s="873"/>
      <c r="L97" s="873"/>
      <c r="M97" s="873"/>
      <c r="N97" s="874">
        <v>5000</v>
      </c>
      <c r="P97" s="847"/>
    </row>
    <row r="98" spans="1:16" s="870" customFormat="1" ht="18" customHeight="1" x14ac:dyDescent="0.3">
      <c r="A98" s="824">
        <v>91</v>
      </c>
      <c r="B98" s="864"/>
      <c r="C98" s="841"/>
      <c r="D98" s="882" t="s">
        <v>554</v>
      </c>
      <c r="E98" s="992"/>
      <c r="F98" s="992">
        <v>2500</v>
      </c>
      <c r="G98" s="991">
        <v>2500</v>
      </c>
      <c r="H98" s="866"/>
      <c r="I98" s="871"/>
      <c r="J98" s="873"/>
      <c r="K98" s="873"/>
      <c r="L98" s="873"/>
      <c r="M98" s="873"/>
      <c r="N98" s="874"/>
      <c r="P98" s="847"/>
    </row>
    <row r="99" spans="1:16" s="870" customFormat="1" ht="18" customHeight="1" x14ac:dyDescent="0.3">
      <c r="A99" s="824">
        <v>92</v>
      </c>
      <c r="B99" s="864"/>
      <c r="C99" s="841"/>
      <c r="D99" s="876" t="s">
        <v>238</v>
      </c>
      <c r="E99" s="992"/>
      <c r="F99" s="992"/>
      <c r="G99" s="991"/>
      <c r="H99" s="866"/>
      <c r="I99" s="871">
        <f>SUM(J99:N99)</f>
        <v>2500</v>
      </c>
      <c r="J99" s="873"/>
      <c r="K99" s="873"/>
      <c r="L99" s="873"/>
      <c r="M99" s="873"/>
      <c r="N99" s="874">
        <v>2500</v>
      </c>
      <c r="P99" s="847"/>
    </row>
    <row r="100" spans="1:16" s="870" customFormat="1" ht="22.5" customHeight="1" x14ac:dyDescent="0.3">
      <c r="A100" s="824">
        <v>93</v>
      </c>
      <c r="B100" s="864"/>
      <c r="C100" s="849">
        <v>20</v>
      </c>
      <c r="D100" s="850" t="s">
        <v>332</v>
      </c>
      <c r="E100" s="992"/>
      <c r="F100" s="992">
        <v>3000</v>
      </c>
      <c r="G100" s="991"/>
      <c r="H100" s="842" t="s">
        <v>24</v>
      </c>
      <c r="I100" s="843"/>
      <c r="J100" s="868"/>
      <c r="K100" s="868"/>
      <c r="L100" s="868"/>
      <c r="M100" s="868"/>
      <c r="N100" s="869"/>
      <c r="P100" s="847"/>
    </row>
    <row r="101" spans="1:16" s="870" customFormat="1" ht="18" customHeight="1" x14ac:dyDescent="0.3">
      <c r="A101" s="824">
        <v>94</v>
      </c>
      <c r="B101" s="864"/>
      <c r="C101" s="849"/>
      <c r="D101" s="292" t="s">
        <v>238</v>
      </c>
      <c r="E101" s="992"/>
      <c r="F101" s="992"/>
      <c r="G101" s="991"/>
      <c r="H101" s="842"/>
      <c r="I101" s="843">
        <f>SUM(J101:N101)</f>
        <v>3000</v>
      </c>
      <c r="J101" s="868"/>
      <c r="K101" s="868"/>
      <c r="L101" s="868"/>
      <c r="M101" s="868"/>
      <c r="N101" s="854">
        <v>3000</v>
      </c>
      <c r="P101" s="847"/>
    </row>
    <row r="102" spans="1:16" s="870" customFormat="1" ht="22.5" customHeight="1" x14ac:dyDescent="0.3">
      <c r="A102" s="824">
        <v>95</v>
      </c>
      <c r="B102" s="864"/>
      <c r="C102" s="849">
        <v>27</v>
      </c>
      <c r="D102" s="850" t="s">
        <v>445</v>
      </c>
      <c r="E102" s="992">
        <v>3000</v>
      </c>
      <c r="F102" s="992">
        <v>3000</v>
      </c>
      <c r="G102" s="991">
        <v>3000</v>
      </c>
      <c r="H102" s="842" t="s">
        <v>24</v>
      </c>
      <c r="I102" s="843"/>
      <c r="J102" s="868"/>
      <c r="K102" s="868"/>
      <c r="L102" s="868"/>
      <c r="M102" s="868"/>
      <c r="N102" s="869"/>
      <c r="P102" s="847"/>
    </row>
    <row r="103" spans="1:16" s="870" customFormat="1" ht="18" customHeight="1" x14ac:dyDescent="0.3">
      <c r="A103" s="824">
        <v>96</v>
      </c>
      <c r="B103" s="864"/>
      <c r="C103" s="849"/>
      <c r="D103" s="292" t="s">
        <v>238</v>
      </c>
      <c r="E103" s="992"/>
      <c r="F103" s="992"/>
      <c r="G103" s="991"/>
      <c r="H103" s="842"/>
      <c r="I103" s="843">
        <f>SUM(J103:N103)</f>
        <v>3000</v>
      </c>
      <c r="J103" s="868"/>
      <c r="K103" s="868"/>
      <c r="L103" s="868"/>
      <c r="M103" s="868"/>
      <c r="N103" s="854">
        <v>3000</v>
      </c>
      <c r="P103" s="847"/>
    </row>
    <row r="104" spans="1:16" s="839" customFormat="1" ht="22.5" customHeight="1" x14ac:dyDescent="0.3">
      <c r="A104" s="824">
        <v>97</v>
      </c>
      <c r="B104" s="848"/>
      <c r="C104" s="849">
        <v>28</v>
      </c>
      <c r="D104" s="850" t="s">
        <v>219</v>
      </c>
      <c r="E104" s="992">
        <v>3805</v>
      </c>
      <c r="F104" s="992">
        <v>5000</v>
      </c>
      <c r="G104" s="991">
        <v>9600</v>
      </c>
      <c r="H104" s="842" t="s">
        <v>24</v>
      </c>
      <c r="I104" s="843"/>
      <c r="J104" s="844"/>
      <c r="K104" s="844"/>
      <c r="L104" s="844"/>
      <c r="M104" s="844"/>
      <c r="N104" s="846"/>
      <c r="P104" s="847"/>
    </row>
    <row r="105" spans="1:16" s="839" customFormat="1" ht="18" customHeight="1" x14ac:dyDescent="0.3">
      <c r="A105" s="824">
        <v>98</v>
      </c>
      <c r="B105" s="848"/>
      <c r="C105" s="849"/>
      <c r="D105" s="292" t="s">
        <v>238</v>
      </c>
      <c r="E105" s="992"/>
      <c r="F105" s="992"/>
      <c r="G105" s="991"/>
      <c r="H105" s="842"/>
      <c r="I105" s="843">
        <f>SUM(J105:N105)</f>
        <v>5000</v>
      </c>
      <c r="J105" s="844"/>
      <c r="K105" s="844"/>
      <c r="L105" s="845">
        <v>5000</v>
      </c>
      <c r="M105" s="844"/>
      <c r="N105" s="846"/>
      <c r="P105" s="847"/>
    </row>
    <row r="106" spans="1:16" s="847" customFormat="1" ht="22.5" customHeight="1" x14ac:dyDescent="0.3">
      <c r="A106" s="824">
        <v>99</v>
      </c>
      <c r="B106" s="840"/>
      <c r="C106" s="849">
        <v>29</v>
      </c>
      <c r="D106" s="834" t="s">
        <v>467</v>
      </c>
      <c r="E106" s="992"/>
      <c r="F106" s="992">
        <v>55000</v>
      </c>
      <c r="G106" s="991"/>
      <c r="H106" s="842" t="s">
        <v>24</v>
      </c>
      <c r="I106" s="843"/>
      <c r="J106" s="844"/>
      <c r="K106" s="844"/>
      <c r="L106" s="844"/>
      <c r="M106" s="844"/>
      <c r="N106" s="846"/>
    </row>
    <row r="107" spans="1:16" s="847" customFormat="1" ht="18" customHeight="1" x14ac:dyDescent="0.3">
      <c r="A107" s="824">
        <v>100</v>
      </c>
      <c r="B107" s="883"/>
      <c r="C107" s="849"/>
      <c r="D107" s="292" t="s">
        <v>238</v>
      </c>
      <c r="E107" s="1170"/>
      <c r="F107" s="1170"/>
      <c r="G107" s="1214"/>
      <c r="H107" s="842"/>
      <c r="I107" s="843">
        <f>SUM(J107:N107)</f>
        <v>5000</v>
      </c>
      <c r="J107" s="852"/>
      <c r="K107" s="852"/>
      <c r="L107" s="852"/>
      <c r="M107" s="852"/>
      <c r="N107" s="884">
        <v>5000</v>
      </c>
    </row>
    <row r="108" spans="1:16" s="847" customFormat="1" ht="23.45" customHeight="1" x14ac:dyDescent="0.3">
      <c r="A108" s="824">
        <v>101</v>
      </c>
      <c r="B108" s="883"/>
      <c r="C108" s="849">
        <v>30</v>
      </c>
      <c r="D108" s="850" t="s">
        <v>446</v>
      </c>
      <c r="E108" s="1170"/>
      <c r="F108" s="1170"/>
      <c r="G108" s="1214"/>
      <c r="H108" s="842" t="s">
        <v>24</v>
      </c>
      <c r="I108" s="843"/>
      <c r="J108" s="852"/>
      <c r="K108" s="852"/>
      <c r="L108" s="852"/>
      <c r="M108" s="852"/>
      <c r="N108" s="853"/>
    </row>
    <row r="109" spans="1:16" s="887" customFormat="1" ht="22.5" customHeight="1" x14ac:dyDescent="0.3">
      <c r="A109" s="824">
        <v>102</v>
      </c>
      <c r="B109" s="885"/>
      <c r="C109" s="849">
        <v>31</v>
      </c>
      <c r="D109" s="850" t="s">
        <v>217</v>
      </c>
      <c r="E109" s="1170">
        <v>85000</v>
      </c>
      <c r="F109" s="1170">
        <v>45000</v>
      </c>
      <c r="G109" s="1214">
        <v>100000</v>
      </c>
      <c r="H109" s="842" t="s">
        <v>24</v>
      </c>
      <c r="I109" s="843"/>
      <c r="J109" s="852"/>
      <c r="K109" s="852"/>
      <c r="L109" s="852"/>
      <c r="M109" s="852"/>
      <c r="N109" s="853"/>
      <c r="O109" s="886"/>
      <c r="P109" s="847"/>
    </row>
    <row r="110" spans="1:16" s="887" customFormat="1" ht="18" customHeight="1" x14ac:dyDescent="0.3">
      <c r="A110" s="824">
        <v>103</v>
      </c>
      <c r="B110" s="885"/>
      <c r="C110" s="841"/>
      <c r="D110" s="292" t="s">
        <v>238</v>
      </c>
      <c r="E110" s="1170"/>
      <c r="F110" s="1170"/>
      <c r="G110" s="1214"/>
      <c r="H110" s="842"/>
      <c r="I110" s="843">
        <f>SUM(J110:N110)</f>
        <v>45000</v>
      </c>
      <c r="J110" s="852"/>
      <c r="K110" s="852"/>
      <c r="L110" s="852"/>
      <c r="M110" s="852"/>
      <c r="N110" s="884">
        <v>45000</v>
      </c>
      <c r="O110" s="886"/>
      <c r="P110" s="847"/>
    </row>
    <row r="111" spans="1:16" s="839" customFormat="1" ht="22.5" customHeight="1" x14ac:dyDescent="0.3">
      <c r="A111" s="824">
        <v>104</v>
      </c>
      <c r="B111" s="848"/>
      <c r="C111" s="849">
        <v>32</v>
      </c>
      <c r="D111" s="850" t="s">
        <v>220</v>
      </c>
      <c r="E111" s="992">
        <v>5000</v>
      </c>
      <c r="F111" s="992">
        <v>5000</v>
      </c>
      <c r="G111" s="991"/>
      <c r="H111" s="842" t="s">
        <v>24</v>
      </c>
      <c r="I111" s="843"/>
      <c r="J111" s="844"/>
      <c r="K111" s="844"/>
      <c r="L111" s="844"/>
      <c r="M111" s="844"/>
      <c r="N111" s="846"/>
      <c r="P111" s="847"/>
    </row>
    <row r="112" spans="1:16" s="839" customFormat="1" ht="18" customHeight="1" x14ac:dyDescent="0.3">
      <c r="A112" s="824">
        <v>105</v>
      </c>
      <c r="B112" s="848"/>
      <c r="C112" s="849"/>
      <c r="D112" s="292" t="s">
        <v>238</v>
      </c>
      <c r="E112" s="992"/>
      <c r="F112" s="992"/>
      <c r="G112" s="991"/>
      <c r="H112" s="842"/>
      <c r="I112" s="843">
        <f>SUM(J112:N112)</f>
        <v>0</v>
      </c>
      <c r="J112" s="844"/>
      <c r="K112" s="844"/>
      <c r="L112" s="844"/>
      <c r="M112" s="844"/>
      <c r="N112" s="854"/>
      <c r="P112" s="847"/>
    </row>
    <row r="113" spans="1:16" s="863" customFormat="1" ht="22.5" customHeight="1" x14ac:dyDescent="0.3">
      <c r="A113" s="824">
        <v>106</v>
      </c>
      <c r="B113" s="860"/>
      <c r="C113" s="849">
        <v>34</v>
      </c>
      <c r="D113" s="850" t="s">
        <v>346</v>
      </c>
      <c r="E113" s="992"/>
      <c r="F113" s="992"/>
      <c r="G113" s="992"/>
      <c r="H113" s="842" t="s">
        <v>24</v>
      </c>
      <c r="I113" s="843"/>
      <c r="J113" s="845"/>
      <c r="K113" s="845"/>
      <c r="L113" s="845"/>
      <c r="M113" s="845"/>
      <c r="N113" s="854"/>
    </row>
    <row r="114" spans="1:16" s="839" customFormat="1" ht="22.5" customHeight="1" x14ac:dyDescent="0.3">
      <c r="A114" s="824">
        <v>107</v>
      </c>
      <c r="B114" s="848"/>
      <c r="C114" s="849">
        <v>35</v>
      </c>
      <c r="D114" s="850" t="s">
        <v>358</v>
      </c>
      <c r="E114" s="992">
        <v>447400</v>
      </c>
      <c r="F114" s="992">
        <v>341637</v>
      </c>
      <c r="G114" s="991">
        <v>374137</v>
      </c>
      <c r="H114" s="842" t="s">
        <v>23</v>
      </c>
      <c r="I114" s="843"/>
      <c r="J114" s="844"/>
      <c r="K114" s="844"/>
      <c r="L114" s="844"/>
      <c r="M114" s="844"/>
      <c r="N114" s="846"/>
      <c r="P114" s="847"/>
    </row>
    <row r="115" spans="1:16" s="863" customFormat="1" ht="18" customHeight="1" x14ac:dyDescent="0.3">
      <c r="A115" s="824">
        <v>108</v>
      </c>
      <c r="B115" s="860"/>
      <c r="C115" s="861"/>
      <c r="D115" s="292" t="s">
        <v>238</v>
      </c>
      <c r="E115" s="1142"/>
      <c r="F115" s="1142"/>
      <c r="G115" s="1213"/>
      <c r="H115" s="862"/>
      <c r="I115" s="843">
        <f>SUM(J115:N115)</f>
        <v>301250</v>
      </c>
      <c r="J115" s="845"/>
      <c r="K115" s="845"/>
      <c r="L115" s="845"/>
      <c r="M115" s="845"/>
      <c r="N115" s="854">
        <v>301250</v>
      </c>
    </row>
    <row r="116" spans="1:16" s="839" customFormat="1" ht="22.5" customHeight="1" x14ac:dyDescent="0.3">
      <c r="A116" s="824">
        <v>109</v>
      </c>
      <c r="B116" s="848"/>
      <c r="C116" s="849">
        <v>36</v>
      </c>
      <c r="D116" s="850" t="s">
        <v>51</v>
      </c>
      <c r="E116" s="992">
        <v>1250</v>
      </c>
      <c r="F116" s="992">
        <v>1250</v>
      </c>
      <c r="G116" s="991">
        <v>1250</v>
      </c>
      <c r="H116" s="842" t="s">
        <v>23</v>
      </c>
      <c r="I116" s="843"/>
      <c r="J116" s="844"/>
      <c r="K116" s="844"/>
      <c r="L116" s="844"/>
      <c r="M116" s="844"/>
      <c r="N116" s="846"/>
      <c r="P116" s="847"/>
    </row>
    <row r="117" spans="1:16" s="863" customFormat="1" ht="18" customHeight="1" x14ac:dyDescent="0.3">
      <c r="A117" s="824">
        <v>110</v>
      </c>
      <c r="B117" s="860"/>
      <c r="C117" s="861"/>
      <c r="D117" s="292" t="s">
        <v>238</v>
      </c>
      <c r="E117" s="1142"/>
      <c r="F117" s="1142"/>
      <c r="G117" s="1213"/>
      <c r="H117" s="862"/>
      <c r="I117" s="843">
        <f>SUM(J117:N117)</f>
        <v>1250</v>
      </c>
      <c r="J117" s="845"/>
      <c r="K117" s="845"/>
      <c r="L117" s="845">
        <v>1250</v>
      </c>
      <c r="M117" s="845"/>
      <c r="N117" s="854"/>
    </row>
    <row r="118" spans="1:16" s="847" customFormat="1" ht="22.5" customHeight="1" x14ac:dyDescent="0.3">
      <c r="A118" s="824">
        <v>111</v>
      </c>
      <c r="B118" s="840"/>
      <c r="C118" s="849">
        <v>38</v>
      </c>
      <c r="D118" s="834" t="s">
        <v>258</v>
      </c>
      <c r="E118" s="992">
        <v>86893</v>
      </c>
      <c r="F118" s="992">
        <v>150000</v>
      </c>
      <c r="G118" s="991">
        <v>126500</v>
      </c>
      <c r="H118" s="842" t="s">
        <v>23</v>
      </c>
      <c r="I118" s="843"/>
      <c r="J118" s="844"/>
      <c r="K118" s="844"/>
      <c r="L118" s="844"/>
      <c r="M118" s="844"/>
      <c r="N118" s="846"/>
    </row>
    <row r="119" spans="1:16" s="863" customFormat="1" ht="18" customHeight="1" x14ac:dyDescent="0.3">
      <c r="A119" s="824">
        <v>112</v>
      </c>
      <c r="B119" s="860"/>
      <c r="C119" s="861"/>
      <c r="D119" s="292" t="s">
        <v>238</v>
      </c>
      <c r="E119" s="1142"/>
      <c r="F119" s="1142"/>
      <c r="G119" s="1213"/>
      <c r="H119" s="862"/>
      <c r="I119" s="843">
        <f>SUM(J119:N119)</f>
        <v>156794</v>
      </c>
      <c r="J119" s="845"/>
      <c r="K119" s="845"/>
      <c r="L119" s="845">
        <f>138182+18612</f>
        <v>156794</v>
      </c>
      <c r="M119" s="845"/>
      <c r="N119" s="854"/>
    </row>
    <row r="120" spans="1:16" s="839" customFormat="1" ht="22.5" customHeight="1" x14ac:dyDescent="0.3">
      <c r="A120" s="824">
        <v>113</v>
      </c>
      <c r="B120" s="848"/>
      <c r="C120" s="849">
        <v>39</v>
      </c>
      <c r="D120" s="850" t="s">
        <v>359</v>
      </c>
      <c r="E120" s="992">
        <v>4637</v>
      </c>
      <c r="F120" s="992">
        <v>7002</v>
      </c>
      <c r="G120" s="991">
        <v>7002</v>
      </c>
      <c r="H120" s="842" t="s">
        <v>23</v>
      </c>
      <c r="I120" s="872"/>
      <c r="J120" s="873"/>
      <c r="K120" s="873"/>
      <c r="L120" s="873"/>
      <c r="M120" s="873"/>
      <c r="N120" s="874"/>
      <c r="O120" s="847"/>
      <c r="P120" s="847"/>
    </row>
    <row r="121" spans="1:16" s="863" customFormat="1" ht="18" customHeight="1" x14ac:dyDescent="0.3">
      <c r="A121" s="824">
        <v>114</v>
      </c>
      <c r="B121" s="860"/>
      <c r="C121" s="861"/>
      <c r="D121" s="292" t="s">
        <v>238</v>
      </c>
      <c r="E121" s="1142"/>
      <c r="F121" s="1142"/>
      <c r="G121" s="1213"/>
      <c r="H121" s="862"/>
      <c r="I121" s="843">
        <f>SUM(J121:N121)</f>
        <v>6000</v>
      </c>
      <c r="J121" s="845"/>
      <c r="K121" s="845"/>
      <c r="L121" s="845">
        <f>4500+1500</f>
        <v>6000</v>
      </c>
      <c r="M121" s="845"/>
      <c r="N121" s="854"/>
    </row>
    <row r="122" spans="1:16" s="809" customFormat="1" ht="22.5" customHeight="1" x14ac:dyDescent="0.35">
      <c r="A122" s="824">
        <v>115</v>
      </c>
      <c r="B122" s="888"/>
      <c r="C122" s="849">
        <v>42</v>
      </c>
      <c r="D122" s="850" t="s">
        <v>11</v>
      </c>
      <c r="E122" s="992">
        <v>23961</v>
      </c>
      <c r="F122" s="992">
        <v>72437</v>
      </c>
      <c r="G122" s="991">
        <v>72437</v>
      </c>
      <c r="H122" s="842" t="s">
        <v>24</v>
      </c>
      <c r="I122" s="872"/>
      <c r="J122" s="873"/>
      <c r="K122" s="873"/>
      <c r="L122" s="873"/>
      <c r="M122" s="873"/>
      <c r="N122" s="874"/>
      <c r="O122" s="810"/>
      <c r="P122" s="810"/>
    </row>
    <row r="123" spans="1:16" s="863" customFormat="1" ht="18" customHeight="1" x14ac:dyDescent="0.3">
      <c r="A123" s="824">
        <v>116</v>
      </c>
      <c r="B123" s="860"/>
      <c r="C123" s="861"/>
      <c r="D123" s="292" t="s">
        <v>238</v>
      </c>
      <c r="E123" s="1142"/>
      <c r="F123" s="1142"/>
      <c r="G123" s="1213"/>
      <c r="H123" s="862"/>
      <c r="I123" s="843">
        <f>SUM(J123:N123)</f>
        <v>85529</v>
      </c>
      <c r="J123" s="845"/>
      <c r="K123" s="845"/>
      <c r="L123" s="845">
        <f>54513+31016</f>
        <v>85529</v>
      </c>
      <c r="M123" s="845"/>
      <c r="N123" s="854"/>
    </row>
    <row r="124" spans="1:16" s="809" customFormat="1" ht="22.5" customHeight="1" x14ac:dyDescent="0.35">
      <c r="A124" s="824">
        <v>117</v>
      </c>
      <c r="B124" s="888"/>
      <c r="C124" s="849">
        <v>43</v>
      </c>
      <c r="D124" s="850" t="s">
        <v>52</v>
      </c>
      <c r="E124" s="992">
        <v>5212</v>
      </c>
      <c r="F124" s="992">
        <v>7311</v>
      </c>
      <c r="G124" s="991">
        <v>13811</v>
      </c>
      <c r="H124" s="842" t="s">
        <v>24</v>
      </c>
      <c r="I124" s="872"/>
      <c r="J124" s="873"/>
      <c r="K124" s="873"/>
      <c r="L124" s="873"/>
      <c r="M124" s="873"/>
      <c r="N124" s="874"/>
      <c r="O124" s="810"/>
      <c r="P124" s="810"/>
    </row>
    <row r="125" spans="1:16" s="863" customFormat="1" ht="18" customHeight="1" x14ac:dyDescent="0.3">
      <c r="A125" s="824">
        <v>118</v>
      </c>
      <c r="B125" s="860"/>
      <c r="C125" s="861"/>
      <c r="D125" s="292" t="s">
        <v>238</v>
      </c>
      <c r="E125" s="1142"/>
      <c r="F125" s="1142"/>
      <c r="G125" s="1213"/>
      <c r="H125" s="862"/>
      <c r="I125" s="843">
        <f>SUM(J125:N125)</f>
        <v>10726</v>
      </c>
      <c r="J125" s="845"/>
      <c r="K125" s="845"/>
      <c r="L125" s="845">
        <f>5000+4226</f>
        <v>9226</v>
      </c>
      <c r="M125" s="845"/>
      <c r="N125" s="854">
        <v>1500</v>
      </c>
    </row>
    <row r="126" spans="1:16" s="809" customFormat="1" ht="22.5" customHeight="1" x14ac:dyDescent="0.35">
      <c r="A126" s="824">
        <v>119</v>
      </c>
      <c r="B126" s="888"/>
      <c r="C126" s="849">
        <v>44</v>
      </c>
      <c r="D126" s="850" t="s">
        <v>53</v>
      </c>
      <c r="E126" s="992">
        <f>SUM(E128,E130,E134,E136)+E132</f>
        <v>16200</v>
      </c>
      <c r="F126" s="992">
        <f>SUM(F128,F130,F134,F136)+F132</f>
        <v>29800</v>
      </c>
      <c r="G126" s="991">
        <f>SUM(G128,G130,G134,G136)+G132</f>
        <v>26300</v>
      </c>
      <c r="H126" s="842" t="s">
        <v>24</v>
      </c>
      <c r="I126" s="872"/>
      <c r="J126" s="873"/>
      <c r="K126" s="873"/>
      <c r="L126" s="873"/>
      <c r="M126" s="873"/>
      <c r="N126" s="874"/>
      <c r="O126" s="810"/>
      <c r="P126" s="810"/>
    </row>
    <row r="127" spans="1:16" s="863" customFormat="1" ht="18" customHeight="1" x14ac:dyDescent="0.3">
      <c r="A127" s="824">
        <v>120</v>
      </c>
      <c r="B127" s="860"/>
      <c r="C127" s="861"/>
      <c r="D127" s="292" t="s">
        <v>238</v>
      </c>
      <c r="E127" s="1142"/>
      <c r="F127" s="1142"/>
      <c r="G127" s="1213"/>
      <c r="H127" s="862"/>
      <c r="I127" s="843">
        <f>SUM(J127:N127)</f>
        <v>29850</v>
      </c>
      <c r="J127" s="858">
        <f>SUM(J129,J137)+J131+J133+J135</f>
        <v>0</v>
      </c>
      <c r="K127" s="858">
        <f t="shared" ref="K127:N127" si="4">SUM(K129,K137)+K131+K133+K135</f>
        <v>0</v>
      </c>
      <c r="L127" s="858">
        <f t="shared" si="4"/>
        <v>0</v>
      </c>
      <c r="M127" s="858">
        <f t="shared" si="4"/>
        <v>0</v>
      </c>
      <c r="N127" s="859">
        <f t="shared" si="4"/>
        <v>29850</v>
      </c>
    </row>
    <row r="128" spans="1:16" s="889" customFormat="1" ht="18" customHeight="1" x14ac:dyDescent="0.3">
      <c r="A128" s="824">
        <v>121</v>
      </c>
      <c r="B128" s="864"/>
      <c r="C128" s="841"/>
      <c r="D128" s="164" t="s">
        <v>54</v>
      </c>
      <c r="E128" s="992"/>
      <c r="F128" s="992">
        <v>3500</v>
      </c>
      <c r="G128" s="992"/>
      <c r="H128" s="866"/>
      <c r="I128" s="867"/>
      <c r="J128" s="873"/>
      <c r="K128" s="873"/>
      <c r="L128" s="873"/>
      <c r="M128" s="873"/>
      <c r="N128" s="869"/>
      <c r="P128" s="890"/>
    </row>
    <row r="129" spans="1:16" s="891" customFormat="1" ht="18" customHeight="1" x14ac:dyDescent="0.3">
      <c r="A129" s="824">
        <v>122</v>
      </c>
      <c r="B129" s="877"/>
      <c r="C129" s="861"/>
      <c r="D129" s="876" t="s">
        <v>238</v>
      </c>
      <c r="E129" s="1142"/>
      <c r="F129" s="1142"/>
      <c r="G129" s="1213"/>
      <c r="H129" s="880"/>
      <c r="I129" s="871">
        <f>SUM(J129:N129)</f>
        <v>3500</v>
      </c>
      <c r="J129" s="878"/>
      <c r="K129" s="878"/>
      <c r="L129" s="878"/>
      <c r="M129" s="878"/>
      <c r="N129" s="869">
        <v>3500</v>
      </c>
      <c r="P129" s="892"/>
    </row>
    <row r="130" spans="1:16" s="889" customFormat="1" ht="18" customHeight="1" x14ac:dyDescent="0.3">
      <c r="A130" s="824">
        <v>123</v>
      </c>
      <c r="B130" s="864"/>
      <c r="C130" s="841"/>
      <c r="D130" s="164" t="s">
        <v>55</v>
      </c>
      <c r="E130" s="992">
        <v>10000</v>
      </c>
      <c r="F130" s="992">
        <v>20000</v>
      </c>
      <c r="G130" s="991">
        <v>20000</v>
      </c>
      <c r="H130" s="866"/>
      <c r="I130" s="893"/>
      <c r="J130" s="873"/>
      <c r="K130" s="873"/>
      <c r="L130" s="873"/>
      <c r="M130" s="873"/>
      <c r="N130" s="874"/>
      <c r="P130" s="890"/>
    </row>
    <row r="131" spans="1:16" s="889" customFormat="1" ht="18" customHeight="1" x14ac:dyDescent="0.3">
      <c r="A131" s="824">
        <v>124</v>
      </c>
      <c r="B131" s="864"/>
      <c r="C131" s="841"/>
      <c r="D131" s="876" t="s">
        <v>238</v>
      </c>
      <c r="E131" s="992"/>
      <c r="F131" s="992"/>
      <c r="G131" s="991"/>
      <c r="H131" s="866"/>
      <c r="I131" s="871">
        <f>SUM(J131:N131)</f>
        <v>20050</v>
      </c>
      <c r="J131" s="873"/>
      <c r="K131" s="873"/>
      <c r="L131" s="873"/>
      <c r="M131" s="873"/>
      <c r="N131" s="874">
        <f>10000+10050</f>
        <v>20050</v>
      </c>
      <c r="P131" s="890"/>
    </row>
    <row r="132" spans="1:16" s="889" customFormat="1" ht="18" customHeight="1" x14ac:dyDescent="0.3">
      <c r="A132" s="824">
        <v>125</v>
      </c>
      <c r="B132" s="864"/>
      <c r="C132" s="841"/>
      <c r="D132" s="164" t="s">
        <v>447</v>
      </c>
      <c r="E132" s="992">
        <v>4000</v>
      </c>
      <c r="F132" s="992">
        <v>4000</v>
      </c>
      <c r="G132" s="991">
        <v>4000</v>
      </c>
      <c r="H132" s="866"/>
      <c r="I132" s="871"/>
      <c r="J132" s="873"/>
      <c r="K132" s="873"/>
      <c r="L132" s="873"/>
      <c r="M132" s="873"/>
      <c r="N132" s="874"/>
      <c r="P132" s="890"/>
    </row>
    <row r="133" spans="1:16" s="889" customFormat="1" ht="18" customHeight="1" x14ac:dyDescent="0.3">
      <c r="A133" s="824">
        <v>126</v>
      </c>
      <c r="B133" s="864"/>
      <c r="C133" s="841"/>
      <c r="D133" s="876" t="s">
        <v>238</v>
      </c>
      <c r="E133" s="992"/>
      <c r="F133" s="992"/>
      <c r="G133" s="991"/>
      <c r="H133" s="866"/>
      <c r="I133" s="871">
        <f>SUM(J133:N133)</f>
        <v>4000</v>
      </c>
      <c r="J133" s="873"/>
      <c r="K133" s="873"/>
      <c r="L133" s="873"/>
      <c r="M133" s="873"/>
      <c r="N133" s="874">
        <v>4000</v>
      </c>
      <c r="P133" s="890"/>
    </row>
    <row r="134" spans="1:16" s="889" customFormat="1" ht="18" customHeight="1" x14ac:dyDescent="0.3">
      <c r="A134" s="824">
        <v>127</v>
      </c>
      <c r="B134" s="864"/>
      <c r="C134" s="841"/>
      <c r="D134" s="164" t="s">
        <v>333</v>
      </c>
      <c r="E134" s="992">
        <v>1000</v>
      </c>
      <c r="F134" s="992">
        <v>1000</v>
      </c>
      <c r="G134" s="991">
        <v>1000</v>
      </c>
      <c r="H134" s="866"/>
      <c r="I134" s="893"/>
      <c r="J134" s="873"/>
      <c r="K134" s="873"/>
      <c r="L134" s="873"/>
      <c r="M134" s="873"/>
      <c r="N134" s="874"/>
      <c r="P134" s="890"/>
    </row>
    <row r="135" spans="1:16" s="889" customFormat="1" ht="18" customHeight="1" x14ac:dyDescent="0.3">
      <c r="A135" s="824">
        <v>128</v>
      </c>
      <c r="B135" s="864"/>
      <c r="C135" s="841"/>
      <c r="D135" s="876" t="s">
        <v>238</v>
      </c>
      <c r="E135" s="992"/>
      <c r="F135" s="992"/>
      <c r="G135" s="991"/>
      <c r="H135" s="866"/>
      <c r="I135" s="871">
        <f>SUM(J135:N135)</f>
        <v>1000</v>
      </c>
      <c r="J135" s="873"/>
      <c r="K135" s="873"/>
      <c r="L135" s="873"/>
      <c r="M135" s="873"/>
      <c r="N135" s="874">
        <v>1000</v>
      </c>
      <c r="P135" s="890"/>
    </row>
    <row r="136" spans="1:16" s="889" customFormat="1" ht="18" customHeight="1" x14ac:dyDescent="0.3">
      <c r="A136" s="824">
        <v>129</v>
      </c>
      <c r="B136" s="864"/>
      <c r="C136" s="841"/>
      <c r="D136" s="164" t="s">
        <v>334</v>
      </c>
      <c r="E136" s="992">
        <v>1200</v>
      </c>
      <c r="F136" s="992">
        <v>1300</v>
      </c>
      <c r="G136" s="991">
        <v>1300</v>
      </c>
      <c r="H136" s="866"/>
      <c r="I136" s="893"/>
      <c r="J136" s="873"/>
      <c r="K136" s="873"/>
      <c r="L136" s="873"/>
      <c r="M136" s="873"/>
      <c r="N136" s="874"/>
      <c r="P136" s="890"/>
    </row>
    <row r="137" spans="1:16" s="891" customFormat="1" ht="18" customHeight="1" x14ac:dyDescent="0.3">
      <c r="A137" s="824">
        <v>130</v>
      </c>
      <c r="B137" s="877"/>
      <c r="C137" s="861"/>
      <c r="D137" s="876" t="s">
        <v>238</v>
      </c>
      <c r="E137" s="1142"/>
      <c r="F137" s="1142"/>
      <c r="G137" s="1213"/>
      <c r="H137" s="880"/>
      <c r="I137" s="871">
        <f>SUM(J137:N137)</f>
        <v>1300</v>
      </c>
      <c r="J137" s="878"/>
      <c r="K137" s="878"/>
      <c r="L137" s="878"/>
      <c r="M137" s="878"/>
      <c r="N137" s="869">
        <v>1300</v>
      </c>
      <c r="P137" s="892"/>
    </row>
    <row r="138" spans="1:16" s="809" customFormat="1" ht="22.5" customHeight="1" x14ac:dyDescent="0.35">
      <c r="A138" s="824">
        <v>131</v>
      </c>
      <c r="B138" s="888"/>
      <c r="C138" s="849">
        <v>45</v>
      </c>
      <c r="D138" s="850" t="s">
        <v>259</v>
      </c>
      <c r="E138" s="992">
        <f>SUM(E140,E142)+E144+E146+E148+E150</f>
        <v>57605</v>
      </c>
      <c r="F138" s="992">
        <f t="shared" ref="F138:G138" si="5">SUM(F140,F142)+F144+F146+F148+F150</f>
        <v>59700</v>
      </c>
      <c r="G138" s="992">
        <f t="shared" si="5"/>
        <v>59700</v>
      </c>
      <c r="H138" s="842" t="s">
        <v>24</v>
      </c>
      <c r="I138" s="872"/>
      <c r="J138" s="873"/>
      <c r="K138" s="873"/>
      <c r="L138" s="873"/>
      <c r="M138" s="873"/>
      <c r="N138" s="874"/>
      <c r="O138" s="810"/>
      <c r="P138" s="810"/>
    </row>
    <row r="139" spans="1:16" s="863" customFormat="1" ht="18" customHeight="1" x14ac:dyDescent="0.3">
      <c r="A139" s="824">
        <v>132</v>
      </c>
      <c r="B139" s="860"/>
      <c r="C139" s="861"/>
      <c r="D139" s="292" t="s">
        <v>238</v>
      </c>
      <c r="E139" s="1142"/>
      <c r="F139" s="1142"/>
      <c r="G139" s="1213"/>
      <c r="H139" s="862"/>
      <c r="I139" s="843">
        <f>SUM(J139:N139)</f>
        <v>59700</v>
      </c>
      <c r="J139" s="858">
        <f>J141+J143+J145+J147+J149+J151</f>
        <v>0</v>
      </c>
      <c r="K139" s="858">
        <f t="shared" ref="K139:N139" si="6">K141+K143+K145+K147+K149+K151</f>
        <v>0</v>
      </c>
      <c r="L139" s="858">
        <f t="shared" si="6"/>
        <v>100</v>
      </c>
      <c r="M139" s="858">
        <f t="shared" si="6"/>
        <v>0</v>
      </c>
      <c r="N139" s="859">
        <f t="shared" si="6"/>
        <v>59600</v>
      </c>
    </row>
    <row r="140" spans="1:16" s="889" customFormat="1" ht="18" customHeight="1" x14ac:dyDescent="0.3">
      <c r="A140" s="824">
        <v>133</v>
      </c>
      <c r="B140" s="864"/>
      <c r="C140" s="841"/>
      <c r="D140" s="164" t="s">
        <v>593</v>
      </c>
      <c r="E140" s="992">
        <v>5000</v>
      </c>
      <c r="F140" s="992">
        <v>5000</v>
      </c>
      <c r="G140" s="991">
        <v>5000</v>
      </c>
      <c r="H140" s="866"/>
      <c r="I140" s="871"/>
      <c r="J140" s="873"/>
      <c r="K140" s="873"/>
      <c r="L140" s="873"/>
      <c r="M140" s="873"/>
      <c r="N140" s="874"/>
      <c r="P140" s="890"/>
    </row>
    <row r="141" spans="1:16" s="889" customFormat="1" ht="18" customHeight="1" x14ac:dyDescent="0.3">
      <c r="A141" s="824">
        <v>134</v>
      </c>
      <c r="B141" s="864"/>
      <c r="C141" s="841"/>
      <c r="D141" s="876" t="s">
        <v>238</v>
      </c>
      <c r="E141" s="992"/>
      <c r="F141" s="992"/>
      <c r="G141" s="991"/>
      <c r="H141" s="866"/>
      <c r="I141" s="871">
        <f>SUM(J141:N141)</f>
        <v>5000</v>
      </c>
      <c r="J141" s="873"/>
      <c r="K141" s="873"/>
      <c r="L141" s="873"/>
      <c r="M141" s="873"/>
      <c r="N141" s="874">
        <v>5000</v>
      </c>
      <c r="P141" s="890"/>
    </row>
    <row r="142" spans="1:16" s="889" customFormat="1" ht="18" customHeight="1" x14ac:dyDescent="0.3">
      <c r="A142" s="824">
        <v>135</v>
      </c>
      <c r="B142" s="864"/>
      <c r="C142" s="841"/>
      <c r="D142" s="164" t="s">
        <v>221</v>
      </c>
      <c r="E142" s="992">
        <v>800</v>
      </c>
      <c r="F142" s="992">
        <v>1700</v>
      </c>
      <c r="G142" s="991">
        <v>1700</v>
      </c>
      <c r="H142" s="866"/>
      <c r="I142" s="871"/>
      <c r="J142" s="873"/>
      <c r="K142" s="873"/>
      <c r="L142" s="873"/>
      <c r="M142" s="873"/>
      <c r="N142" s="874"/>
      <c r="P142" s="890"/>
    </row>
    <row r="143" spans="1:16" s="891" customFormat="1" ht="18" customHeight="1" x14ac:dyDescent="0.3">
      <c r="A143" s="824">
        <v>136</v>
      </c>
      <c r="B143" s="877"/>
      <c r="C143" s="861"/>
      <c r="D143" s="876" t="s">
        <v>238</v>
      </c>
      <c r="E143" s="1142"/>
      <c r="F143" s="1142"/>
      <c r="G143" s="1213"/>
      <c r="H143" s="880"/>
      <c r="I143" s="871">
        <f>SUM(J143:N143)</f>
        <v>1700</v>
      </c>
      <c r="J143" s="878"/>
      <c r="K143" s="878"/>
      <c r="L143" s="868">
        <v>100</v>
      </c>
      <c r="M143" s="878"/>
      <c r="N143" s="869">
        <v>1600</v>
      </c>
      <c r="P143" s="892"/>
    </row>
    <row r="144" spans="1:16" s="891" customFormat="1" ht="18" customHeight="1" x14ac:dyDescent="0.3">
      <c r="A144" s="824">
        <v>137</v>
      </c>
      <c r="B144" s="877"/>
      <c r="C144" s="861"/>
      <c r="D144" s="164" t="s">
        <v>448</v>
      </c>
      <c r="E144" s="1142">
        <v>715</v>
      </c>
      <c r="F144" s="992">
        <v>3000</v>
      </c>
      <c r="G144" s="992">
        <v>3000</v>
      </c>
      <c r="H144" s="880"/>
      <c r="I144" s="871"/>
      <c r="J144" s="878"/>
      <c r="K144" s="878"/>
      <c r="L144" s="878"/>
      <c r="M144" s="878"/>
      <c r="N144" s="869"/>
      <c r="P144" s="892"/>
    </row>
    <row r="145" spans="1:16" s="891" customFormat="1" ht="18" customHeight="1" x14ac:dyDescent="0.3">
      <c r="A145" s="824">
        <v>138</v>
      </c>
      <c r="B145" s="877"/>
      <c r="C145" s="861"/>
      <c r="D145" s="876" t="s">
        <v>238</v>
      </c>
      <c r="E145" s="1142"/>
      <c r="F145" s="1142"/>
      <c r="G145" s="1213"/>
      <c r="H145" s="880"/>
      <c r="I145" s="871">
        <f>SUM(J145:N145)</f>
        <v>3000</v>
      </c>
      <c r="J145" s="878"/>
      <c r="K145" s="878"/>
      <c r="L145" s="878"/>
      <c r="M145" s="878"/>
      <c r="N145" s="869">
        <v>3000</v>
      </c>
      <c r="P145" s="892"/>
    </row>
    <row r="146" spans="1:16" s="891" customFormat="1" ht="18" customHeight="1" x14ac:dyDescent="0.3">
      <c r="A146" s="824">
        <v>139</v>
      </c>
      <c r="B146" s="877"/>
      <c r="C146" s="861"/>
      <c r="D146" s="164" t="s">
        <v>449</v>
      </c>
      <c r="E146" s="992">
        <v>1090</v>
      </c>
      <c r="F146" s="992"/>
      <c r="G146" s="992"/>
      <c r="H146" s="880"/>
      <c r="I146" s="871"/>
      <c r="J146" s="878"/>
      <c r="K146" s="878"/>
      <c r="L146" s="878"/>
      <c r="M146" s="878"/>
      <c r="N146" s="869"/>
      <c r="P146" s="892"/>
    </row>
    <row r="147" spans="1:16" s="891" customFormat="1" ht="18" customHeight="1" x14ac:dyDescent="0.3">
      <c r="A147" s="824">
        <v>140</v>
      </c>
      <c r="B147" s="877"/>
      <c r="C147" s="861"/>
      <c r="D147" s="876" t="s">
        <v>238</v>
      </c>
      <c r="E147" s="1142"/>
      <c r="F147" s="1142"/>
      <c r="G147" s="1213"/>
      <c r="H147" s="880"/>
      <c r="I147" s="871">
        <f>SUM(J147:N147)</f>
        <v>0</v>
      </c>
      <c r="J147" s="878"/>
      <c r="K147" s="878"/>
      <c r="L147" s="878"/>
      <c r="M147" s="878"/>
      <c r="N147" s="869"/>
      <c r="P147" s="892"/>
    </row>
    <row r="148" spans="1:16" s="891" customFormat="1" ht="31.5" customHeight="1" x14ac:dyDescent="0.3">
      <c r="A148" s="824">
        <v>141</v>
      </c>
      <c r="B148" s="877"/>
      <c r="C148" s="861"/>
      <c r="D148" s="894" t="s">
        <v>515</v>
      </c>
      <c r="E148" s="992">
        <v>30000</v>
      </c>
      <c r="F148" s="992">
        <v>30000</v>
      </c>
      <c r="G148" s="992">
        <v>30000</v>
      </c>
      <c r="H148" s="880"/>
      <c r="I148" s="871"/>
      <c r="J148" s="878"/>
      <c r="K148" s="878"/>
      <c r="L148" s="878"/>
      <c r="M148" s="878"/>
      <c r="N148" s="869"/>
      <c r="P148" s="892"/>
    </row>
    <row r="149" spans="1:16" s="891" customFormat="1" ht="18" customHeight="1" x14ac:dyDescent="0.3">
      <c r="A149" s="824">
        <v>142</v>
      </c>
      <c r="B149" s="877"/>
      <c r="C149" s="861"/>
      <c r="D149" s="876" t="s">
        <v>238</v>
      </c>
      <c r="E149" s="992"/>
      <c r="F149" s="992"/>
      <c r="G149" s="1213"/>
      <c r="H149" s="880"/>
      <c r="I149" s="871">
        <f>SUM(J149:N149)</f>
        <v>30000</v>
      </c>
      <c r="J149" s="878"/>
      <c r="K149" s="878"/>
      <c r="L149" s="878"/>
      <c r="M149" s="878"/>
      <c r="N149" s="869">
        <v>30000</v>
      </c>
      <c r="P149" s="892"/>
    </row>
    <row r="150" spans="1:16" s="891" customFormat="1" ht="18" customHeight="1" x14ac:dyDescent="0.3">
      <c r="A150" s="824">
        <v>143</v>
      </c>
      <c r="B150" s="877"/>
      <c r="C150" s="861"/>
      <c r="D150" s="894" t="s">
        <v>516</v>
      </c>
      <c r="E150" s="992">
        <v>20000</v>
      </c>
      <c r="F150" s="992">
        <v>20000</v>
      </c>
      <c r="G150" s="992">
        <v>20000</v>
      </c>
      <c r="H150" s="880"/>
      <c r="I150" s="871"/>
      <c r="J150" s="878"/>
      <c r="K150" s="878"/>
      <c r="L150" s="878"/>
      <c r="M150" s="878"/>
      <c r="N150" s="869"/>
      <c r="P150" s="892"/>
    </row>
    <row r="151" spans="1:16" s="891" customFormat="1" ht="18" customHeight="1" x14ac:dyDescent="0.3">
      <c r="A151" s="824">
        <v>144</v>
      </c>
      <c r="B151" s="877"/>
      <c r="C151" s="861"/>
      <c r="D151" s="876" t="s">
        <v>238</v>
      </c>
      <c r="E151" s="1142"/>
      <c r="F151" s="1142"/>
      <c r="G151" s="1213"/>
      <c r="H151" s="880"/>
      <c r="I151" s="871">
        <f>SUM(J151:N151)</f>
        <v>20000</v>
      </c>
      <c r="J151" s="878"/>
      <c r="K151" s="878"/>
      <c r="L151" s="878"/>
      <c r="M151" s="878"/>
      <c r="N151" s="869">
        <v>20000</v>
      </c>
      <c r="P151" s="892"/>
    </row>
    <row r="152" spans="1:16" s="886" customFormat="1" ht="22.5" customHeight="1" x14ac:dyDescent="0.3">
      <c r="A152" s="824">
        <v>145</v>
      </c>
      <c r="B152" s="895"/>
      <c r="C152" s="849">
        <v>46</v>
      </c>
      <c r="D152" s="850" t="s">
        <v>284</v>
      </c>
      <c r="E152" s="992">
        <v>33000</v>
      </c>
      <c r="F152" s="992">
        <v>35000</v>
      </c>
      <c r="G152" s="991">
        <v>43000</v>
      </c>
      <c r="H152" s="842" t="s">
        <v>24</v>
      </c>
      <c r="I152" s="867"/>
      <c r="J152" s="868"/>
      <c r="K152" s="868"/>
      <c r="L152" s="868"/>
      <c r="M152" s="868"/>
      <c r="N152" s="869"/>
      <c r="P152" s="810"/>
    </row>
    <row r="153" spans="1:16" s="879" customFormat="1" ht="18" customHeight="1" x14ac:dyDescent="0.3">
      <c r="A153" s="824">
        <v>146</v>
      </c>
      <c r="B153" s="877"/>
      <c r="C153" s="861"/>
      <c r="D153" s="292" t="s">
        <v>238</v>
      </c>
      <c r="E153" s="1142"/>
      <c r="F153" s="1142"/>
      <c r="G153" s="1213"/>
      <c r="H153" s="880"/>
      <c r="I153" s="843">
        <f>SUM(J153:N153)</f>
        <v>35000</v>
      </c>
      <c r="J153" s="878"/>
      <c r="K153" s="878"/>
      <c r="L153" s="878"/>
      <c r="M153" s="878"/>
      <c r="N153" s="854">
        <v>35000</v>
      </c>
      <c r="P153" s="863"/>
    </row>
    <row r="154" spans="1:16" s="809" customFormat="1" ht="22.5" customHeight="1" x14ac:dyDescent="0.35">
      <c r="A154" s="824">
        <v>147</v>
      </c>
      <c r="B154" s="888"/>
      <c r="C154" s="849">
        <v>48</v>
      </c>
      <c r="D154" s="850" t="s">
        <v>222</v>
      </c>
      <c r="E154" s="992"/>
      <c r="F154" s="992">
        <v>100</v>
      </c>
      <c r="G154" s="991">
        <v>300</v>
      </c>
      <c r="H154" s="842" t="s">
        <v>23</v>
      </c>
      <c r="I154" s="843"/>
      <c r="J154" s="844"/>
      <c r="K154" s="844"/>
      <c r="L154" s="844"/>
      <c r="M154" s="844"/>
      <c r="N154" s="846"/>
      <c r="P154" s="810"/>
    </row>
    <row r="155" spans="1:16" s="863" customFormat="1" ht="18" customHeight="1" x14ac:dyDescent="0.3">
      <c r="A155" s="824">
        <v>148</v>
      </c>
      <c r="B155" s="860"/>
      <c r="C155" s="861"/>
      <c r="D155" s="292" t="s">
        <v>238</v>
      </c>
      <c r="E155" s="1142"/>
      <c r="F155" s="1142"/>
      <c r="G155" s="1213"/>
      <c r="H155" s="862"/>
      <c r="I155" s="843">
        <f>SUM(J155:N155)</f>
        <v>100</v>
      </c>
      <c r="J155" s="845"/>
      <c r="K155" s="845"/>
      <c r="L155" s="845"/>
      <c r="M155" s="845">
        <v>100</v>
      </c>
      <c r="N155" s="854"/>
    </row>
    <row r="156" spans="1:16" s="810" customFormat="1" ht="22.5" customHeight="1" x14ac:dyDescent="0.3">
      <c r="A156" s="824">
        <v>149</v>
      </c>
      <c r="B156" s="896"/>
      <c r="C156" s="849">
        <v>49</v>
      </c>
      <c r="D156" s="834" t="s">
        <v>260</v>
      </c>
      <c r="E156" s="992">
        <v>13</v>
      </c>
      <c r="F156" s="992">
        <v>85</v>
      </c>
      <c r="G156" s="991">
        <v>85</v>
      </c>
      <c r="H156" s="835" t="s">
        <v>23</v>
      </c>
      <c r="I156" s="843"/>
      <c r="J156" s="844"/>
      <c r="K156" s="844"/>
      <c r="L156" s="844"/>
      <c r="M156" s="844"/>
      <c r="N156" s="846"/>
    </row>
    <row r="157" spans="1:16" s="863" customFormat="1" ht="18" customHeight="1" x14ac:dyDescent="0.3">
      <c r="A157" s="824">
        <v>150</v>
      </c>
      <c r="B157" s="860"/>
      <c r="C157" s="861"/>
      <c r="D157" s="292" t="s">
        <v>238</v>
      </c>
      <c r="E157" s="1142"/>
      <c r="F157" s="1142"/>
      <c r="G157" s="1213"/>
      <c r="H157" s="897"/>
      <c r="I157" s="843">
        <f>SUM(J157:N157)</f>
        <v>85</v>
      </c>
      <c r="J157" s="845"/>
      <c r="K157" s="845"/>
      <c r="L157" s="845"/>
      <c r="M157" s="845">
        <v>85</v>
      </c>
      <c r="N157" s="854"/>
    </row>
    <row r="158" spans="1:16" s="809" customFormat="1" ht="22.5" customHeight="1" x14ac:dyDescent="0.35">
      <c r="A158" s="824">
        <v>151</v>
      </c>
      <c r="B158" s="888"/>
      <c r="C158" s="849">
        <v>50</v>
      </c>
      <c r="D158" s="850" t="s">
        <v>223</v>
      </c>
      <c r="E158" s="992">
        <f>SUM(E160,E164,E166,E168,E170,E172,E174,E176)+E162</f>
        <v>15255</v>
      </c>
      <c r="F158" s="992">
        <f t="shared" ref="F158:G158" si="7">SUM(F160,F164,F166,F168,F170,F172,F174,F176)+F162</f>
        <v>28100</v>
      </c>
      <c r="G158" s="992">
        <f t="shared" si="7"/>
        <v>28200</v>
      </c>
      <c r="H158" s="842"/>
      <c r="I158" s="855"/>
      <c r="J158" s="856"/>
      <c r="K158" s="856"/>
      <c r="L158" s="856"/>
      <c r="M158" s="856"/>
      <c r="N158" s="857"/>
      <c r="O158" s="810"/>
      <c r="P158" s="810"/>
    </row>
    <row r="159" spans="1:16" s="863" customFormat="1" ht="18" customHeight="1" x14ac:dyDescent="0.3">
      <c r="A159" s="824">
        <v>152</v>
      </c>
      <c r="B159" s="860"/>
      <c r="C159" s="861"/>
      <c r="D159" s="292" t="s">
        <v>238</v>
      </c>
      <c r="E159" s="1142"/>
      <c r="F159" s="1142"/>
      <c r="G159" s="1213"/>
      <c r="H159" s="862"/>
      <c r="I159" s="843">
        <f>SUM(J159:N159)</f>
        <v>28100</v>
      </c>
      <c r="J159" s="845">
        <f>SUM(J161,J165,J167,J169,J171,J173,J175,J177)+J163</f>
        <v>0</v>
      </c>
      <c r="K159" s="845">
        <f>SUM(K161,K165,K167,K169,K171,K173,K175,K177)+K163</f>
        <v>0</v>
      </c>
      <c r="L159" s="845">
        <f>SUM(L161,L165,L167,L169,L171,L173,L175,L177)+L163</f>
        <v>0</v>
      </c>
      <c r="M159" s="845">
        <f>SUM(M161,M165,M167,M169,M171,M173,M175,M177)+M163</f>
        <v>28100</v>
      </c>
      <c r="N159" s="854">
        <f>SUM(N161,N165,N167,N169,N171,N173,N175,N177)+N163</f>
        <v>0</v>
      </c>
    </row>
    <row r="160" spans="1:16" s="889" customFormat="1" ht="18" customHeight="1" x14ac:dyDescent="0.3">
      <c r="A160" s="824">
        <v>153</v>
      </c>
      <c r="B160" s="864"/>
      <c r="C160" s="841"/>
      <c r="D160" s="164" t="s">
        <v>225</v>
      </c>
      <c r="E160" s="992">
        <v>5397</v>
      </c>
      <c r="F160" s="992">
        <v>7990</v>
      </c>
      <c r="G160" s="991">
        <v>11490</v>
      </c>
      <c r="H160" s="866" t="s">
        <v>23</v>
      </c>
      <c r="I160" s="867"/>
      <c r="J160" s="868"/>
      <c r="K160" s="868"/>
      <c r="L160" s="868"/>
      <c r="M160" s="868"/>
      <c r="N160" s="869"/>
      <c r="P160" s="890"/>
    </row>
    <row r="161" spans="1:16" s="891" customFormat="1" ht="18" customHeight="1" x14ac:dyDescent="0.3">
      <c r="A161" s="824">
        <v>154</v>
      </c>
      <c r="B161" s="877"/>
      <c r="C161" s="861"/>
      <c r="D161" s="876" t="s">
        <v>238</v>
      </c>
      <c r="E161" s="1142"/>
      <c r="F161" s="1142"/>
      <c r="G161" s="1213"/>
      <c r="H161" s="880"/>
      <c r="I161" s="871">
        <f>SUM(J161:N161)</f>
        <v>7990</v>
      </c>
      <c r="J161" s="878"/>
      <c r="K161" s="878"/>
      <c r="L161" s="878"/>
      <c r="M161" s="868">
        <v>7990</v>
      </c>
      <c r="N161" s="898"/>
      <c r="P161" s="892"/>
    </row>
    <row r="162" spans="1:16" s="889" customFormat="1" ht="18" customHeight="1" x14ac:dyDescent="0.3">
      <c r="A162" s="824">
        <v>155</v>
      </c>
      <c r="B162" s="864"/>
      <c r="C162" s="841"/>
      <c r="D162" s="881" t="s">
        <v>306</v>
      </c>
      <c r="E162" s="992">
        <v>1110</v>
      </c>
      <c r="F162" s="992">
        <v>2000</v>
      </c>
      <c r="G162" s="991">
        <v>960</v>
      </c>
      <c r="H162" s="866" t="s">
        <v>24</v>
      </c>
      <c r="I162" s="871"/>
      <c r="J162" s="868"/>
      <c r="K162" s="868"/>
      <c r="L162" s="868"/>
      <c r="M162" s="868"/>
      <c r="N162" s="869"/>
      <c r="P162" s="890"/>
    </row>
    <row r="163" spans="1:16" s="891" customFormat="1" ht="18" customHeight="1" x14ac:dyDescent="0.3">
      <c r="A163" s="824">
        <v>156</v>
      </c>
      <c r="B163" s="877"/>
      <c r="C163" s="861"/>
      <c r="D163" s="876" t="s">
        <v>238</v>
      </c>
      <c r="E163" s="1142"/>
      <c r="F163" s="1142"/>
      <c r="G163" s="1213"/>
      <c r="H163" s="880"/>
      <c r="I163" s="871">
        <f>SUM(J163:N163)</f>
        <v>2000</v>
      </c>
      <c r="J163" s="878"/>
      <c r="K163" s="878"/>
      <c r="L163" s="878"/>
      <c r="M163" s="868">
        <v>2000</v>
      </c>
      <c r="N163" s="898"/>
      <c r="P163" s="892"/>
    </row>
    <row r="164" spans="1:16" s="889" customFormat="1" ht="18" customHeight="1" x14ac:dyDescent="0.3">
      <c r="A164" s="824">
        <v>157</v>
      </c>
      <c r="B164" s="864"/>
      <c r="C164" s="841"/>
      <c r="D164" s="881" t="s">
        <v>261</v>
      </c>
      <c r="E164" s="992">
        <v>5075</v>
      </c>
      <c r="F164" s="992">
        <v>8000</v>
      </c>
      <c r="G164" s="991">
        <v>8000</v>
      </c>
      <c r="H164" s="866" t="s">
        <v>24</v>
      </c>
      <c r="I164" s="893"/>
      <c r="J164" s="873"/>
      <c r="K164" s="873"/>
      <c r="L164" s="873"/>
      <c r="M164" s="873"/>
      <c r="N164" s="874"/>
      <c r="P164" s="890"/>
    </row>
    <row r="165" spans="1:16" s="891" customFormat="1" ht="18" customHeight="1" x14ac:dyDescent="0.3">
      <c r="A165" s="824">
        <v>158</v>
      </c>
      <c r="B165" s="877"/>
      <c r="C165" s="861"/>
      <c r="D165" s="876" t="s">
        <v>238</v>
      </c>
      <c r="E165" s="1142"/>
      <c r="F165" s="1142"/>
      <c r="G165" s="1213"/>
      <c r="H165" s="880"/>
      <c r="I165" s="871">
        <f>SUM(J165:N165)</f>
        <v>8000</v>
      </c>
      <c r="J165" s="878"/>
      <c r="K165" s="878"/>
      <c r="L165" s="878"/>
      <c r="M165" s="868">
        <v>8000</v>
      </c>
      <c r="N165" s="898"/>
      <c r="P165" s="892"/>
    </row>
    <row r="166" spans="1:16" s="889" customFormat="1" ht="18" customHeight="1" x14ac:dyDescent="0.3">
      <c r="A166" s="824">
        <v>159</v>
      </c>
      <c r="B166" s="864"/>
      <c r="C166" s="841"/>
      <c r="D166" s="881" t="s">
        <v>262</v>
      </c>
      <c r="E166" s="992"/>
      <c r="F166" s="992">
        <v>100</v>
      </c>
      <c r="G166" s="991">
        <v>100</v>
      </c>
      <c r="H166" s="866" t="s">
        <v>24</v>
      </c>
      <c r="I166" s="893"/>
      <c r="J166" s="873"/>
      <c r="K166" s="873"/>
      <c r="L166" s="873"/>
      <c r="M166" s="873"/>
      <c r="N166" s="874"/>
      <c r="P166" s="890"/>
    </row>
    <row r="167" spans="1:16" s="891" customFormat="1" ht="18" customHeight="1" x14ac:dyDescent="0.3">
      <c r="A167" s="824">
        <v>160</v>
      </c>
      <c r="B167" s="877"/>
      <c r="C167" s="861"/>
      <c r="D167" s="876" t="s">
        <v>238</v>
      </c>
      <c r="E167" s="1142"/>
      <c r="F167" s="1142"/>
      <c r="G167" s="1213"/>
      <c r="H167" s="880"/>
      <c r="I167" s="871">
        <f>SUM(J167:N167)</f>
        <v>100</v>
      </c>
      <c r="J167" s="878"/>
      <c r="K167" s="878"/>
      <c r="L167" s="878"/>
      <c r="M167" s="868">
        <v>100</v>
      </c>
      <c r="N167" s="898"/>
      <c r="P167" s="892"/>
    </row>
    <row r="168" spans="1:16" s="889" customFormat="1" ht="18" customHeight="1" x14ac:dyDescent="0.3">
      <c r="A168" s="824">
        <v>161</v>
      </c>
      <c r="B168" s="864"/>
      <c r="C168" s="841"/>
      <c r="D168" s="881" t="s">
        <v>263</v>
      </c>
      <c r="E168" s="992">
        <v>2035</v>
      </c>
      <c r="F168" s="992">
        <v>6000</v>
      </c>
      <c r="G168" s="991">
        <v>3640</v>
      </c>
      <c r="H168" s="866" t="s">
        <v>24</v>
      </c>
      <c r="I168" s="893"/>
      <c r="J168" s="873"/>
      <c r="K168" s="873"/>
      <c r="L168" s="873"/>
      <c r="M168" s="873"/>
      <c r="N168" s="874"/>
      <c r="P168" s="890"/>
    </row>
    <row r="169" spans="1:16" s="891" customFormat="1" ht="18" customHeight="1" x14ac:dyDescent="0.3">
      <c r="A169" s="824">
        <v>162</v>
      </c>
      <c r="B169" s="877"/>
      <c r="C169" s="861"/>
      <c r="D169" s="876" t="s">
        <v>238</v>
      </c>
      <c r="E169" s="1142"/>
      <c r="F169" s="1142"/>
      <c r="G169" s="1213"/>
      <c r="H169" s="880"/>
      <c r="I169" s="871">
        <f>SUM(J169:N169)</f>
        <v>6000</v>
      </c>
      <c r="J169" s="878"/>
      <c r="K169" s="878"/>
      <c r="L169" s="878"/>
      <c r="M169" s="868">
        <v>6000</v>
      </c>
      <c r="N169" s="898"/>
      <c r="P169" s="892"/>
    </row>
    <row r="170" spans="1:16" s="889" customFormat="1" ht="18" customHeight="1" x14ac:dyDescent="0.3">
      <c r="A170" s="824">
        <v>163</v>
      </c>
      <c r="B170" s="864"/>
      <c r="C170" s="841"/>
      <c r="D170" s="881" t="s">
        <v>264</v>
      </c>
      <c r="E170" s="992">
        <v>57</v>
      </c>
      <c r="F170" s="992">
        <v>500</v>
      </c>
      <c r="G170" s="991">
        <v>500</v>
      </c>
      <c r="H170" s="866" t="s">
        <v>24</v>
      </c>
      <c r="I170" s="893"/>
      <c r="J170" s="873"/>
      <c r="K170" s="873"/>
      <c r="L170" s="873"/>
      <c r="M170" s="873"/>
      <c r="N170" s="874"/>
      <c r="P170" s="890"/>
    </row>
    <row r="171" spans="1:16" s="891" customFormat="1" ht="18" customHeight="1" x14ac:dyDescent="0.3">
      <c r="A171" s="824">
        <v>164</v>
      </c>
      <c r="B171" s="877"/>
      <c r="C171" s="861"/>
      <c r="D171" s="876" t="s">
        <v>238</v>
      </c>
      <c r="E171" s="1142"/>
      <c r="F171" s="1142"/>
      <c r="G171" s="1213"/>
      <c r="H171" s="880"/>
      <c r="I171" s="871">
        <f>SUM(J171:N171)</f>
        <v>500</v>
      </c>
      <c r="J171" s="878"/>
      <c r="K171" s="878"/>
      <c r="L171" s="878"/>
      <c r="M171" s="868">
        <v>500</v>
      </c>
      <c r="N171" s="898"/>
      <c r="P171" s="892"/>
    </row>
    <row r="172" spans="1:16" s="889" customFormat="1" ht="18" customHeight="1" x14ac:dyDescent="0.3">
      <c r="A172" s="824">
        <v>165</v>
      </c>
      <c r="B172" s="864"/>
      <c r="C172" s="841"/>
      <c r="D172" s="881" t="s">
        <v>265</v>
      </c>
      <c r="E172" s="992">
        <v>1290</v>
      </c>
      <c r="F172" s="992">
        <v>2000</v>
      </c>
      <c r="G172" s="991">
        <v>2000</v>
      </c>
      <c r="H172" s="866" t="s">
        <v>24</v>
      </c>
      <c r="I172" s="893"/>
      <c r="J172" s="873"/>
      <c r="K172" s="873"/>
      <c r="L172" s="873"/>
      <c r="M172" s="873"/>
      <c r="N172" s="874"/>
      <c r="P172" s="890"/>
    </row>
    <row r="173" spans="1:16" s="891" customFormat="1" ht="18" customHeight="1" x14ac:dyDescent="0.3">
      <c r="A173" s="824">
        <v>166</v>
      </c>
      <c r="B173" s="877"/>
      <c r="C173" s="861"/>
      <c r="D173" s="876" t="s">
        <v>238</v>
      </c>
      <c r="E173" s="1142"/>
      <c r="F173" s="1142"/>
      <c r="G173" s="1213"/>
      <c r="H173" s="880"/>
      <c r="I173" s="871">
        <f>SUM(J173:N173)</f>
        <v>2000</v>
      </c>
      <c r="J173" s="878"/>
      <c r="K173" s="878"/>
      <c r="L173" s="878"/>
      <c r="M173" s="868">
        <v>2000</v>
      </c>
      <c r="N173" s="898"/>
      <c r="P173" s="892"/>
    </row>
    <row r="174" spans="1:16" s="889" customFormat="1" ht="18" customHeight="1" x14ac:dyDescent="0.3">
      <c r="A174" s="824">
        <v>167</v>
      </c>
      <c r="B174" s="864"/>
      <c r="C174" s="841"/>
      <c r="D174" s="881" t="s">
        <v>266</v>
      </c>
      <c r="E174" s="992"/>
      <c r="F174" s="992">
        <v>1000</v>
      </c>
      <c r="G174" s="991">
        <v>1000</v>
      </c>
      <c r="H174" s="866" t="s">
        <v>24</v>
      </c>
      <c r="I174" s="893"/>
      <c r="J174" s="873"/>
      <c r="K174" s="873"/>
      <c r="L174" s="873"/>
      <c r="M174" s="873"/>
      <c r="N174" s="874"/>
      <c r="P174" s="890"/>
    </row>
    <row r="175" spans="1:16" s="891" customFormat="1" ht="18" customHeight="1" x14ac:dyDescent="0.3">
      <c r="A175" s="824">
        <v>168</v>
      </c>
      <c r="B175" s="877"/>
      <c r="C175" s="861"/>
      <c r="D175" s="876" t="s">
        <v>238</v>
      </c>
      <c r="E175" s="1142"/>
      <c r="F175" s="1142"/>
      <c r="G175" s="1213"/>
      <c r="H175" s="880"/>
      <c r="I175" s="871">
        <f>SUM(J175:N175)</f>
        <v>1000</v>
      </c>
      <c r="J175" s="878"/>
      <c r="K175" s="878"/>
      <c r="L175" s="878"/>
      <c r="M175" s="868">
        <v>1000</v>
      </c>
      <c r="N175" s="898"/>
      <c r="P175" s="892"/>
    </row>
    <row r="176" spans="1:16" s="889" customFormat="1" ht="18" customHeight="1" x14ac:dyDescent="0.3">
      <c r="A176" s="824">
        <v>169</v>
      </c>
      <c r="B176" s="864"/>
      <c r="C176" s="841"/>
      <c r="D176" s="881" t="s">
        <v>267</v>
      </c>
      <c r="E176" s="992">
        <v>291</v>
      </c>
      <c r="F176" s="992">
        <v>510</v>
      </c>
      <c r="G176" s="991">
        <v>510</v>
      </c>
      <c r="H176" s="866" t="s">
        <v>24</v>
      </c>
      <c r="I176" s="871"/>
      <c r="J176" s="868"/>
      <c r="K176" s="868"/>
      <c r="L176" s="868"/>
      <c r="M176" s="868"/>
      <c r="N176" s="869"/>
      <c r="P176" s="890"/>
    </row>
    <row r="177" spans="1:16" s="891" customFormat="1" ht="18" customHeight="1" x14ac:dyDescent="0.3">
      <c r="A177" s="824">
        <v>170</v>
      </c>
      <c r="B177" s="877"/>
      <c r="C177" s="861"/>
      <c r="D177" s="876" t="s">
        <v>238</v>
      </c>
      <c r="E177" s="1142"/>
      <c r="F177" s="1142"/>
      <c r="G177" s="1213"/>
      <c r="H177" s="880"/>
      <c r="I177" s="871">
        <f>SUM(J177:N177)</f>
        <v>510</v>
      </c>
      <c r="J177" s="878"/>
      <c r="K177" s="878"/>
      <c r="L177" s="878"/>
      <c r="M177" s="868">
        <v>510</v>
      </c>
      <c r="N177" s="898"/>
      <c r="P177" s="892"/>
    </row>
    <row r="178" spans="1:16" s="891" customFormat="1" ht="18" customHeight="1" x14ac:dyDescent="0.3">
      <c r="A178" s="824">
        <v>171</v>
      </c>
      <c r="B178" s="877"/>
      <c r="C178" s="861"/>
      <c r="D178" s="881" t="s">
        <v>450</v>
      </c>
      <c r="E178" s="1142"/>
      <c r="F178" s="992"/>
      <c r="G178" s="1213"/>
      <c r="H178" s="866" t="s">
        <v>24</v>
      </c>
      <c r="I178" s="871"/>
      <c r="J178" s="878"/>
      <c r="K178" s="878"/>
      <c r="L178" s="878"/>
      <c r="M178" s="868"/>
      <c r="N178" s="898"/>
      <c r="P178" s="892"/>
    </row>
    <row r="179" spans="1:16" s="839" customFormat="1" ht="22.5" customHeight="1" x14ac:dyDescent="0.3">
      <c r="A179" s="824">
        <v>172</v>
      </c>
      <c r="B179" s="848"/>
      <c r="C179" s="849">
        <v>51</v>
      </c>
      <c r="D179" s="850" t="s">
        <v>56</v>
      </c>
      <c r="E179" s="992">
        <v>4706</v>
      </c>
      <c r="F179" s="992">
        <v>7000</v>
      </c>
      <c r="G179" s="991">
        <v>7000</v>
      </c>
      <c r="H179" s="842" t="s">
        <v>23</v>
      </c>
      <c r="I179" s="843"/>
      <c r="J179" s="844"/>
      <c r="K179" s="844"/>
      <c r="L179" s="844"/>
      <c r="M179" s="844"/>
      <c r="N179" s="846"/>
      <c r="P179" s="847"/>
    </row>
    <row r="180" spans="1:16" s="863" customFormat="1" ht="18" customHeight="1" x14ac:dyDescent="0.3">
      <c r="A180" s="824">
        <v>173</v>
      </c>
      <c r="B180" s="860"/>
      <c r="C180" s="861"/>
      <c r="D180" s="292" t="s">
        <v>238</v>
      </c>
      <c r="E180" s="1142"/>
      <c r="F180" s="1142"/>
      <c r="G180" s="1213"/>
      <c r="H180" s="862"/>
      <c r="I180" s="843">
        <f>SUM(J180:N180)</f>
        <v>7000</v>
      </c>
      <c r="J180" s="845"/>
      <c r="K180" s="845"/>
      <c r="L180" s="845"/>
      <c r="M180" s="845">
        <v>7000</v>
      </c>
      <c r="N180" s="854"/>
    </row>
    <row r="181" spans="1:16" s="809" customFormat="1" ht="22.5" customHeight="1" x14ac:dyDescent="0.35">
      <c r="A181" s="824">
        <v>174</v>
      </c>
      <c r="B181" s="888"/>
      <c r="C181" s="849">
        <v>52</v>
      </c>
      <c r="D181" s="850" t="s">
        <v>57</v>
      </c>
      <c r="E181" s="992">
        <v>1693</v>
      </c>
      <c r="F181" s="992">
        <v>6177</v>
      </c>
      <c r="G181" s="991">
        <v>6177</v>
      </c>
      <c r="H181" s="842" t="s">
        <v>23</v>
      </c>
      <c r="I181" s="843"/>
      <c r="J181" s="844"/>
      <c r="K181" s="844"/>
      <c r="L181" s="844"/>
      <c r="M181" s="844"/>
      <c r="N181" s="846"/>
      <c r="P181" s="810"/>
    </row>
    <row r="182" spans="1:16" s="863" customFormat="1" ht="18" customHeight="1" x14ac:dyDescent="0.3">
      <c r="A182" s="824">
        <v>175</v>
      </c>
      <c r="B182" s="860"/>
      <c r="C182" s="861"/>
      <c r="D182" s="292" t="s">
        <v>238</v>
      </c>
      <c r="E182" s="1142"/>
      <c r="F182" s="1142"/>
      <c r="G182" s="1213"/>
      <c r="H182" s="862"/>
      <c r="I182" s="843">
        <f>SUM(J182:N182)</f>
        <v>6177</v>
      </c>
      <c r="J182" s="845">
        <v>5800</v>
      </c>
      <c r="K182" s="845">
        <v>377</v>
      </c>
      <c r="L182" s="845"/>
      <c r="M182" s="845"/>
      <c r="N182" s="854"/>
    </row>
    <row r="183" spans="1:16" s="809" customFormat="1" ht="22.5" customHeight="1" x14ac:dyDescent="0.35">
      <c r="A183" s="824">
        <v>176</v>
      </c>
      <c r="B183" s="888"/>
      <c r="C183" s="849">
        <v>53</v>
      </c>
      <c r="D183" s="850" t="s">
        <v>216</v>
      </c>
      <c r="E183" s="992">
        <v>216</v>
      </c>
      <c r="F183" s="992">
        <v>4407</v>
      </c>
      <c r="G183" s="991">
        <v>4407</v>
      </c>
      <c r="H183" s="842" t="s">
        <v>24</v>
      </c>
      <c r="I183" s="843"/>
      <c r="J183" s="844"/>
      <c r="K183" s="844"/>
      <c r="L183" s="844"/>
      <c r="M183" s="844"/>
      <c r="N183" s="846"/>
      <c r="P183" s="810"/>
    </row>
    <row r="184" spans="1:16" s="863" customFormat="1" ht="18" customHeight="1" x14ac:dyDescent="0.3">
      <c r="A184" s="824">
        <v>177</v>
      </c>
      <c r="B184" s="860"/>
      <c r="C184" s="861"/>
      <c r="D184" s="292" t="s">
        <v>238</v>
      </c>
      <c r="E184" s="1142"/>
      <c r="F184" s="1142"/>
      <c r="G184" s="1213"/>
      <c r="H184" s="862"/>
      <c r="I184" s="843">
        <f>SUM(J184:N184)</f>
        <v>4407</v>
      </c>
      <c r="J184" s="845">
        <v>3900</v>
      </c>
      <c r="K184" s="845">
        <v>507</v>
      </c>
      <c r="L184" s="845"/>
      <c r="M184" s="845"/>
      <c r="N184" s="854"/>
    </row>
    <row r="185" spans="1:16" s="809" customFormat="1" ht="22.5" customHeight="1" x14ac:dyDescent="0.35">
      <c r="A185" s="824">
        <v>178</v>
      </c>
      <c r="B185" s="888"/>
      <c r="C185" s="849">
        <v>54</v>
      </c>
      <c r="D185" s="850" t="s">
        <v>58</v>
      </c>
      <c r="E185" s="992"/>
      <c r="F185" s="992">
        <v>100</v>
      </c>
      <c r="G185" s="991">
        <v>1500</v>
      </c>
      <c r="H185" s="842" t="s">
        <v>24</v>
      </c>
      <c r="I185" s="843"/>
      <c r="J185" s="844"/>
      <c r="K185" s="844"/>
      <c r="L185" s="844"/>
      <c r="M185" s="844"/>
      <c r="N185" s="846"/>
      <c r="P185" s="810"/>
    </row>
    <row r="186" spans="1:16" s="863" customFormat="1" ht="18" customHeight="1" x14ac:dyDescent="0.3">
      <c r="A186" s="824">
        <v>179</v>
      </c>
      <c r="B186" s="860"/>
      <c r="C186" s="861"/>
      <c r="D186" s="292" t="s">
        <v>238</v>
      </c>
      <c r="E186" s="1142"/>
      <c r="F186" s="1142"/>
      <c r="G186" s="1213"/>
      <c r="H186" s="862"/>
      <c r="I186" s="843">
        <f>SUM(J186:N186)</f>
        <v>100</v>
      </c>
      <c r="J186" s="845"/>
      <c r="K186" s="845"/>
      <c r="L186" s="845"/>
      <c r="M186" s="845">
        <v>100</v>
      </c>
      <c r="N186" s="854"/>
    </row>
    <row r="187" spans="1:16" s="809" customFormat="1" ht="22.5" customHeight="1" x14ac:dyDescent="0.35">
      <c r="A187" s="824">
        <v>180</v>
      </c>
      <c r="B187" s="888"/>
      <c r="C187" s="849">
        <v>56</v>
      </c>
      <c r="D187" s="850" t="s">
        <v>236</v>
      </c>
      <c r="E187" s="992">
        <v>12000</v>
      </c>
      <c r="F187" s="992">
        <v>12000</v>
      </c>
      <c r="G187" s="991">
        <v>12000</v>
      </c>
      <c r="H187" s="842" t="s">
        <v>23</v>
      </c>
      <c r="I187" s="843"/>
      <c r="J187" s="844"/>
      <c r="K187" s="844"/>
      <c r="L187" s="844"/>
      <c r="M187" s="844"/>
      <c r="N187" s="846"/>
      <c r="P187" s="810"/>
    </row>
    <row r="188" spans="1:16" s="863" customFormat="1" ht="18" customHeight="1" x14ac:dyDescent="0.3">
      <c r="A188" s="824">
        <v>181</v>
      </c>
      <c r="B188" s="860"/>
      <c r="C188" s="861"/>
      <c r="D188" s="292" t="s">
        <v>238</v>
      </c>
      <c r="E188" s="1142"/>
      <c r="F188" s="1142"/>
      <c r="G188" s="1213"/>
      <c r="H188" s="862"/>
      <c r="I188" s="843">
        <f>SUM(J188:N188)</f>
        <v>12000</v>
      </c>
      <c r="J188" s="845"/>
      <c r="K188" s="845"/>
      <c r="L188" s="845"/>
      <c r="M188" s="845"/>
      <c r="N188" s="854">
        <v>12000</v>
      </c>
    </row>
    <row r="189" spans="1:16" s="809" customFormat="1" ht="22.5" customHeight="1" x14ac:dyDescent="0.35">
      <c r="A189" s="824">
        <v>182</v>
      </c>
      <c r="B189" s="888"/>
      <c r="C189" s="849">
        <v>57</v>
      </c>
      <c r="D189" s="850" t="s">
        <v>59</v>
      </c>
      <c r="E189" s="992">
        <v>85000</v>
      </c>
      <c r="F189" s="992">
        <v>85000</v>
      </c>
      <c r="G189" s="991">
        <v>85000</v>
      </c>
      <c r="H189" s="842" t="s">
        <v>23</v>
      </c>
      <c r="I189" s="843"/>
      <c r="J189" s="844"/>
      <c r="K189" s="844"/>
      <c r="L189" s="844"/>
      <c r="M189" s="844"/>
      <c r="N189" s="846"/>
      <c r="P189" s="810"/>
    </row>
    <row r="190" spans="1:16" s="863" customFormat="1" ht="18" customHeight="1" x14ac:dyDescent="0.3">
      <c r="A190" s="824">
        <v>183</v>
      </c>
      <c r="B190" s="860"/>
      <c r="C190" s="861"/>
      <c r="D190" s="292" t="s">
        <v>238</v>
      </c>
      <c r="E190" s="1142"/>
      <c r="F190" s="1142"/>
      <c r="G190" s="1213"/>
      <c r="H190" s="862"/>
      <c r="I190" s="843">
        <f>SUM(J190:N190)</f>
        <v>85000</v>
      </c>
      <c r="J190" s="845"/>
      <c r="K190" s="845"/>
      <c r="L190" s="845"/>
      <c r="M190" s="845"/>
      <c r="N190" s="854">
        <v>85000</v>
      </c>
    </row>
    <row r="191" spans="1:16" s="809" customFormat="1" ht="22.5" customHeight="1" x14ac:dyDescent="0.35">
      <c r="A191" s="824">
        <v>184</v>
      </c>
      <c r="B191" s="888"/>
      <c r="C191" s="849">
        <v>58</v>
      </c>
      <c r="D191" s="850" t="s">
        <v>574</v>
      </c>
      <c r="E191" s="992">
        <v>983535</v>
      </c>
      <c r="F191" s="992">
        <v>904763</v>
      </c>
      <c r="G191" s="991">
        <v>1034739</v>
      </c>
      <c r="H191" s="842" t="s">
        <v>23</v>
      </c>
      <c r="I191" s="843"/>
      <c r="J191" s="844"/>
      <c r="K191" s="844"/>
      <c r="L191" s="844"/>
      <c r="M191" s="844"/>
      <c r="N191" s="846"/>
      <c r="P191" s="810"/>
    </row>
    <row r="192" spans="1:16" s="863" customFormat="1" ht="18" customHeight="1" x14ac:dyDescent="0.3">
      <c r="A192" s="824">
        <v>185</v>
      </c>
      <c r="B192" s="860"/>
      <c r="C192" s="861"/>
      <c r="D192" s="292" t="s">
        <v>238</v>
      </c>
      <c r="E192" s="1142"/>
      <c r="F192" s="1142"/>
      <c r="G192" s="1213"/>
      <c r="H192" s="862"/>
      <c r="I192" s="843">
        <f>SUM(J192:N192)</f>
        <v>1005450</v>
      </c>
      <c r="J192" s="845"/>
      <c r="K192" s="845"/>
      <c r="L192" s="845"/>
      <c r="M192" s="845"/>
      <c r="N192" s="854">
        <f>963380+42070</f>
        <v>1005450</v>
      </c>
    </row>
    <row r="193" spans="1:16" s="847" customFormat="1" ht="22.5" customHeight="1" x14ac:dyDescent="0.3">
      <c r="A193" s="824">
        <v>186</v>
      </c>
      <c r="B193" s="840"/>
      <c r="C193" s="849">
        <v>60</v>
      </c>
      <c r="D193" s="834" t="s">
        <v>282</v>
      </c>
      <c r="E193" s="992">
        <v>2325</v>
      </c>
      <c r="F193" s="992">
        <v>4320</v>
      </c>
      <c r="G193" s="991">
        <v>4320</v>
      </c>
      <c r="H193" s="842" t="s">
        <v>24</v>
      </c>
      <c r="I193" s="843"/>
      <c r="J193" s="844"/>
      <c r="K193" s="844"/>
      <c r="L193" s="844"/>
      <c r="M193" s="844"/>
      <c r="N193" s="846"/>
    </row>
    <row r="194" spans="1:16" s="863" customFormat="1" ht="18" customHeight="1" x14ac:dyDescent="0.3">
      <c r="A194" s="824">
        <v>187</v>
      </c>
      <c r="B194" s="860"/>
      <c r="C194" s="861"/>
      <c r="D194" s="292" t="s">
        <v>238</v>
      </c>
      <c r="E194" s="1142"/>
      <c r="F194" s="1142"/>
      <c r="G194" s="1213"/>
      <c r="H194" s="862"/>
      <c r="I194" s="843">
        <f>SUM(J194:N194)</f>
        <v>4320</v>
      </c>
      <c r="J194" s="845"/>
      <c r="K194" s="845"/>
      <c r="L194" s="845">
        <v>4320</v>
      </c>
      <c r="M194" s="845"/>
      <c r="N194" s="854"/>
    </row>
    <row r="195" spans="1:16" s="847" customFormat="1" ht="22.5" customHeight="1" x14ac:dyDescent="0.3">
      <c r="A195" s="824">
        <v>188</v>
      </c>
      <c r="B195" s="840"/>
      <c r="C195" s="849">
        <v>61</v>
      </c>
      <c r="D195" s="834" t="s">
        <v>283</v>
      </c>
      <c r="E195" s="992"/>
      <c r="F195" s="992"/>
      <c r="G195" s="991"/>
      <c r="H195" s="842" t="s">
        <v>24</v>
      </c>
      <c r="I195" s="843"/>
      <c r="J195" s="844"/>
      <c r="K195" s="844"/>
      <c r="L195" s="844"/>
      <c r="M195" s="844"/>
      <c r="N195" s="846"/>
    </row>
    <row r="196" spans="1:16" s="839" customFormat="1" ht="22.5" customHeight="1" x14ac:dyDescent="0.3">
      <c r="A196" s="824">
        <v>189</v>
      </c>
      <c r="B196" s="848"/>
      <c r="C196" s="849">
        <v>62</v>
      </c>
      <c r="D196" s="850" t="s">
        <v>60</v>
      </c>
      <c r="E196" s="992">
        <v>2000</v>
      </c>
      <c r="F196" s="992">
        <v>2000</v>
      </c>
      <c r="G196" s="991">
        <v>2000</v>
      </c>
      <c r="H196" s="842" t="s">
        <v>24</v>
      </c>
      <c r="I196" s="843"/>
      <c r="J196" s="844"/>
      <c r="K196" s="844"/>
      <c r="L196" s="844"/>
      <c r="M196" s="844"/>
      <c r="N196" s="846"/>
      <c r="P196" s="847"/>
    </row>
    <row r="197" spans="1:16" s="863" customFormat="1" ht="18" customHeight="1" x14ac:dyDescent="0.3">
      <c r="A197" s="824">
        <v>190</v>
      </c>
      <c r="B197" s="860"/>
      <c r="C197" s="861"/>
      <c r="D197" s="292" t="s">
        <v>238</v>
      </c>
      <c r="E197" s="1142"/>
      <c r="F197" s="1142"/>
      <c r="G197" s="1213"/>
      <c r="H197" s="862"/>
      <c r="I197" s="843">
        <f>SUM(J197:N197)</f>
        <v>2000</v>
      </c>
      <c r="J197" s="845"/>
      <c r="K197" s="845"/>
      <c r="L197" s="845">
        <v>2000</v>
      </c>
      <c r="M197" s="845"/>
      <c r="N197" s="854"/>
    </row>
    <row r="198" spans="1:16" s="839" customFormat="1" ht="23.45" customHeight="1" x14ac:dyDescent="0.3">
      <c r="A198" s="824">
        <v>191</v>
      </c>
      <c r="B198" s="848"/>
      <c r="C198" s="849">
        <v>63</v>
      </c>
      <c r="D198" s="850" t="s">
        <v>268</v>
      </c>
      <c r="E198" s="992"/>
      <c r="F198" s="992"/>
      <c r="G198" s="991"/>
      <c r="H198" s="842" t="s">
        <v>24</v>
      </c>
      <c r="I198" s="843"/>
      <c r="J198" s="844"/>
      <c r="K198" s="844"/>
      <c r="L198" s="844"/>
      <c r="M198" s="844"/>
      <c r="N198" s="846"/>
      <c r="P198" s="847"/>
    </row>
    <row r="199" spans="1:16" s="839" customFormat="1" ht="23.45" customHeight="1" x14ac:dyDescent="0.3">
      <c r="A199" s="824">
        <v>192</v>
      </c>
      <c r="B199" s="848"/>
      <c r="C199" s="849">
        <v>64</v>
      </c>
      <c r="D199" s="850" t="s">
        <v>61</v>
      </c>
      <c r="E199" s="992">
        <v>1000</v>
      </c>
      <c r="F199" s="992">
        <v>1000</v>
      </c>
      <c r="G199" s="991">
        <v>1000</v>
      </c>
      <c r="H199" s="842" t="s">
        <v>24</v>
      </c>
      <c r="I199" s="843"/>
      <c r="J199" s="844"/>
      <c r="K199" s="844"/>
      <c r="L199" s="844"/>
      <c r="M199" s="844"/>
      <c r="N199" s="846"/>
      <c r="P199" s="847"/>
    </row>
    <row r="200" spans="1:16" s="863" customFormat="1" ht="18" customHeight="1" x14ac:dyDescent="0.3">
      <c r="A200" s="824">
        <v>193</v>
      </c>
      <c r="B200" s="860"/>
      <c r="C200" s="861"/>
      <c r="D200" s="292" t="s">
        <v>238</v>
      </c>
      <c r="E200" s="1142"/>
      <c r="F200" s="1142"/>
      <c r="G200" s="1213"/>
      <c r="H200" s="862"/>
      <c r="I200" s="843">
        <f>SUM(J200:N200)</f>
        <v>1000</v>
      </c>
      <c r="J200" s="845"/>
      <c r="K200" s="845"/>
      <c r="L200" s="845">
        <v>1000</v>
      </c>
      <c r="M200" s="845"/>
      <c r="N200" s="854"/>
    </row>
    <row r="201" spans="1:16" s="847" customFormat="1" ht="22.5" customHeight="1" x14ac:dyDescent="0.3">
      <c r="A201" s="824">
        <v>194</v>
      </c>
      <c r="B201" s="840"/>
      <c r="C201" s="849">
        <v>65</v>
      </c>
      <c r="D201" s="850" t="s">
        <v>335</v>
      </c>
      <c r="E201" s="992">
        <v>3000</v>
      </c>
      <c r="F201" s="992">
        <v>3000</v>
      </c>
      <c r="G201" s="991">
        <v>3000</v>
      </c>
      <c r="H201" s="842" t="s">
        <v>23</v>
      </c>
      <c r="I201" s="843"/>
      <c r="J201" s="844"/>
      <c r="K201" s="844"/>
      <c r="L201" s="844"/>
      <c r="M201" s="844"/>
      <c r="N201" s="846"/>
    </row>
    <row r="202" spans="1:16" s="847" customFormat="1" ht="18" customHeight="1" x14ac:dyDescent="0.3">
      <c r="A202" s="824">
        <v>195</v>
      </c>
      <c r="B202" s="840"/>
      <c r="C202" s="849"/>
      <c r="D202" s="292" t="s">
        <v>238</v>
      </c>
      <c r="E202" s="992"/>
      <c r="F202" s="992"/>
      <c r="G202" s="991"/>
      <c r="H202" s="842"/>
      <c r="I202" s="843">
        <f>SUM(J202:N202)</f>
        <v>3000</v>
      </c>
      <c r="J202" s="844"/>
      <c r="K202" s="844"/>
      <c r="L202" s="845"/>
      <c r="M202" s="844"/>
      <c r="N202" s="854">
        <v>3000</v>
      </c>
    </row>
    <row r="203" spans="1:16" s="839" customFormat="1" ht="22.5" customHeight="1" x14ac:dyDescent="0.3">
      <c r="A203" s="824">
        <v>196</v>
      </c>
      <c r="B203" s="848"/>
      <c r="C203" s="849">
        <v>67</v>
      </c>
      <c r="D203" s="850" t="s">
        <v>62</v>
      </c>
      <c r="E203" s="992">
        <v>6195</v>
      </c>
      <c r="F203" s="992">
        <v>8374</v>
      </c>
      <c r="G203" s="991">
        <v>8374</v>
      </c>
      <c r="H203" s="842" t="s">
        <v>23</v>
      </c>
      <c r="I203" s="843"/>
      <c r="J203" s="844"/>
      <c r="K203" s="844"/>
      <c r="L203" s="844"/>
      <c r="M203" s="844"/>
      <c r="N203" s="846"/>
      <c r="P203" s="847"/>
    </row>
    <row r="204" spans="1:16" s="863" customFormat="1" ht="18" customHeight="1" x14ac:dyDescent="0.3">
      <c r="A204" s="824">
        <v>197</v>
      </c>
      <c r="B204" s="860"/>
      <c r="C204" s="861"/>
      <c r="D204" s="292" t="s">
        <v>238</v>
      </c>
      <c r="E204" s="1142"/>
      <c r="F204" s="1142"/>
      <c r="G204" s="1213"/>
      <c r="H204" s="862"/>
      <c r="I204" s="843">
        <f>SUM(J204:N204)</f>
        <v>9096</v>
      </c>
      <c r="J204" s="845"/>
      <c r="K204" s="845"/>
      <c r="L204" s="845">
        <f>8490+606</f>
        <v>9096</v>
      </c>
      <c r="M204" s="845"/>
      <c r="N204" s="854"/>
    </row>
    <row r="205" spans="1:16" s="839" customFormat="1" ht="22.5" customHeight="1" x14ac:dyDescent="0.3">
      <c r="A205" s="824">
        <v>198</v>
      </c>
      <c r="B205" s="848"/>
      <c r="C205" s="849">
        <v>68</v>
      </c>
      <c r="D205" s="850" t="s">
        <v>63</v>
      </c>
      <c r="E205" s="992">
        <v>2326</v>
      </c>
      <c r="F205" s="992">
        <v>6448</v>
      </c>
      <c r="G205" s="991">
        <v>6448</v>
      </c>
      <c r="H205" s="842" t="s">
        <v>24</v>
      </c>
      <c r="I205" s="843"/>
      <c r="J205" s="844"/>
      <c r="K205" s="844"/>
      <c r="L205" s="844"/>
      <c r="M205" s="844"/>
      <c r="N205" s="846"/>
      <c r="P205" s="847"/>
    </row>
    <row r="206" spans="1:16" s="863" customFormat="1" ht="18" customHeight="1" x14ac:dyDescent="0.3">
      <c r="A206" s="824">
        <v>199</v>
      </c>
      <c r="B206" s="860"/>
      <c r="C206" s="861"/>
      <c r="D206" s="292" t="s">
        <v>238</v>
      </c>
      <c r="E206" s="1142"/>
      <c r="F206" s="1142"/>
      <c r="G206" s="1213"/>
      <c r="H206" s="862"/>
      <c r="I206" s="843">
        <f>SUM(J206:N206)</f>
        <v>6448</v>
      </c>
      <c r="J206" s="845"/>
      <c r="K206" s="845"/>
      <c r="L206" s="845">
        <f>6448</f>
        <v>6448</v>
      </c>
      <c r="M206" s="845"/>
      <c r="N206" s="854"/>
    </row>
    <row r="207" spans="1:16" s="839" customFormat="1" ht="22.5" customHeight="1" x14ac:dyDescent="0.3">
      <c r="A207" s="824">
        <v>200</v>
      </c>
      <c r="B207" s="848"/>
      <c r="C207" s="849">
        <v>69</v>
      </c>
      <c r="D207" s="850" t="s">
        <v>64</v>
      </c>
      <c r="E207" s="992">
        <v>321258</v>
      </c>
      <c r="F207" s="992">
        <v>678928</v>
      </c>
      <c r="G207" s="991">
        <v>668928</v>
      </c>
      <c r="H207" s="842" t="s">
        <v>23</v>
      </c>
      <c r="I207" s="843"/>
      <c r="J207" s="844"/>
      <c r="K207" s="844"/>
      <c r="L207" s="844"/>
      <c r="M207" s="844"/>
      <c r="N207" s="846"/>
      <c r="P207" s="847"/>
    </row>
    <row r="208" spans="1:16" s="863" customFormat="1" ht="18" customHeight="1" x14ac:dyDescent="0.3">
      <c r="A208" s="824">
        <v>201</v>
      </c>
      <c r="B208" s="860"/>
      <c r="C208" s="861"/>
      <c r="D208" s="292" t="s">
        <v>238</v>
      </c>
      <c r="E208" s="1142"/>
      <c r="F208" s="1142"/>
      <c r="G208" s="1213"/>
      <c r="H208" s="862"/>
      <c r="I208" s="843">
        <f>SUM(J208:N208)</f>
        <v>639005</v>
      </c>
      <c r="J208" s="845">
        <f>422065+30000</f>
        <v>452065</v>
      </c>
      <c r="K208" s="845">
        <f>95718+5000</f>
        <v>100718</v>
      </c>
      <c r="L208" s="845">
        <f>54453+17275+14494</f>
        <v>86222</v>
      </c>
      <c r="M208" s="845"/>
      <c r="N208" s="854"/>
    </row>
    <row r="209" spans="1:16" s="847" customFormat="1" ht="22.5" customHeight="1" x14ac:dyDescent="0.3">
      <c r="A209" s="824">
        <v>202</v>
      </c>
      <c r="B209" s="840"/>
      <c r="C209" s="849">
        <v>70</v>
      </c>
      <c r="D209" s="834" t="s">
        <v>491</v>
      </c>
      <c r="E209" s="992">
        <v>180</v>
      </c>
      <c r="F209" s="992">
        <v>180</v>
      </c>
      <c r="G209" s="991">
        <v>180</v>
      </c>
      <c r="H209" s="842" t="s">
        <v>23</v>
      </c>
      <c r="I209" s="843"/>
      <c r="J209" s="844"/>
      <c r="K209" s="844"/>
      <c r="L209" s="844"/>
      <c r="M209" s="844"/>
      <c r="N209" s="846"/>
    </row>
    <row r="210" spans="1:16" s="863" customFormat="1" ht="18" customHeight="1" x14ac:dyDescent="0.3">
      <c r="A210" s="824">
        <v>203</v>
      </c>
      <c r="B210" s="860"/>
      <c r="C210" s="861"/>
      <c r="D210" s="292" t="s">
        <v>238</v>
      </c>
      <c r="E210" s="1142"/>
      <c r="F210" s="1142"/>
      <c r="G210" s="1213"/>
      <c r="H210" s="862"/>
      <c r="I210" s="843">
        <f>SUM(J210:N210)</f>
        <v>180</v>
      </c>
      <c r="J210" s="845"/>
      <c r="K210" s="845"/>
      <c r="L210" s="845">
        <v>180</v>
      </c>
      <c r="M210" s="845"/>
      <c r="N210" s="854"/>
    </row>
    <row r="211" spans="1:16" s="839" customFormat="1" ht="22.5" customHeight="1" x14ac:dyDescent="0.3">
      <c r="A211" s="824">
        <v>204</v>
      </c>
      <c r="B211" s="848"/>
      <c r="C211" s="849">
        <v>71</v>
      </c>
      <c r="D211" s="850" t="s">
        <v>65</v>
      </c>
      <c r="E211" s="992">
        <v>63271</v>
      </c>
      <c r="F211" s="992">
        <v>84627</v>
      </c>
      <c r="G211" s="991">
        <v>202332</v>
      </c>
      <c r="H211" s="842" t="s">
        <v>23</v>
      </c>
      <c r="I211" s="843"/>
      <c r="J211" s="844"/>
      <c r="K211" s="844"/>
      <c r="L211" s="844"/>
      <c r="M211" s="844"/>
      <c r="N211" s="846"/>
      <c r="P211" s="847"/>
    </row>
    <row r="212" spans="1:16" s="863" customFormat="1" ht="18" customHeight="1" x14ac:dyDescent="0.3">
      <c r="A212" s="824">
        <v>205</v>
      </c>
      <c r="B212" s="899"/>
      <c r="C212" s="861"/>
      <c r="D212" s="292" t="s">
        <v>238</v>
      </c>
      <c r="E212" s="1171"/>
      <c r="F212" s="1171"/>
      <c r="G212" s="1215"/>
      <c r="H212" s="897"/>
      <c r="I212" s="843">
        <f>SUM(J212:N212)</f>
        <v>211588</v>
      </c>
      <c r="J212" s="900"/>
      <c r="K212" s="900"/>
      <c r="L212" s="900">
        <v>5000</v>
      </c>
      <c r="M212" s="900"/>
      <c r="N212" s="884">
        <f>80000-1001+126941-5000-1+2293+5339-1983</f>
        <v>206588</v>
      </c>
    </row>
    <row r="213" spans="1:16" s="839" customFormat="1" ht="22.5" customHeight="1" x14ac:dyDescent="0.3">
      <c r="A213" s="824">
        <v>206</v>
      </c>
      <c r="B213" s="848"/>
      <c r="C213" s="849">
        <v>72</v>
      </c>
      <c r="D213" s="850" t="s">
        <v>66</v>
      </c>
      <c r="E213" s="992">
        <v>258141</v>
      </c>
      <c r="F213" s="992">
        <v>699997</v>
      </c>
      <c r="G213" s="991">
        <v>699997</v>
      </c>
      <c r="H213" s="842" t="s">
        <v>23</v>
      </c>
      <c r="I213" s="843"/>
      <c r="J213" s="844"/>
      <c r="K213" s="844"/>
      <c r="L213" s="844"/>
      <c r="M213" s="844"/>
      <c r="N213" s="846"/>
      <c r="P213" s="847"/>
    </row>
    <row r="214" spans="1:16" s="863" customFormat="1" ht="18" customHeight="1" x14ac:dyDescent="0.3">
      <c r="A214" s="824">
        <v>207</v>
      </c>
      <c r="B214" s="860"/>
      <c r="C214" s="861"/>
      <c r="D214" s="292" t="s">
        <v>238</v>
      </c>
      <c r="E214" s="1142"/>
      <c r="F214" s="1142"/>
      <c r="G214" s="1213"/>
      <c r="H214" s="862"/>
      <c r="I214" s="843">
        <f>SUM(J214:N214)</f>
        <v>425382</v>
      </c>
      <c r="J214" s="845"/>
      <c r="K214" s="845"/>
      <c r="L214" s="845">
        <f>234427+63602+127353</f>
        <v>425382</v>
      </c>
      <c r="M214" s="845"/>
      <c r="N214" s="854"/>
    </row>
    <row r="215" spans="1:16" s="839" customFormat="1" ht="22.5" customHeight="1" x14ac:dyDescent="0.3">
      <c r="A215" s="824">
        <v>208</v>
      </c>
      <c r="B215" s="848"/>
      <c r="C215" s="849">
        <v>73</v>
      </c>
      <c r="D215" s="850" t="s">
        <v>67</v>
      </c>
      <c r="E215" s="992">
        <v>110274</v>
      </c>
      <c r="F215" s="992">
        <v>73932</v>
      </c>
      <c r="G215" s="991">
        <v>73932</v>
      </c>
      <c r="H215" s="842" t="s">
        <v>24</v>
      </c>
      <c r="I215" s="843"/>
      <c r="J215" s="844"/>
      <c r="K215" s="844"/>
      <c r="L215" s="844"/>
      <c r="M215" s="844"/>
      <c r="N215" s="846"/>
      <c r="P215" s="847"/>
    </row>
    <row r="216" spans="1:16" s="863" customFormat="1" ht="18" customHeight="1" x14ac:dyDescent="0.3">
      <c r="A216" s="824">
        <v>209</v>
      </c>
      <c r="B216" s="860"/>
      <c r="C216" s="861"/>
      <c r="D216" s="292" t="s">
        <v>238</v>
      </c>
      <c r="E216" s="1142"/>
      <c r="F216" s="1142"/>
      <c r="G216" s="1213"/>
      <c r="H216" s="862"/>
      <c r="I216" s="843">
        <f>SUM(J216:N216)</f>
        <v>54723</v>
      </c>
      <c r="J216" s="845"/>
      <c r="K216" s="845"/>
      <c r="L216" s="845">
        <v>54723</v>
      </c>
      <c r="M216" s="845"/>
      <c r="N216" s="854"/>
    </row>
    <row r="217" spans="1:16" s="847" customFormat="1" ht="22.5" customHeight="1" x14ac:dyDescent="0.3">
      <c r="A217" s="824">
        <v>210</v>
      </c>
      <c r="B217" s="840"/>
      <c r="C217" s="849">
        <v>74</v>
      </c>
      <c r="D217" s="834" t="s">
        <v>269</v>
      </c>
      <c r="E217" s="992">
        <v>3487933</v>
      </c>
      <c r="F217" s="992">
        <v>3756010</v>
      </c>
      <c r="G217" s="991">
        <v>3756010</v>
      </c>
      <c r="H217" s="842" t="s">
        <v>23</v>
      </c>
      <c r="I217" s="843"/>
      <c r="J217" s="844"/>
      <c r="K217" s="844"/>
      <c r="L217" s="844"/>
      <c r="M217" s="844"/>
      <c r="N217" s="846"/>
    </row>
    <row r="218" spans="1:16" s="863" customFormat="1" ht="18" customHeight="1" x14ac:dyDescent="0.3">
      <c r="A218" s="824">
        <v>211</v>
      </c>
      <c r="B218" s="860"/>
      <c r="C218" s="861"/>
      <c r="D218" s="292" t="s">
        <v>238</v>
      </c>
      <c r="E218" s="1142"/>
      <c r="F218" s="1142"/>
      <c r="G218" s="1213"/>
      <c r="H218" s="862"/>
      <c r="I218" s="843">
        <f>SUM(J218:N218)</f>
        <v>4094279</v>
      </c>
      <c r="J218" s="845"/>
      <c r="K218" s="845"/>
      <c r="L218" s="845"/>
      <c r="M218" s="845"/>
      <c r="N218" s="854">
        <v>4094279</v>
      </c>
    </row>
    <row r="219" spans="1:16" s="839" customFormat="1" ht="22.5" customHeight="1" x14ac:dyDescent="0.3">
      <c r="A219" s="824">
        <v>212</v>
      </c>
      <c r="B219" s="848"/>
      <c r="C219" s="849">
        <v>75</v>
      </c>
      <c r="D219" s="850" t="s">
        <v>68</v>
      </c>
      <c r="E219" s="992">
        <v>18000</v>
      </c>
      <c r="F219" s="992">
        <v>6000</v>
      </c>
      <c r="G219" s="991">
        <v>15000</v>
      </c>
      <c r="H219" s="842" t="s">
        <v>24</v>
      </c>
      <c r="I219" s="843"/>
      <c r="J219" s="844"/>
      <c r="K219" s="844"/>
      <c r="L219" s="844"/>
      <c r="M219" s="844"/>
      <c r="N219" s="846"/>
      <c r="P219" s="847"/>
    </row>
    <row r="220" spans="1:16" s="863" customFormat="1" ht="18" customHeight="1" x14ac:dyDescent="0.3">
      <c r="A220" s="824">
        <v>213</v>
      </c>
      <c r="B220" s="860"/>
      <c r="C220" s="861"/>
      <c r="D220" s="292" t="s">
        <v>238</v>
      </c>
      <c r="E220" s="1142"/>
      <c r="F220" s="1142"/>
      <c r="G220" s="1213"/>
      <c r="H220" s="862"/>
      <c r="I220" s="843">
        <f>SUM(J220:N220)</f>
        <v>6000</v>
      </c>
      <c r="J220" s="845"/>
      <c r="K220" s="845"/>
      <c r="L220" s="845"/>
      <c r="M220" s="845"/>
      <c r="N220" s="854">
        <v>6000</v>
      </c>
    </row>
    <row r="221" spans="1:16" s="839" customFormat="1" ht="22.5" customHeight="1" x14ac:dyDescent="0.3">
      <c r="A221" s="824">
        <v>214</v>
      </c>
      <c r="B221" s="848"/>
      <c r="C221" s="849">
        <v>76</v>
      </c>
      <c r="D221" s="850" t="s">
        <v>71</v>
      </c>
      <c r="E221" s="992">
        <v>75000</v>
      </c>
      <c r="F221" s="992">
        <v>65000</v>
      </c>
      <c r="G221" s="991">
        <v>73000</v>
      </c>
      <c r="H221" s="842" t="s">
        <v>24</v>
      </c>
      <c r="I221" s="843"/>
      <c r="J221" s="844"/>
      <c r="K221" s="844"/>
      <c r="L221" s="844"/>
      <c r="M221" s="844"/>
      <c r="N221" s="846"/>
      <c r="P221" s="847"/>
    </row>
    <row r="222" spans="1:16" s="863" customFormat="1" ht="18" customHeight="1" x14ac:dyDescent="0.3">
      <c r="A222" s="824">
        <v>215</v>
      </c>
      <c r="B222" s="860"/>
      <c r="C222" s="861"/>
      <c r="D222" s="292" t="s">
        <v>238</v>
      </c>
      <c r="E222" s="1142"/>
      <c r="F222" s="1142"/>
      <c r="G222" s="1213"/>
      <c r="H222" s="862"/>
      <c r="I222" s="843">
        <f>SUM(J222:N222)</f>
        <v>65000</v>
      </c>
      <c r="J222" s="845"/>
      <c r="K222" s="845"/>
      <c r="L222" s="845"/>
      <c r="M222" s="845"/>
      <c r="N222" s="854">
        <v>65000</v>
      </c>
    </row>
    <row r="223" spans="1:16" s="839" customFormat="1" ht="22.5" customHeight="1" x14ac:dyDescent="0.3">
      <c r="A223" s="824">
        <v>216</v>
      </c>
      <c r="B223" s="848"/>
      <c r="C223" s="849">
        <v>77</v>
      </c>
      <c r="D223" s="850" t="s">
        <v>492</v>
      </c>
      <c r="E223" s="992">
        <v>218364</v>
      </c>
      <c r="F223" s="992">
        <v>140364</v>
      </c>
      <c r="G223" s="991">
        <v>200728</v>
      </c>
      <c r="H223" s="842" t="s">
        <v>24</v>
      </c>
      <c r="I223" s="843"/>
      <c r="J223" s="844"/>
      <c r="K223" s="844"/>
      <c r="L223" s="844"/>
      <c r="M223" s="844"/>
      <c r="N223" s="846"/>
      <c r="P223" s="847"/>
    </row>
    <row r="224" spans="1:16" s="839" customFormat="1" ht="20.100000000000001" customHeight="1" x14ac:dyDescent="0.3">
      <c r="A224" s="824">
        <v>217</v>
      </c>
      <c r="B224" s="848"/>
      <c r="C224" s="849"/>
      <c r="D224" s="292" t="s">
        <v>238</v>
      </c>
      <c r="E224" s="992"/>
      <c r="F224" s="992"/>
      <c r="G224" s="991"/>
      <c r="H224" s="842"/>
      <c r="I224" s="843">
        <f>SUM(J224:N224)</f>
        <v>180190</v>
      </c>
      <c r="J224" s="844"/>
      <c r="K224" s="844"/>
      <c r="L224" s="844"/>
      <c r="M224" s="844"/>
      <c r="N224" s="854">
        <v>180190</v>
      </c>
      <c r="P224" s="847"/>
    </row>
    <row r="225" spans="1:16" s="839" customFormat="1" ht="22.5" customHeight="1" x14ac:dyDescent="0.3">
      <c r="A225" s="824">
        <v>218</v>
      </c>
      <c r="B225" s="848"/>
      <c r="C225" s="849">
        <v>78</v>
      </c>
      <c r="D225" s="850" t="s">
        <v>518</v>
      </c>
      <c r="E225" s="992">
        <v>57673</v>
      </c>
      <c r="F225" s="992"/>
      <c r="G225" s="991">
        <v>10000</v>
      </c>
      <c r="H225" s="842" t="s">
        <v>24</v>
      </c>
      <c r="I225" s="843"/>
      <c r="J225" s="844"/>
      <c r="K225" s="844"/>
      <c r="L225" s="844"/>
      <c r="M225" s="844"/>
      <c r="N225" s="846"/>
      <c r="P225" s="847"/>
    </row>
    <row r="226" spans="1:16" s="839" customFormat="1" ht="22.5" customHeight="1" x14ac:dyDescent="0.3">
      <c r="A226" s="824">
        <v>219</v>
      </c>
      <c r="B226" s="848"/>
      <c r="C226" s="849">
        <v>79</v>
      </c>
      <c r="D226" s="850" t="s">
        <v>72</v>
      </c>
      <c r="E226" s="992">
        <v>35398</v>
      </c>
      <c r="F226" s="992">
        <v>47406</v>
      </c>
      <c r="G226" s="991">
        <v>47406</v>
      </c>
      <c r="H226" s="842" t="s">
        <v>23</v>
      </c>
      <c r="I226" s="843"/>
      <c r="J226" s="844"/>
      <c r="K226" s="844"/>
      <c r="L226" s="844"/>
      <c r="M226" s="844"/>
      <c r="N226" s="846"/>
      <c r="P226" s="847"/>
    </row>
    <row r="227" spans="1:16" s="863" customFormat="1" ht="18" customHeight="1" x14ac:dyDescent="0.3">
      <c r="A227" s="824">
        <v>220</v>
      </c>
      <c r="B227" s="860"/>
      <c r="C227" s="861"/>
      <c r="D227" s="292" t="s">
        <v>238</v>
      </c>
      <c r="E227" s="1142"/>
      <c r="F227" s="1142"/>
      <c r="G227" s="1213"/>
      <c r="H227" s="862"/>
      <c r="I227" s="843">
        <f>SUM(J227:N227)</f>
        <v>54467</v>
      </c>
      <c r="J227" s="845"/>
      <c r="K227" s="845"/>
      <c r="L227" s="845">
        <f>50475+3992</f>
        <v>54467</v>
      </c>
      <c r="M227" s="845"/>
      <c r="N227" s="854"/>
    </row>
    <row r="228" spans="1:16" s="839" customFormat="1" ht="22.5" customHeight="1" x14ac:dyDescent="0.3">
      <c r="A228" s="824">
        <v>221</v>
      </c>
      <c r="B228" s="848"/>
      <c r="C228" s="849">
        <v>81</v>
      </c>
      <c r="D228" s="850" t="s">
        <v>73</v>
      </c>
      <c r="E228" s="992">
        <v>21631</v>
      </c>
      <c r="F228" s="992">
        <v>118173</v>
      </c>
      <c r="G228" s="991">
        <v>118173</v>
      </c>
      <c r="H228" s="842" t="s">
        <v>24</v>
      </c>
      <c r="I228" s="843"/>
      <c r="J228" s="844"/>
      <c r="K228" s="844"/>
      <c r="L228" s="844"/>
      <c r="M228" s="844"/>
      <c r="N228" s="846"/>
      <c r="P228" s="847"/>
    </row>
    <row r="229" spans="1:16" s="839" customFormat="1" ht="18" customHeight="1" x14ac:dyDescent="0.3">
      <c r="A229" s="824">
        <v>222</v>
      </c>
      <c r="B229" s="848"/>
      <c r="C229" s="849"/>
      <c r="D229" s="292" t="s">
        <v>238</v>
      </c>
      <c r="E229" s="992"/>
      <c r="F229" s="992"/>
      <c r="G229" s="991"/>
      <c r="H229" s="842"/>
      <c r="I229" s="843">
        <f>SUM(J229:N229)</f>
        <v>119173</v>
      </c>
      <c r="J229" s="844"/>
      <c r="K229" s="844"/>
      <c r="L229" s="845">
        <f>114173+5000</f>
        <v>119173</v>
      </c>
      <c r="M229" s="844"/>
      <c r="N229" s="846"/>
      <c r="P229" s="847"/>
    </row>
    <row r="230" spans="1:16" s="839" customFormat="1" ht="22.5" customHeight="1" x14ac:dyDescent="0.3">
      <c r="A230" s="824">
        <v>223</v>
      </c>
      <c r="B230" s="848"/>
      <c r="C230" s="849">
        <v>82</v>
      </c>
      <c r="D230" s="850" t="s">
        <v>360</v>
      </c>
      <c r="E230" s="992">
        <v>140200</v>
      </c>
      <c r="F230" s="992">
        <v>98000</v>
      </c>
      <c r="G230" s="991">
        <v>98000</v>
      </c>
      <c r="H230" s="842" t="s">
        <v>24</v>
      </c>
      <c r="I230" s="843"/>
      <c r="J230" s="844"/>
      <c r="K230" s="844"/>
      <c r="L230" s="844"/>
      <c r="M230" s="844"/>
      <c r="N230" s="846"/>
      <c r="P230" s="847"/>
    </row>
    <row r="231" spans="1:16" s="863" customFormat="1" ht="18" customHeight="1" x14ac:dyDescent="0.3">
      <c r="A231" s="824">
        <v>224</v>
      </c>
      <c r="B231" s="860"/>
      <c r="C231" s="861"/>
      <c r="D231" s="292" t="s">
        <v>238</v>
      </c>
      <c r="E231" s="1142"/>
      <c r="F231" s="1142"/>
      <c r="G231" s="1213"/>
      <c r="H231" s="862"/>
      <c r="I231" s="843">
        <f>SUM(J231:N231)</f>
        <v>98000</v>
      </c>
      <c r="J231" s="845"/>
      <c r="K231" s="845"/>
      <c r="L231" s="845"/>
      <c r="M231" s="845"/>
      <c r="N231" s="854">
        <v>98000</v>
      </c>
    </row>
    <row r="232" spans="1:16" s="839" customFormat="1" ht="32.25" customHeight="1" x14ac:dyDescent="0.3">
      <c r="A232" s="824">
        <v>225</v>
      </c>
      <c r="B232" s="848"/>
      <c r="C232" s="865">
        <v>83</v>
      </c>
      <c r="D232" s="834" t="s">
        <v>493</v>
      </c>
      <c r="E232" s="992">
        <v>17294</v>
      </c>
      <c r="F232" s="992">
        <v>23719</v>
      </c>
      <c r="G232" s="991">
        <v>19219</v>
      </c>
      <c r="H232" s="842" t="s">
        <v>24</v>
      </c>
      <c r="I232" s="843"/>
      <c r="J232" s="844"/>
      <c r="K232" s="844"/>
      <c r="L232" s="844"/>
      <c r="M232" s="844"/>
      <c r="N232" s="854"/>
      <c r="P232" s="847"/>
    </row>
    <row r="233" spans="1:16" s="863" customFormat="1" ht="18" customHeight="1" x14ac:dyDescent="0.3">
      <c r="A233" s="824">
        <v>226</v>
      </c>
      <c r="B233" s="860"/>
      <c r="C233" s="861"/>
      <c r="D233" s="292" t="s">
        <v>238</v>
      </c>
      <c r="E233" s="1142"/>
      <c r="F233" s="1142"/>
      <c r="G233" s="1213"/>
      <c r="H233" s="862"/>
      <c r="I233" s="843">
        <f>SUM(J233:N233)</f>
        <v>14660</v>
      </c>
      <c r="J233" s="845"/>
      <c r="K233" s="845"/>
      <c r="L233" s="845">
        <f>10000+4660</f>
        <v>14660</v>
      </c>
      <c r="M233" s="845"/>
      <c r="N233" s="854"/>
    </row>
    <row r="234" spans="1:16" s="847" customFormat="1" ht="22.5" customHeight="1" x14ac:dyDescent="0.3">
      <c r="A234" s="824">
        <v>227</v>
      </c>
      <c r="B234" s="840"/>
      <c r="C234" s="849">
        <v>84</v>
      </c>
      <c r="D234" s="834" t="s">
        <v>563</v>
      </c>
      <c r="E234" s="992">
        <v>6186</v>
      </c>
      <c r="F234" s="992"/>
      <c r="G234" s="991"/>
      <c r="H234" s="842" t="s">
        <v>24</v>
      </c>
      <c r="I234" s="843"/>
      <c r="J234" s="844"/>
      <c r="K234" s="844"/>
      <c r="L234" s="844"/>
      <c r="M234" s="844"/>
      <c r="N234" s="846"/>
    </row>
    <row r="235" spans="1:16" s="847" customFormat="1" ht="18" customHeight="1" x14ac:dyDescent="0.3">
      <c r="A235" s="824">
        <v>228</v>
      </c>
      <c r="B235" s="840"/>
      <c r="C235" s="849"/>
      <c r="D235" s="292" t="s">
        <v>238</v>
      </c>
      <c r="E235" s="992"/>
      <c r="F235" s="992"/>
      <c r="G235" s="991"/>
      <c r="H235" s="835"/>
      <c r="I235" s="843">
        <f>SUM(J235:N235)</f>
        <v>5000</v>
      </c>
      <c r="J235" s="844"/>
      <c r="K235" s="844"/>
      <c r="L235" s="844"/>
      <c r="M235" s="844"/>
      <c r="N235" s="854">
        <v>5000</v>
      </c>
    </row>
    <row r="236" spans="1:16" s="847" customFormat="1" ht="22.5" customHeight="1" x14ac:dyDescent="0.3">
      <c r="A236" s="824">
        <v>229</v>
      </c>
      <c r="B236" s="840"/>
      <c r="C236" s="849">
        <v>85</v>
      </c>
      <c r="D236" s="850" t="s">
        <v>50</v>
      </c>
      <c r="E236" s="992">
        <v>11000</v>
      </c>
      <c r="F236" s="992">
        <v>5000</v>
      </c>
      <c r="G236" s="991">
        <v>5000</v>
      </c>
      <c r="H236" s="835" t="s">
        <v>24</v>
      </c>
      <c r="I236" s="855"/>
      <c r="J236" s="856"/>
      <c r="K236" s="856"/>
      <c r="L236" s="856"/>
      <c r="M236" s="856"/>
      <c r="N236" s="857"/>
    </row>
    <row r="237" spans="1:16" s="847" customFormat="1" ht="18" customHeight="1" x14ac:dyDescent="0.3">
      <c r="A237" s="824">
        <v>230</v>
      </c>
      <c r="B237" s="840"/>
      <c r="C237" s="849"/>
      <c r="D237" s="292" t="s">
        <v>238</v>
      </c>
      <c r="E237" s="992"/>
      <c r="F237" s="992"/>
      <c r="G237" s="991"/>
      <c r="H237" s="835"/>
      <c r="I237" s="843">
        <f>SUM(J237:N237)</f>
        <v>5000</v>
      </c>
      <c r="J237" s="856"/>
      <c r="K237" s="856"/>
      <c r="L237" s="856"/>
      <c r="M237" s="856"/>
      <c r="N237" s="859">
        <v>5000</v>
      </c>
    </row>
    <row r="238" spans="1:16" s="839" customFormat="1" ht="22.5" customHeight="1" x14ac:dyDescent="0.3">
      <c r="A238" s="824">
        <v>231</v>
      </c>
      <c r="B238" s="848"/>
      <c r="C238" s="849">
        <v>86</v>
      </c>
      <c r="D238" s="850" t="s">
        <v>74</v>
      </c>
      <c r="E238" s="992">
        <v>1541</v>
      </c>
      <c r="F238" s="992">
        <v>6237</v>
      </c>
      <c r="G238" s="991">
        <v>6237</v>
      </c>
      <c r="H238" s="842" t="s">
        <v>23</v>
      </c>
      <c r="I238" s="843"/>
      <c r="J238" s="844"/>
      <c r="K238" s="844"/>
      <c r="L238" s="844"/>
      <c r="M238" s="844"/>
      <c r="N238" s="846"/>
      <c r="P238" s="847"/>
    </row>
    <row r="239" spans="1:16" s="863" customFormat="1" ht="18" customHeight="1" x14ac:dyDescent="0.3">
      <c r="A239" s="824">
        <v>232</v>
      </c>
      <c r="B239" s="860"/>
      <c r="C239" s="861"/>
      <c r="D239" s="292" t="s">
        <v>238</v>
      </c>
      <c r="E239" s="1142"/>
      <c r="F239" s="1142"/>
      <c r="G239" s="1213"/>
      <c r="H239" s="862"/>
      <c r="I239" s="843">
        <f>SUM(J239:N239)</f>
        <v>6386</v>
      </c>
      <c r="J239" s="845">
        <f>500+784</f>
        <v>1284</v>
      </c>
      <c r="K239" s="845">
        <f>300+800</f>
        <v>1100</v>
      </c>
      <c r="L239" s="845">
        <f>1500+2502</f>
        <v>4002</v>
      </c>
      <c r="M239" s="845"/>
      <c r="N239" s="854"/>
    </row>
    <row r="240" spans="1:16" s="847" customFormat="1" ht="22.5" customHeight="1" x14ac:dyDescent="0.3">
      <c r="A240" s="824">
        <v>233</v>
      </c>
      <c r="B240" s="840"/>
      <c r="C240" s="849">
        <v>87</v>
      </c>
      <c r="D240" s="834" t="s">
        <v>285</v>
      </c>
      <c r="E240" s="992">
        <v>2514</v>
      </c>
      <c r="F240" s="992">
        <v>3597</v>
      </c>
      <c r="G240" s="991">
        <v>5952</v>
      </c>
      <c r="H240" s="842" t="s">
        <v>24</v>
      </c>
      <c r="I240" s="843"/>
      <c r="J240" s="844"/>
      <c r="K240" s="844"/>
      <c r="L240" s="844"/>
      <c r="M240" s="844"/>
      <c r="N240" s="846"/>
    </row>
    <row r="241" spans="1:16" s="863" customFormat="1" ht="18" customHeight="1" x14ac:dyDescent="0.3">
      <c r="A241" s="824">
        <v>234</v>
      </c>
      <c r="B241" s="860"/>
      <c r="C241" s="861"/>
      <c r="D241" s="292" t="s">
        <v>238</v>
      </c>
      <c r="E241" s="1142"/>
      <c r="F241" s="1142"/>
      <c r="G241" s="1213"/>
      <c r="H241" s="862"/>
      <c r="I241" s="843">
        <f>SUM(J241:N241)</f>
        <v>6904</v>
      </c>
      <c r="J241" s="845"/>
      <c r="K241" s="845"/>
      <c r="L241" s="845">
        <f>3594+3310</f>
        <v>6904</v>
      </c>
      <c r="M241" s="845"/>
      <c r="N241" s="854"/>
    </row>
    <row r="242" spans="1:16" s="839" customFormat="1" ht="22.5" customHeight="1" x14ac:dyDescent="0.3">
      <c r="A242" s="824">
        <v>235</v>
      </c>
      <c r="B242" s="848"/>
      <c r="C242" s="849">
        <v>88</v>
      </c>
      <c r="D242" s="850" t="s">
        <v>286</v>
      </c>
      <c r="E242" s="992">
        <v>160827</v>
      </c>
      <c r="F242" s="992">
        <v>270071</v>
      </c>
      <c r="G242" s="991">
        <v>276071</v>
      </c>
      <c r="H242" s="842" t="s">
        <v>23</v>
      </c>
      <c r="I242" s="843"/>
      <c r="J242" s="844"/>
      <c r="K242" s="844"/>
      <c r="L242" s="844"/>
      <c r="M242" s="844"/>
      <c r="N242" s="846"/>
      <c r="P242" s="847"/>
    </row>
    <row r="243" spans="1:16" s="863" customFormat="1" ht="18" customHeight="1" x14ac:dyDescent="0.3">
      <c r="A243" s="824">
        <v>236</v>
      </c>
      <c r="B243" s="860"/>
      <c r="C243" s="861"/>
      <c r="D243" s="292" t="s">
        <v>238</v>
      </c>
      <c r="E243" s="1142"/>
      <c r="F243" s="1142"/>
      <c r="G243" s="1213"/>
      <c r="H243" s="862"/>
      <c r="I243" s="843">
        <f>SUM(J243:N243)</f>
        <v>243079</v>
      </c>
      <c r="J243" s="845"/>
      <c r="K243" s="845"/>
      <c r="L243" s="845">
        <f>200000+43079</f>
        <v>243079</v>
      </c>
      <c r="M243" s="845"/>
      <c r="N243" s="854"/>
    </row>
    <row r="244" spans="1:16" s="839" customFormat="1" ht="22.5" customHeight="1" x14ac:dyDescent="0.3">
      <c r="A244" s="824">
        <v>237</v>
      </c>
      <c r="B244" s="848"/>
      <c r="C244" s="849">
        <v>89</v>
      </c>
      <c r="D244" s="850" t="s">
        <v>69</v>
      </c>
      <c r="E244" s="1172">
        <v>149685</v>
      </c>
      <c r="F244" s="1172">
        <v>256536</v>
      </c>
      <c r="G244" s="1216">
        <v>241536</v>
      </c>
      <c r="H244" s="842" t="s">
        <v>23</v>
      </c>
      <c r="I244" s="843"/>
      <c r="J244" s="844"/>
      <c r="K244" s="844"/>
      <c r="L244" s="844"/>
      <c r="M244" s="844"/>
      <c r="N244" s="846"/>
      <c r="P244" s="847"/>
    </row>
    <row r="245" spans="1:16" s="863" customFormat="1" ht="18" customHeight="1" x14ac:dyDescent="0.3">
      <c r="A245" s="824">
        <v>238</v>
      </c>
      <c r="B245" s="860"/>
      <c r="C245" s="861"/>
      <c r="D245" s="292" t="s">
        <v>238</v>
      </c>
      <c r="E245" s="1142"/>
      <c r="F245" s="1142"/>
      <c r="G245" s="1213"/>
      <c r="H245" s="862"/>
      <c r="I245" s="843">
        <f>SUM(J245:N245)</f>
        <v>221632</v>
      </c>
      <c r="J245" s="845"/>
      <c r="K245" s="845"/>
      <c r="L245" s="845">
        <f>78359+119200-6256+30329</f>
        <v>221632</v>
      </c>
      <c r="M245" s="845"/>
      <c r="N245" s="854"/>
    </row>
    <row r="246" spans="1:16" s="839" customFormat="1" ht="23.45" customHeight="1" x14ac:dyDescent="0.3">
      <c r="A246" s="824">
        <v>239</v>
      </c>
      <c r="B246" s="848"/>
      <c r="C246" s="849">
        <v>90</v>
      </c>
      <c r="D246" s="850" t="s">
        <v>70</v>
      </c>
      <c r="E246" s="992">
        <v>10593</v>
      </c>
      <c r="F246" s="992">
        <v>15000</v>
      </c>
      <c r="G246" s="991">
        <v>15000</v>
      </c>
      <c r="H246" s="842" t="s">
        <v>23</v>
      </c>
      <c r="I246" s="843"/>
      <c r="J246" s="844"/>
      <c r="K246" s="844"/>
      <c r="L246" s="844"/>
      <c r="M246" s="844"/>
      <c r="N246" s="846"/>
      <c r="P246" s="847"/>
    </row>
    <row r="247" spans="1:16" s="863" customFormat="1" ht="18" customHeight="1" x14ac:dyDescent="0.3">
      <c r="A247" s="824">
        <v>240</v>
      </c>
      <c r="B247" s="860"/>
      <c r="C247" s="861"/>
      <c r="D247" s="292" t="s">
        <v>238</v>
      </c>
      <c r="E247" s="1142"/>
      <c r="F247" s="1142"/>
      <c r="G247" s="1213"/>
      <c r="H247" s="862"/>
      <c r="I247" s="843">
        <f>SUM(J247:N247)</f>
        <v>12500</v>
      </c>
      <c r="J247" s="845"/>
      <c r="K247" s="845"/>
      <c r="L247" s="845">
        <v>12500</v>
      </c>
      <c r="M247" s="845"/>
      <c r="N247" s="854"/>
    </row>
    <row r="248" spans="1:16" s="839" customFormat="1" ht="22.5" customHeight="1" x14ac:dyDescent="0.3">
      <c r="A248" s="824">
        <v>241</v>
      </c>
      <c r="B248" s="848"/>
      <c r="C248" s="849">
        <v>91</v>
      </c>
      <c r="D248" s="850" t="s">
        <v>575</v>
      </c>
      <c r="E248" s="992">
        <v>1776573</v>
      </c>
      <c r="F248" s="992">
        <v>1775824</v>
      </c>
      <c r="G248" s="991">
        <v>1775824</v>
      </c>
      <c r="H248" s="842" t="s">
        <v>23</v>
      </c>
      <c r="I248" s="843"/>
      <c r="J248" s="844"/>
      <c r="K248" s="844"/>
      <c r="L248" s="844"/>
      <c r="M248" s="844"/>
      <c r="N248" s="846"/>
    </row>
    <row r="249" spans="1:16" s="839" customFormat="1" ht="20.100000000000001" customHeight="1" x14ac:dyDescent="0.3">
      <c r="A249" s="824">
        <v>242</v>
      </c>
      <c r="B249" s="848"/>
      <c r="C249" s="849"/>
      <c r="D249" s="901" t="s">
        <v>481</v>
      </c>
      <c r="E249" s="992"/>
      <c r="F249" s="992"/>
      <c r="G249" s="991"/>
      <c r="H249" s="842"/>
      <c r="I249" s="843"/>
      <c r="J249" s="844"/>
      <c r="K249" s="844"/>
      <c r="L249" s="844"/>
      <c r="M249" s="844"/>
      <c r="N249" s="846"/>
    </row>
    <row r="250" spans="1:16" s="863" customFormat="1" ht="18" customHeight="1" x14ac:dyDescent="0.3">
      <c r="A250" s="824">
        <v>243</v>
      </c>
      <c r="B250" s="860"/>
      <c r="C250" s="861"/>
      <c r="D250" s="902" t="s">
        <v>238</v>
      </c>
      <c r="E250" s="1142"/>
      <c r="F250" s="1142"/>
      <c r="G250" s="1213"/>
      <c r="H250" s="862"/>
      <c r="I250" s="843">
        <f>SUM(J250:N250)</f>
        <v>1775824</v>
      </c>
      <c r="J250" s="845"/>
      <c r="K250" s="845"/>
      <c r="L250" s="845"/>
      <c r="M250" s="845"/>
      <c r="N250" s="854">
        <f>1751063+24761</f>
        <v>1775824</v>
      </c>
    </row>
    <row r="251" spans="1:16" s="863" customFormat="1" ht="20.100000000000001" customHeight="1" x14ac:dyDescent="0.3">
      <c r="A251" s="824">
        <v>244</v>
      </c>
      <c r="B251" s="860"/>
      <c r="C251" s="861"/>
      <c r="D251" s="901" t="s">
        <v>480</v>
      </c>
      <c r="E251" s="992">
        <v>22980</v>
      </c>
      <c r="F251" s="992">
        <v>24544</v>
      </c>
      <c r="G251" s="991">
        <v>24544</v>
      </c>
      <c r="H251" s="862"/>
      <c r="I251" s="843"/>
      <c r="J251" s="845"/>
      <c r="K251" s="845"/>
      <c r="L251" s="845"/>
      <c r="M251" s="845"/>
      <c r="N251" s="854"/>
    </row>
    <row r="252" spans="1:16" s="863" customFormat="1" ht="18" customHeight="1" x14ac:dyDescent="0.3">
      <c r="A252" s="824">
        <v>245</v>
      </c>
      <c r="B252" s="860"/>
      <c r="C252" s="861"/>
      <c r="D252" s="902" t="s">
        <v>238</v>
      </c>
      <c r="E252" s="1142"/>
      <c r="F252" s="1142"/>
      <c r="G252" s="1213"/>
      <c r="H252" s="862"/>
      <c r="I252" s="843">
        <f>SUM(J252:N252)</f>
        <v>24544</v>
      </c>
      <c r="J252" s="845"/>
      <c r="K252" s="845"/>
      <c r="L252" s="845"/>
      <c r="M252" s="845"/>
      <c r="N252" s="854">
        <v>24544</v>
      </c>
    </row>
    <row r="253" spans="1:16" s="863" customFormat="1" ht="32.25" customHeight="1" x14ac:dyDescent="0.3">
      <c r="A253" s="824">
        <v>246</v>
      </c>
      <c r="B253" s="860"/>
      <c r="C253" s="865">
        <v>92</v>
      </c>
      <c r="D253" s="850" t="s">
        <v>494</v>
      </c>
      <c r="E253" s="992">
        <v>25967</v>
      </c>
      <c r="F253" s="992">
        <v>30000</v>
      </c>
      <c r="G253" s="991">
        <v>28302</v>
      </c>
      <c r="H253" s="842" t="s">
        <v>23</v>
      </c>
      <c r="I253" s="843"/>
      <c r="J253" s="845"/>
      <c r="K253" s="845"/>
      <c r="L253" s="845"/>
      <c r="M253" s="845"/>
      <c r="N253" s="854"/>
    </row>
    <row r="254" spans="1:16" s="863" customFormat="1" ht="18" customHeight="1" x14ac:dyDescent="0.3">
      <c r="A254" s="824">
        <v>247</v>
      </c>
      <c r="B254" s="860"/>
      <c r="C254" s="861"/>
      <c r="D254" s="292" t="s">
        <v>238</v>
      </c>
      <c r="E254" s="1142"/>
      <c r="F254" s="1142"/>
      <c r="G254" s="1213"/>
      <c r="H254" s="842"/>
      <c r="I254" s="843">
        <f>SUM(J254:N254)</f>
        <v>33983</v>
      </c>
      <c r="J254" s="845"/>
      <c r="K254" s="845"/>
      <c r="L254" s="845"/>
      <c r="M254" s="845"/>
      <c r="N254" s="854">
        <f>32000+1983</f>
        <v>33983</v>
      </c>
    </row>
    <row r="255" spans="1:16" s="839" customFormat="1" ht="22.5" customHeight="1" x14ac:dyDescent="0.3">
      <c r="A255" s="824">
        <v>248</v>
      </c>
      <c r="B255" s="848"/>
      <c r="C255" s="849">
        <v>93</v>
      </c>
      <c r="D255" s="850" t="s">
        <v>558</v>
      </c>
      <c r="E255" s="992">
        <v>50465</v>
      </c>
      <c r="F255" s="992">
        <v>69260</v>
      </c>
      <c r="G255" s="991">
        <v>69260</v>
      </c>
      <c r="H255" s="842" t="s">
        <v>24</v>
      </c>
      <c r="I255" s="843"/>
      <c r="J255" s="844"/>
      <c r="K255" s="844"/>
      <c r="L255" s="844"/>
      <c r="M255" s="844"/>
      <c r="N255" s="846"/>
    </row>
    <row r="256" spans="1:16" s="863" customFormat="1" ht="18" customHeight="1" x14ac:dyDescent="0.3">
      <c r="A256" s="824">
        <v>249</v>
      </c>
      <c r="B256" s="860"/>
      <c r="C256" s="861"/>
      <c r="D256" s="292" t="s">
        <v>238</v>
      </c>
      <c r="E256" s="1142"/>
      <c r="F256" s="1142"/>
      <c r="G256" s="1213"/>
      <c r="H256" s="862"/>
      <c r="I256" s="843">
        <f>SUM(J256:N256)</f>
        <v>75704</v>
      </c>
      <c r="J256" s="845"/>
      <c r="K256" s="845"/>
      <c r="L256" s="845">
        <f>69260+6444</f>
        <v>75704</v>
      </c>
      <c r="M256" s="845"/>
      <c r="N256" s="854"/>
    </row>
    <row r="257" spans="1:16" s="839" customFormat="1" ht="22.5" customHeight="1" x14ac:dyDescent="0.3">
      <c r="A257" s="824">
        <v>250</v>
      </c>
      <c r="B257" s="848"/>
      <c r="C257" s="849"/>
      <c r="D257" s="903" t="s">
        <v>233</v>
      </c>
      <c r="E257" s="992"/>
      <c r="F257" s="992"/>
      <c r="G257" s="991"/>
      <c r="H257" s="842"/>
      <c r="I257" s="855"/>
      <c r="J257" s="856"/>
      <c r="K257" s="856"/>
      <c r="L257" s="856"/>
      <c r="M257" s="856"/>
      <c r="N257" s="857"/>
      <c r="O257" s="847"/>
      <c r="P257" s="847"/>
    </row>
    <row r="258" spans="1:16" s="839" customFormat="1" ht="22.5" customHeight="1" x14ac:dyDescent="0.3">
      <c r="A258" s="824">
        <v>251</v>
      </c>
      <c r="B258" s="848"/>
      <c r="C258" s="849">
        <v>94</v>
      </c>
      <c r="D258" s="901" t="s">
        <v>8</v>
      </c>
      <c r="E258" s="992">
        <v>465000</v>
      </c>
      <c r="F258" s="992">
        <v>494000</v>
      </c>
      <c r="G258" s="991">
        <v>494500</v>
      </c>
      <c r="H258" s="842" t="s">
        <v>23</v>
      </c>
      <c r="I258" s="843"/>
      <c r="J258" s="844"/>
      <c r="K258" s="844"/>
      <c r="L258" s="844"/>
      <c r="M258" s="844"/>
      <c r="N258" s="846"/>
      <c r="P258" s="847"/>
    </row>
    <row r="259" spans="1:16" s="863" customFormat="1" ht="18" customHeight="1" x14ac:dyDescent="0.3">
      <c r="A259" s="824">
        <v>252</v>
      </c>
      <c r="B259" s="860"/>
      <c r="C259" s="861"/>
      <c r="D259" s="902" t="s">
        <v>238</v>
      </c>
      <c r="E259" s="1142"/>
      <c r="F259" s="1142"/>
      <c r="G259" s="1213"/>
      <c r="H259" s="862"/>
      <c r="I259" s="843">
        <f>SUM(J259:N259)</f>
        <v>547000</v>
      </c>
      <c r="J259" s="845"/>
      <c r="K259" s="845"/>
      <c r="L259" s="845">
        <v>500</v>
      </c>
      <c r="M259" s="845"/>
      <c r="N259" s="854">
        <f>494000+52500</f>
        <v>546500</v>
      </c>
    </row>
    <row r="260" spans="1:16" s="839" customFormat="1" ht="22.5" customHeight="1" x14ac:dyDescent="0.3">
      <c r="A260" s="824">
        <v>253</v>
      </c>
      <c r="B260" s="848"/>
      <c r="C260" s="849">
        <v>95</v>
      </c>
      <c r="D260" s="901" t="s">
        <v>232</v>
      </c>
      <c r="E260" s="992">
        <v>89000</v>
      </c>
      <c r="F260" s="992">
        <v>90000</v>
      </c>
      <c r="G260" s="991">
        <v>90000</v>
      </c>
      <c r="H260" s="842" t="s">
        <v>23</v>
      </c>
      <c r="I260" s="843"/>
      <c r="J260" s="844"/>
      <c r="K260" s="844"/>
      <c r="L260" s="844"/>
      <c r="M260" s="844"/>
      <c r="N260" s="846"/>
      <c r="P260" s="847"/>
    </row>
    <row r="261" spans="1:16" s="863" customFormat="1" ht="18" customHeight="1" x14ac:dyDescent="0.3">
      <c r="A261" s="824">
        <v>254</v>
      </c>
      <c r="B261" s="860"/>
      <c r="C261" s="861"/>
      <c r="D261" s="902" t="s">
        <v>238</v>
      </c>
      <c r="E261" s="1142"/>
      <c r="F261" s="1142"/>
      <c r="G261" s="1213"/>
      <c r="H261" s="862"/>
      <c r="I261" s="843">
        <f>SUM(J261:N261)</f>
        <v>98750</v>
      </c>
      <c r="J261" s="845"/>
      <c r="K261" s="845"/>
      <c r="L261" s="845"/>
      <c r="M261" s="845"/>
      <c r="N261" s="854">
        <f>90000+8750</f>
        <v>98750</v>
      </c>
    </row>
    <row r="262" spans="1:16" s="839" customFormat="1" ht="22.5" customHeight="1" x14ac:dyDescent="0.3">
      <c r="A262" s="824">
        <v>255</v>
      </c>
      <c r="B262" s="848"/>
      <c r="C262" s="849">
        <v>96</v>
      </c>
      <c r="D262" s="901" t="s">
        <v>9</v>
      </c>
      <c r="E262" s="992">
        <v>399000</v>
      </c>
      <c r="F262" s="992">
        <v>440000</v>
      </c>
      <c r="G262" s="991">
        <v>455000</v>
      </c>
      <c r="H262" s="842" t="s">
        <v>23</v>
      </c>
      <c r="I262" s="843"/>
      <c r="J262" s="844"/>
      <c r="K262" s="844"/>
      <c r="L262" s="844"/>
      <c r="M262" s="844"/>
      <c r="N262" s="846"/>
      <c r="P262" s="847"/>
    </row>
    <row r="263" spans="1:16" s="863" customFormat="1" ht="18" customHeight="1" x14ac:dyDescent="0.3">
      <c r="A263" s="824">
        <v>256</v>
      </c>
      <c r="B263" s="860"/>
      <c r="C263" s="861"/>
      <c r="D263" s="902" t="s">
        <v>238</v>
      </c>
      <c r="E263" s="1142"/>
      <c r="F263" s="1142"/>
      <c r="G263" s="1213"/>
      <c r="H263" s="862"/>
      <c r="I263" s="843">
        <f>SUM(J263:N263)</f>
        <v>448750</v>
      </c>
      <c r="J263" s="845"/>
      <c r="K263" s="845"/>
      <c r="L263" s="845"/>
      <c r="M263" s="845"/>
      <c r="N263" s="854">
        <f>440000+8750</f>
        <v>448750</v>
      </c>
    </row>
    <row r="264" spans="1:16" s="839" customFormat="1" ht="22.5" customHeight="1" x14ac:dyDescent="0.3">
      <c r="A264" s="824">
        <v>257</v>
      </c>
      <c r="B264" s="848"/>
      <c r="C264" s="849">
        <v>97</v>
      </c>
      <c r="D264" s="901" t="s">
        <v>7</v>
      </c>
      <c r="E264" s="992">
        <v>72000</v>
      </c>
      <c r="F264" s="992">
        <v>80000</v>
      </c>
      <c r="G264" s="991">
        <v>80000</v>
      </c>
      <c r="H264" s="842" t="s">
        <v>23</v>
      </c>
      <c r="I264" s="843"/>
      <c r="J264" s="844"/>
      <c r="K264" s="844"/>
      <c r="L264" s="844"/>
      <c r="M264" s="844"/>
      <c r="N264" s="846"/>
      <c r="P264" s="847"/>
    </row>
    <row r="265" spans="1:16" s="863" customFormat="1" ht="18" customHeight="1" x14ac:dyDescent="0.3">
      <c r="A265" s="824">
        <v>258</v>
      </c>
      <c r="B265" s="860"/>
      <c r="C265" s="861"/>
      <c r="D265" s="902" t="s">
        <v>238</v>
      </c>
      <c r="E265" s="1142"/>
      <c r="F265" s="1142"/>
      <c r="G265" s="1213"/>
      <c r="H265" s="862"/>
      <c r="I265" s="843">
        <f>SUM(J265:N265)</f>
        <v>80000</v>
      </c>
      <c r="J265" s="845"/>
      <c r="K265" s="845"/>
      <c r="L265" s="845"/>
      <c r="M265" s="845"/>
      <c r="N265" s="854">
        <v>80000</v>
      </c>
    </row>
    <row r="266" spans="1:16" s="839" customFormat="1" ht="22.5" customHeight="1" x14ac:dyDescent="0.3">
      <c r="A266" s="824">
        <v>259</v>
      </c>
      <c r="B266" s="848"/>
      <c r="C266" s="849">
        <v>162</v>
      </c>
      <c r="D266" s="901" t="s">
        <v>482</v>
      </c>
      <c r="E266" s="992">
        <v>20000</v>
      </c>
      <c r="F266" s="992">
        <v>25000</v>
      </c>
      <c r="G266" s="991">
        <v>25000</v>
      </c>
      <c r="H266" s="842" t="s">
        <v>23</v>
      </c>
      <c r="I266" s="843"/>
      <c r="J266" s="844"/>
      <c r="K266" s="844"/>
      <c r="L266" s="844"/>
      <c r="M266" s="844"/>
      <c r="N266" s="854"/>
      <c r="P266" s="847"/>
    </row>
    <row r="267" spans="1:16" s="839" customFormat="1" ht="18" customHeight="1" x14ac:dyDescent="0.3">
      <c r="A267" s="824">
        <v>260</v>
      </c>
      <c r="B267" s="848"/>
      <c r="C267" s="849"/>
      <c r="D267" s="902" t="s">
        <v>238</v>
      </c>
      <c r="E267" s="992"/>
      <c r="F267" s="992"/>
      <c r="G267" s="991"/>
      <c r="H267" s="842"/>
      <c r="I267" s="843">
        <f>SUM(J267:N267)</f>
        <v>21000</v>
      </c>
      <c r="J267" s="844"/>
      <c r="K267" s="844"/>
      <c r="L267" s="844"/>
      <c r="M267" s="844"/>
      <c r="N267" s="854">
        <v>21000</v>
      </c>
      <c r="P267" s="847"/>
    </row>
    <row r="268" spans="1:16" s="839" customFormat="1" ht="22.5" customHeight="1" x14ac:dyDescent="0.3">
      <c r="A268" s="824">
        <v>261</v>
      </c>
      <c r="B268" s="848"/>
      <c r="C268" s="849"/>
      <c r="D268" s="903" t="s">
        <v>234</v>
      </c>
      <c r="E268" s="992"/>
      <c r="F268" s="992"/>
      <c r="G268" s="991"/>
      <c r="H268" s="842"/>
      <c r="I268" s="855"/>
      <c r="J268" s="856"/>
      <c r="K268" s="856"/>
      <c r="L268" s="856"/>
      <c r="M268" s="856"/>
      <c r="N268" s="857"/>
      <c r="O268" s="847"/>
      <c r="P268" s="847"/>
    </row>
    <row r="269" spans="1:16" s="839" customFormat="1" ht="22.5" customHeight="1" x14ac:dyDescent="0.3">
      <c r="A269" s="824">
        <v>262</v>
      </c>
      <c r="B269" s="848"/>
      <c r="C269" s="849">
        <v>98</v>
      </c>
      <c r="D269" s="901" t="s">
        <v>336</v>
      </c>
      <c r="E269" s="992">
        <v>75000</v>
      </c>
      <c r="F269" s="992">
        <v>82500</v>
      </c>
      <c r="G269" s="991">
        <v>82500</v>
      </c>
      <c r="H269" s="842" t="s">
        <v>23</v>
      </c>
      <c r="I269" s="843"/>
      <c r="J269" s="844"/>
      <c r="K269" s="844"/>
      <c r="L269" s="844"/>
      <c r="M269" s="844"/>
      <c r="N269" s="846"/>
      <c r="P269" s="847"/>
    </row>
    <row r="270" spans="1:16" s="839" customFormat="1" ht="18" customHeight="1" x14ac:dyDescent="0.3">
      <c r="A270" s="824">
        <v>263</v>
      </c>
      <c r="B270" s="848"/>
      <c r="C270" s="849"/>
      <c r="D270" s="902" t="s">
        <v>238</v>
      </c>
      <c r="E270" s="992"/>
      <c r="F270" s="992"/>
      <c r="G270" s="991"/>
      <c r="H270" s="842"/>
      <c r="I270" s="843">
        <f>SUM(J270:N270)</f>
        <v>82500</v>
      </c>
      <c r="J270" s="844"/>
      <c r="K270" s="844"/>
      <c r="L270" s="844"/>
      <c r="M270" s="844"/>
      <c r="N270" s="854">
        <v>82500</v>
      </c>
      <c r="P270" s="847"/>
    </row>
    <row r="271" spans="1:16" s="839" customFormat="1" ht="22.5" customHeight="1" x14ac:dyDescent="0.3">
      <c r="A271" s="824">
        <v>264</v>
      </c>
      <c r="B271" s="848"/>
      <c r="C271" s="849">
        <v>99</v>
      </c>
      <c r="D271" s="901" t="s">
        <v>235</v>
      </c>
      <c r="E271" s="992">
        <v>197941</v>
      </c>
      <c r="F271" s="992">
        <v>228274</v>
      </c>
      <c r="G271" s="991">
        <v>228274</v>
      </c>
      <c r="H271" s="842" t="s">
        <v>23</v>
      </c>
      <c r="I271" s="843"/>
      <c r="J271" s="844"/>
      <c r="K271" s="844"/>
      <c r="L271" s="844"/>
      <c r="M271" s="844"/>
      <c r="N271" s="854"/>
      <c r="P271" s="847"/>
    </row>
    <row r="272" spans="1:16" s="839" customFormat="1" ht="18" customHeight="1" x14ac:dyDescent="0.3">
      <c r="A272" s="824">
        <v>265</v>
      </c>
      <c r="B272" s="848"/>
      <c r="C272" s="849"/>
      <c r="D272" s="902" t="s">
        <v>238</v>
      </c>
      <c r="E272" s="992"/>
      <c r="F272" s="992"/>
      <c r="G272" s="991"/>
      <c r="H272" s="842"/>
      <c r="I272" s="843">
        <f>SUM(J272:N272)</f>
        <v>247227</v>
      </c>
      <c r="J272" s="844"/>
      <c r="K272" s="844"/>
      <c r="L272" s="844"/>
      <c r="M272" s="844"/>
      <c r="N272" s="854">
        <v>247227</v>
      </c>
      <c r="P272" s="847"/>
    </row>
    <row r="273" spans="1:16" s="847" customFormat="1" ht="22.5" customHeight="1" x14ac:dyDescent="0.3">
      <c r="A273" s="824">
        <v>266</v>
      </c>
      <c r="B273" s="840"/>
      <c r="C273" s="849">
        <v>100</v>
      </c>
      <c r="D273" s="850" t="s">
        <v>337</v>
      </c>
      <c r="E273" s="992">
        <v>44357</v>
      </c>
      <c r="F273" s="992">
        <v>46630</v>
      </c>
      <c r="G273" s="991">
        <v>50553</v>
      </c>
      <c r="H273" s="842" t="s">
        <v>23</v>
      </c>
      <c r="I273" s="843"/>
      <c r="J273" s="844"/>
      <c r="K273" s="844"/>
      <c r="L273" s="844"/>
      <c r="M273" s="844"/>
      <c r="N273" s="846"/>
    </row>
    <row r="274" spans="1:16" s="863" customFormat="1" ht="18" customHeight="1" x14ac:dyDescent="0.3">
      <c r="A274" s="824">
        <v>267</v>
      </c>
      <c r="B274" s="860"/>
      <c r="C274" s="861"/>
      <c r="D274" s="292" t="s">
        <v>238</v>
      </c>
      <c r="E274" s="1142"/>
      <c r="F274" s="1142"/>
      <c r="G274" s="1213"/>
      <c r="H274" s="862"/>
      <c r="I274" s="843">
        <f>SUM(J274:N274)</f>
        <v>52776</v>
      </c>
      <c r="J274" s="845"/>
      <c r="K274" s="845"/>
      <c r="L274" s="845">
        <f>46630+6146</f>
        <v>52776</v>
      </c>
      <c r="M274" s="845"/>
      <c r="N274" s="854"/>
    </row>
    <row r="275" spans="1:16" s="839" customFormat="1" ht="22.5" customHeight="1" x14ac:dyDescent="0.3">
      <c r="A275" s="824">
        <v>268</v>
      </c>
      <c r="B275" s="848"/>
      <c r="C275" s="849">
        <v>101</v>
      </c>
      <c r="D275" s="850" t="s">
        <v>75</v>
      </c>
      <c r="E275" s="992">
        <v>2500</v>
      </c>
      <c r="F275" s="992"/>
      <c r="G275" s="991"/>
      <c r="H275" s="842" t="s">
        <v>23</v>
      </c>
      <c r="I275" s="843"/>
      <c r="J275" s="844"/>
      <c r="K275" s="844"/>
      <c r="L275" s="844"/>
      <c r="M275" s="844"/>
      <c r="N275" s="846"/>
      <c r="P275" s="847"/>
    </row>
    <row r="276" spans="1:16" s="839" customFormat="1" ht="22.5" customHeight="1" x14ac:dyDescent="0.3">
      <c r="A276" s="824">
        <v>269</v>
      </c>
      <c r="B276" s="848"/>
      <c r="C276" s="849">
        <v>102</v>
      </c>
      <c r="D276" s="850" t="s">
        <v>76</v>
      </c>
      <c r="E276" s="992">
        <v>1200</v>
      </c>
      <c r="F276" s="992">
        <v>1500</v>
      </c>
      <c r="G276" s="991">
        <v>1500</v>
      </c>
      <c r="H276" s="842" t="s">
        <v>23</v>
      </c>
      <c r="I276" s="843"/>
      <c r="J276" s="844"/>
      <c r="K276" s="844"/>
      <c r="L276" s="844"/>
      <c r="M276" s="844"/>
      <c r="N276" s="846"/>
      <c r="P276" s="847"/>
    </row>
    <row r="277" spans="1:16" s="863" customFormat="1" ht="18" customHeight="1" x14ac:dyDescent="0.3">
      <c r="A277" s="824">
        <v>270</v>
      </c>
      <c r="B277" s="860"/>
      <c r="C277" s="861"/>
      <c r="D277" s="292" t="s">
        <v>238</v>
      </c>
      <c r="E277" s="1142"/>
      <c r="F277" s="1142"/>
      <c r="G277" s="1213"/>
      <c r="H277" s="862"/>
      <c r="I277" s="843">
        <f>SUM(J277:N277)</f>
        <v>1500</v>
      </c>
      <c r="J277" s="845"/>
      <c r="K277" s="845"/>
      <c r="L277" s="845">
        <v>1500</v>
      </c>
      <c r="M277" s="845"/>
      <c r="N277" s="854"/>
    </row>
    <row r="278" spans="1:16" s="839" customFormat="1" ht="22.5" customHeight="1" x14ac:dyDescent="0.3">
      <c r="A278" s="824">
        <v>271</v>
      </c>
      <c r="B278" s="848"/>
      <c r="C278" s="849">
        <v>103</v>
      </c>
      <c r="D278" s="850" t="s">
        <v>77</v>
      </c>
      <c r="E278" s="992">
        <v>4279</v>
      </c>
      <c r="F278" s="992">
        <v>6329</v>
      </c>
      <c r="G278" s="991">
        <v>6329</v>
      </c>
      <c r="H278" s="842" t="s">
        <v>23</v>
      </c>
      <c r="I278" s="843"/>
      <c r="J278" s="844"/>
      <c r="K278" s="844"/>
      <c r="L278" s="844"/>
      <c r="M278" s="844"/>
      <c r="N278" s="846"/>
      <c r="P278" s="847"/>
    </row>
    <row r="279" spans="1:16" s="863" customFormat="1" ht="18" customHeight="1" x14ac:dyDescent="0.3">
      <c r="A279" s="824">
        <v>272</v>
      </c>
      <c r="B279" s="860"/>
      <c r="C279" s="861"/>
      <c r="D279" s="292" t="s">
        <v>238</v>
      </c>
      <c r="E279" s="1142"/>
      <c r="F279" s="1142"/>
      <c r="G279" s="1213"/>
      <c r="H279" s="862"/>
      <c r="I279" s="843">
        <f>SUM(J279:N279)</f>
        <v>6092</v>
      </c>
      <c r="J279" s="845"/>
      <c r="K279" s="845"/>
      <c r="L279" s="845">
        <f>6000+92</f>
        <v>6092</v>
      </c>
      <c r="M279" s="845"/>
      <c r="N279" s="854"/>
    </row>
    <row r="280" spans="1:16" s="839" customFormat="1" ht="22.5" customHeight="1" x14ac:dyDescent="0.3">
      <c r="A280" s="824">
        <v>273</v>
      </c>
      <c r="B280" s="848"/>
      <c r="C280" s="849">
        <v>104</v>
      </c>
      <c r="D280" s="850" t="s">
        <v>354</v>
      </c>
      <c r="E280" s="992">
        <v>37643</v>
      </c>
      <c r="F280" s="992">
        <v>83533</v>
      </c>
      <c r="G280" s="991">
        <v>85157</v>
      </c>
      <c r="H280" s="842" t="s">
        <v>23</v>
      </c>
      <c r="I280" s="843"/>
      <c r="J280" s="844"/>
      <c r="K280" s="844"/>
      <c r="L280" s="844"/>
      <c r="M280" s="844"/>
      <c r="N280" s="846"/>
      <c r="P280" s="847"/>
    </row>
    <row r="281" spans="1:16" s="863" customFormat="1" ht="18" customHeight="1" x14ac:dyDescent="0.3">
      <c r="A281" s="824">
        <v>274</v>
      </c>
      <c r="B281" s="860"/>
      <c r="C281" s="861"/>
      <c r="D281" s="292" t="s">
        <v>238</v>
      </c>
      <c r="E281" s="1142"/>
      <c r="F281" s="1142"/>
      <c r="G281" s="1213"/>
      <c r="H281" s="862"/>
      <c r="I281" s="843">
        <f>SUM(J281:N281)</f>
        <v>77840</v>
      </c>
      <c r="J281" s="845"/>
      <c r="K281" s="845"/>
      <c r="L281" s="845">
        <f>47245+30595</f>
        <v>77840</v>
      </c>
      <c r="M281" s="845"/>
      <c r="N281" s="854"/>
    </row>
    <row r="282" spans="1:16" s="839" customFormat="1" ht="22.5" customHeight="1" x14ac:dyDescent="0.3">
      <c r="A282" s="824">
        <v>275</v>
      </c>
      <c r="B282" s="848"/>
      <c r="C282" s="849">
        <v>105</v>
      </c>
      <c r="D282" s="850" t="s">
        <v>78</v>
      </c>
      <c r="E282" s="992">
        <v>685105</v>
      </c>
      <c r="F282" s="992">
        <v>879184</v>
      </c>
      <c r="G282" s="991">
        <v>879184</v>
      </c>
      <c r="H282" s="842" t="s">
        <v>23</v>
      </c>
      <c r="I282" s="843"/>
      <c r="J282" s="844"/>
      <c r="K282" s="844"/>
      <c r="L282" s="844"/>
      <c r="M282" s="844"/>
      <c r="N282" s="846"/>
      <c r="P282" s="847"/>
    </row>
    <row r="283" spans="1:16" s="863" customFormat="1" ht="18" customHeight="1" x14ac:dyDescent="0.3">
      <c r="A283" s="824">
        <v>276</v>
      </c>
      <c r="B283" s="860"/>
      <c r="C283" s="861"/>
      <c r="D283" s="292" t="s">
        <v>238</v>
      </c>
      <c r="E283" s="1142"/>
      <c r="F283" s="1142"/>
      <c r="G283" s="1213"/>
      <c r="H283" s="862"/>
      <c r="I283" s="843">
        <f>SUM(J283:N283)</f>
        <v>747274</v>
      </c>
      <c r="J283" s="845"/>
      <c r="K283" s="845"/>
      <c r="L283" s="845">
        <f>640000+107274</f>
        <v>747274</v>
      </c>
      <c r="M283" s="845"/>
      <c r="N283" s="854"/>
    </row>
    <row r="284" spans="1:16" s="839" customFormat="1" ht="22.5" customHeight="1" x14ac:dyDescent="0.3">
      <c r="A284" s="824">
        <v>277</v>
      </c>
      <c r="B284" s="848"/>
      <c r="C284" s="849">
        <v>106</v>
      </c>
      <c r="D284" s="850" t="s">
        <v>79</v>
      </c>
      <c r="E284" s="992">
        <v>5244</v>
      </c>
      <c r="F284" s="992">
        <v>10715</v>
      </c>
      <c r="G284" s="991">
        <v>10715</v>
      </c>
      <c r="H284" s="842" t="s">
        <v>23</v>
      </c>
      <c r="I284" s="843"/>
      <c r="J284" s="844"/>
      <c r="K284" s="844"/>
      <c r="L284" s="844"/>
      <c r="M284" s="844"/>
      <c r="N284" s="846"/>
      <c r="P284" s="847"/>
    </row>
    <row r="285" spans="1:16" s="863" customFormat="1" ht="18" customHeight="1" x14ac:dyDescent="0.3">
      <c r="A285" s="824">
        <v>278</v>
      </c>
      <c r="B285" s="860"/>
      <c r="C285" s="861"/>
      <c r="D285" s="292" t="s">
        <v>238</v>
      </c>
      <c r="E285" s="1142"/>
      <c r="F285" s="1142"/>
      <c r="G285" s="1213"/>
      <c r="H285" s="862"/>
      <c r="I285" s="843">
        <f>SUM(J285:N285)</f>
        <v>10395</v>
      </c>
      <c r="J285" s="845"/>
      <c r="K285" s="845"/>
      <c r="L285" s="845">
        <f>7000+3395</f>
        <v>10395</v>
      </c>
      <c r="M285" s="845"/>
      <c r="N285" s="854"/>
    </row>
    <row r="286" spans="1:16" s="839" customFormat="1" ht="22.5" customHeight="1" x14ac:dyDescent="0.3">
      <c r="A286" s="824">
        <v>279</v>
      </c>
      <c r="B286" s="848"/>
      <c r="C286" s="849">
        <v>107</v>
      </c>
      <c r="D286" s="850" t="s">
        <v>80</v>
      </c>
      <c r="E286" s="992">
        <v>2081</v>
      </c>
      <c r="F286" s="992">
        <v>6554</v>
      </c>
      <c r="G286" s="991">
        <v>6554</v>
      </c>
      <c r="H286" s="842" t="s">
        <v>23</v>
      </c>
      <c r="I286" s="843"/>
      <c r="J286" s="844"/>
      <c r="K286" s="844"/>
      <c r="L286" s="844"/>
      <c r="M286" s="844"/>
      <c r="N286" s="846"/>
      <c r="P286" s="847"/>
    </row>
    <row r="287" spans="1:16" s="863" customFormat="1" ht="18" customHeight="1" x14ac:dyDescent="0.3">
      <c r="A287" s="824">
        <v>280</v>
      </c>
      <c r="B287" s="860"/>
      <c r="C287" s="861"/>
      <c r="D287" s="292" t="s">
        <v>238</v>
      </c>
      <c r="E287" s="1142"/>
      <c r="F287" s="1142"/>
      <c r="G287" s="1213"/>
      <c r="H287" s="862"/>
      <c r="I287" s="843">
        <f>SUM(J287:N287)</f>
        <v>5965</v>
      </c>
      <c r="J287" s="845"/>
      <c r="K287" s="845"/>
      <c r="L287" s="845">
        <f>5000+965</f>
        <v>5965</v>
      </c>
      <c r="M287" s="845"/>
      <c r="N287" s="854"/>
    </row>
    <row r="288" spans="1:16" s="839" customFormat="1" ht="22.5" customHeight="1" x14ac:dyDescent="0.3">
      <c r="A288" s="824">
        <v>281</v>
      </c>
      <c r="B288" s="848"/>
      <c r="C288" s="849">
        <v>108</v>
      </c>
      <c r="D288" s="850" t="s">
        <v>81</v>
      </c>
      <c r="E288" s="992">
        <v>4886</v>
      </c>
      <c r="F288" s="992">
        <v>13098</v>
      </c>
      <c r="G288" s="991">
        <v>13098</v>
      </c>
      <c r="H288" s="842" t="s">
        <v>23</v>
      </c>
      <c r="I288" s="843"/>
      <c r="J288" s="844"/>
      <c r="K288" s="844"/>
      <c r="L288" s="844"/>
      <c r="M288" s="844"/>
      <c r="N288" s="846"/>
      <c r="P288" s="847"/>
    </row>
    <row r="289" spans="1:16" s="863" customFormat="1" ht="18" customHeight="1" x14ac:dyDescent="0.3">
      <c r="A289" s="824">
        <v>282</v>
      </c>
      <c r="B289" s="860"/>
      <c r="C289" s="861"/>
      <c r="D289" s="292" t="s">
        <v>238</v>
      </c>
      <c r="E289" s="1142"/>
      <c r="F289" s="1142"/>
      <c r="G289" s="1213"/>
      <c r="H289" s="862"/>
      <c r="I289" s="843">
        <f>SUM(J289:N289)</f>
        <v>20857</v>
      </c>
      <c r="J289" s="845"/>
      <c r="K289" s="845"/>
      <c r="L289" s="845">
        <f>10000+10857</f>
        <v>20857</v>
      </c>
      <c r="M289" s="845"/>
      <c r="N289" s="854"/>
    </row>
    <row r="290" spans="1:16" s="839" customFormat="1" ht="22.5" customHeight="1" x14ac:dyDescent="0.3">
      <c r="A290" s="824">
        <v>283</v>
      </c>
      <c r="B290" s="848"/>
      <c r="C290" s="849">
        <v>109</v>
      </c>
      <c r="D290" s="904" t="s">
        <v>242</v>
      </c>
      <c r="E290" s="992">
        <v>93467</v>
      </c>
      <c r="F290" s="992">
        <v>105280</v>
      </c>
      <c r="G290" s="991">
        <v>105280</v>
      </c>
      <c r="H290" s="842" t="s">
        <v>23</v>
      </c>
      <c r="I290" s="843"/>
      <c r="J290" s="844"/>
      <c r="K290" s="844"/>
      <c r="L290" s="844"/>
      <c r="M290" s="844"/>
      <c r="N290" s="846"/>
      <c r="P290" s="847"/>
    </row>
    <row r="291" spans="1:16" s="863" customFormat="1" ht="18" customHeight="1" x14ac:dyDescent="0.3">
      <c r="A291" s="824">
        <v>284</v>
      </c>
      <c r="B291" s="860"/>
      <c r="C291" s="861"/>
      <c r="D291" s="292" t="s">
        <v>238</v>
      </c>
      <c r="E291" s="1142"/>
      <c r="F291" s="1142"/>
      <c r="G291" s="1213"/>
      <c r="H291" s="862"/>
      <c r="I291" s="843">
        <f>SUM(J291:N291)</f>
        <v>112071</v>
      </c>
      <c r="J291" s="845"/>
      <c r="K291" s="845"/>
      <c r="L291" s="845">
        <f>105280+6791</f>
        <v>112071</v>
      </c>
      <c r="M291" s="845"/>
      <c r="N291" s="854"/>
    </row>
    <row r="292" spans="1:16" s="839" customFormat="1" ht="22.5" customHeight="1" x14ac:dyDescent="0.3">
      <c r="A292" s="824">
        <v>285</v>
      </c>
      <c r="B292" s="848"/>
      <c r="C292" s="849">
        <v>110</v>
      </c>
      <c r="D292" s="904" t="s">
        <v>338</v>
      </c>
      <c r="E292" s="992">
        <v>79100</v>
      </c>
      <c r="F292" s="992">
        <v>73000</v>
      </c>
      <c r="G292" s="991">
        <v>73000</v>
      </c>
      <c r="H292" s="842" t="s">
        <v>23</v>
      </c>
      <c r="I292" s="843"/>
      <c r="J292" s="844"/>
      <c r="K292" s="844"/>
      <c r="L292" s="844"/>
      <c r="M292" s="844"/>
      <c r="N292" s="846"/>
      <c r="P292" s="847"/>
    </row>
    <row r="293" spans="1:16" s="863" customFormat="1" ht="18" customHeight="1" x14ac:dyDescent="0.3">
      <c r="A293" s="824">
        <v>286</v>
      </c>
      <c r="B293" s="860"/>
      <c r="C293" s="861"/>
      <c r="D293" s="292" t="s">
        <v>238</v>
      </c>
      <c r="E293" s="1142"/>
      <c r="F293" s="1142"/>
      <c r="G293" s="1213"/>
      <c r="H293" s="862"/>
      <c r="I293" s="843">
        <f>SUM(J293:N293)</f>
        <v>12850</v>
      </c>
      <c r="J293" s="845"/>
      <c r="K293" s="845"/>
      <c r="L293" s="845">
        <v>12850</v>
      </c>
      <c r="M293" s="845"/>
      <c r="N293" s="854"/>
    </row>
    <row r="294" spans="1:16" s="839" customFormat="1" ht="22.5" customHeight="1" x14ac:dyDescent="0.3">
      <c r="A294" s="824">
        <v>287</v>
      </c>
      <c r="B294" s="848"/>
      <c r="C294" s="849">
        <v>111</v>
      </c>
      <c r="D294" s="904" t="s">
        <v>205</v>
      </c>
      <c r="E294" s="992">
        <v>19922</v>
      </c>
      <c r="F294" s="992">
        <v>20000</v>
      </c>
      <c r="G294" s="991">
        <v>25000</v>
      </c>
      <c r="H294" s="842" t="s">
        <v>23</v>
      </c>
      <c r="I294" s="843"/>
      <c r="J294" s="844"/>
      <c r="K294" s="844"/>
      <c r="L294" s="844"/>
      <c r="M294" s="844"/>
      <c r="N294" s="846"/>
      <c r="P294" s="847"/>
    </row>
    <row r="295" spans="1:16" s="863" customFormat="1" ht="18" customHeight="1" x14ac:dyDescent="0.3">
      <c r="A295" s="824">
        <v>288</v>
      </c>
      <c r="B295" s="860"/>
      <c r="C295" s="861"/>
      <c r="D295" s="292" t="s">
        <v>238</v>
      </c>
      <c r="E295" s="1142"/>
      <c r="F295" s="1142"/>
      <c r="G295" s="1213"/>
      <c r="H295" s="862"/>
      <c r="I295" s="843">
        <f>SUM(J295:N295)</f>
        <v>20000</v>
      </c>
      <c r="J295" s="845"/>
      <c r="K295" s="845"/>
      <c r="L295" s="845">
        <v>20000</v>
      </c>
      <c r="M295" s="845"/>
      <c r="N295" s="854"/>
    </row>
    <row r="296" spans="1:16" s="839" customFormat="1" ht="22.5" customHeight="1" x14ac:dyDescent="0.3">
      <c r="A296" s="824">
        <v>289</v>
      </c>
      <c r="B296" s="848"/>
      <c r="C296" s="849">
        <v>112</v>
      </c>
      <c r="D296" s="850" t="s">
        <v>204</v>
      </c>
      <c r="E296" s="992">
        <v>1483</v>
      </c>
      <c r="F296" s="992">
        <v>3302</v>
      </c>
      <c r="G296" s="991">
        <v>464</v>
      </c>
      <c r="H296" s="835" t="s">
        <v>23</v>
      </c>
      <c r="I296" s="843"/>
      <c r="J296" s="844"/>
      <c r="K296" s="844"/>
      <c r="L296" s="844"/>
      <c r="M296" s="844"/>
      <c r="N296" s="846"/>
      <c r="P296" s="847"/>
    </row>
    <row r="297" spans="1:16" s="863" customFormat="1" ht="18" customHeight="1" x14ac:dyDescent="0.3">
      <c r="A297" s="824">
        <v>290</v>
      </c>
      <c r="B297" s="899"/>
      <c r="C297" s="861"/>
      <c r="D297" s="292" t="s">
        <v>238</v>
      </c>
      <c r="E297" s="1171"/>
      <c r="F297" s="1171"/>
      <c r="G297" s="1215"/>
      <c r="H297" s="897"/>
      <c r="I297" s="843">
        <f>SUM(J297:N297)</f>
        <v>2000</v>
      </c>
      <c r="J297" s="900"/>
      <c r="K297" s="900"/>
      <c r="L297" s="900">
        <f>2000</f>
        <v>2000</v>
      </c>
      <c r="M297" s="900"/>
      <c r="N297" s="884"/>
    </row>
    <row r="298" spans="1:16" s="839" customFormat="1" ht="22.5" customHeight="1" x14ac:dyDescent="0.3">
      <c r="A298" s="824">
        <v>291</v>
      </c>
      <c r="B298" s="848"/>
      <c r="C298" s="849">
        <v>113</v>
      </c>
      <c r="D298" s="850" t="s">
        <v>270</v>
      </c>
      <c r="E298" s="992">
        <v>11048</v>
      </c>
      <c r="F298" s="992">
        <v>22221</v>
      </c>
      <c r="G298" s="991">
        <v>22221</v>
      </c>
      <c r="H298" s="842" t="s">
        <v>24</v>
      </c>
      <c r="I298" s="843"/>
      <c r="J298" s="844"/>
      <c r="K298" s="844"/>
      <c r="L298" s="844"/>
      <c r="M298" s="844"/>
      <c r="N298" s="846"/>
      <c r="P298" s="847"/>
    </row>
    <row r="299" spans="1:16" s="863" customFormat="1" ht="18" customHeight="1" x14ac:dyDescent="0.3">
      <c r="A299" s="824">
        <v>292</v>
      </c>
      <c r="B299" s="860"/>
      <c r="C299" s="861"/>
      <c r="D299" s="292" t="s">
        <v>238</v>
      </c>
      <c r="E299" s="1142"/>
      <c r="F299" s="1142"/>
      <c r="G299" s="1213"/>
      <c r="H299" s="862"/>
      <c r="I299" s="843">
        <f>SUM(J299:N299)</f>
        <v>22251</v>
      </c>
      <c r="J299" s="845"/>
      <c r="K299" s="845"/>
      <c r="L299" s="845">
        <f>13250+9001</f>
        <v>22251</v>
      </c>
      <c r="M299" s="845"/>
      <c r="N299" s="854"/>
    </row>
    <row r="300" spans="1:16" s="839" customFormat="1" ht="22.5" customHeight="1" x14ac:dyDescent="0.3">
      <c r="A300" s="824">
        <v>293</v>
      </c>
      <c r="B300" s="848"/>
      <c r="C300" s="849">
        <v>114</v>
      </c>
      <c r="D300" s="850" t="s">
        <v>495</v>
      </c>
      <c r="E300" s="992">
        <v>3088</v>
      </c>
      <c r="F300" s="992">
        <v>31554</v>
      </c>
      <c r="G300" s="991">
        <v>31554</v>
      </c>
      <c r="H300" s="842" t="s">
        <v>23</v>
      </c>
      <c r="I300" s="843"/>
      <c r="J300" s="844"/>
      <c r="K300" s="844"/>
      <c r="L300" s="844"/>
      <c r="M300" s="844"/>
      <c r="N300" s="846"/>
      <c r="P300" s="847"/>
    </row>
    <row r="301" spans="1:16" s="863" customFormat="1" ht="18" customHeight="1" x14ac:dyDescent="0.3">
      <c r="A301" s="824">
        <v>294</v>
      </c>
      <c r="B301" s="860"/>
      <c r="C301" s="861"/>
      <c r="D301" s="292" t="s">
        <v>238</v>
      </c>
      <c r="E301" s="1142"/>
      <c r="F301" s="1142"/>
      <c r="G301" s="1213"/>
      <c r="H301" s="862"/>
      <c r="I301" s="843">
        <f>SUM(J301:N301)</f>
        <v>30272</v>
      </c>
      <c r="J301" s="845"/>
      <c r="K301" s="845"/>
      <c r="L301" s="845">
        <f>7600+22672</f>
        <v>30272</v>
      </c>
      <c r="M301" s="845"/>
      <c r="N301" s="854"/>
    </row>
    <row r="302" spans="1:16" s="863" customFormat="1" ht="22.5" customHeight="1" x14ac:dyDescent="0.3">
      <c r="A302" s="824">
        <v>295</v>
      </c>
      <c r="B302" s="860"/>
      <c r="C302" s="849">
        <v>115</v>
      </c>
      <c r="D302" s="850" t="s">
        <v>345</v>
      </c>
      <c r="E302" s="992">
        <v>18007</v>
      </c>
      <c r="F302" s="992">
        <v>20175</v>
      </c>
      <c r="G302" s="991">
        <v>20175</v>
      </c>
      <c r="H302" s="842" t="s">
        <v>23</v>
      </c>
      <c r="I302" s="843"/>
      <c r="J302" s="845"/>
      <c r="K302" s="845"/>
      <c r="L302" s="845"/>
      <c r="M302" s="845"/>
      <c r="N302" s="854"/>
    </row>
    <row r="303" spans="1:16" s="863" customFormat="1" ht="18" customHeight="1" x14ac:dyDescent="0.3">
      <c r="A303" s="824">
        <v>296</v>
      </c>
      <c r="B303" s="860"/>
      <c r="C303" s="861"/>
      <c r="D303" s="292" t="s">
        <v>238</v>
      </c>
      <c r="E303" s="1142"/>
      <c r="F303" s="1142"/>
      <c r="G303" s="1213"/>
      <c r="H303" s="862"/>
      <c r="I303" s="843">
        <f>SUM(J303:N303)</f>
        <v>20225</v>
      </c>
      <c r="J303" s="845"/>
      <c r="K303" s="845"/>
      <c r="L303" s="845">
        <f>18000+2225</f>
        <v>20225</v>
      </c>
      <c r="M303" s="845"/>
      <c r="N303" s="854"/>
    </row>
    <row r="304" spans="1:16" s="847" customFormat="1" ht="22.5" customHeight="1" x14ac:dyDescent="0.3">
      <c r="A304" s="824">
        <v>297</v>
      </c>
      <c r="B304" s="905"/>
      <c r="C304" s="849">
        <v>116</v>
      </c>
      <c r="D304" s="850" t="s">
        <v>224</v>
      </c>
      <c r="E304" s="992">
        <v>254723</v>
      </c>
      <c r="F304" s="992">
        <v>279585</v>
      </c>
      <c r="G304" s="991">
        <v>284585</v>
      </c>
      <c r="H304" s="842" t="s">
        <v>23</v>
      </c>
      <c r="I304" s="855"/>
      <c r="J304" s="856"/>
      <c r="K304" s="856"/>
      <c r="L304" s="856"/>
      <c r="M304" s="856"/>
      <c r="N304" s="857"/>
    </row>
    <row r="305" spans="1:16" s="863" customFormat="1" ht="18" customHeight="1" x14ac:dyDescent="0.3">
      <c r="A305" s="824">
        <v>298</v>
      </c>
      <c r="B305" s="860"/>
      <c r="C305" s="861"/>
      <c r="D305" s="292" t="s">
        <v>238</v>
      </c>
      <c r="E305" s="1142"/>
      <c r="F305" s="1142"/>
      <c r="G305" s="1213"/>
      <c r="H305" s="862"/>
      <c r="I305" s="843">
        <f>SUM(J305:N305)</f>
        <v>290068</v>
      </c>
      <c r="J305" s="845"/>
      <c r="K305" s="845"/>
      <c r="L305" s="845">
        <v>290068</v>
      </c>
      <c r="M305" s="845"/>
      <c r="N305" s="854"/>
    </row>
    <row r="306" spans="1:16" s="839" customFormat="1" ht="22.5" customHeight="1" x14ac:dyDescent="0.3">
      <c r="A306" s="824">
        <v>299</v>
      </c>
      <c r="B306" s="848"/>
      <c r="C306" s="849">
        <v>118</v>
      </c>
      <c r="D306" s="850" t="s">
        <v>82</v>
      </c>
      <c r="E306" s="992">
        <f>E308+E310+E312+E314+E316</f>
        <v>2765</v>
      </c>
      <c r="F306" s="992">
        <f>F308+F310+F312+F314+F316</f>
        <v>2765</v>
      </c>
      <c r="G306" s="992">
        <f>G308+G310+G312+G314+G316</f>
        <v>2765</v>
      </c>
      <c r="H306" s="842" t="s">
        <v>23</v>
      </c>
      <c r="I306" s="855"/>
      <c r="J306" s="856"/>
      <c r="K306" s="856"/>
      <c r="L306" s="856"/>
      <c r="M306" s="856"/>
      <c r="N306" s="857"/>
      <c r="O306" s="847"/>
      <c r="P306" s="847"/>
    </row>
    <row r="307" spans="1:16" s="863" customFormat="1" ht="18" customHeight="1" x14ac:dyDescent="0.3">
      <c r="A307" s="824">
        <v>300</v>
      </c>
      <c r="B307" s="860"/>
      <c r="C307" s="861"/>
      <c r="D307" s="292" t="s">
        <v>238</v>
      </c>
      <c r="E307" s="1142"/>
      <c r="F307" s="1142"/>
      <c r="G307" s="1213"/>
      <c r="H307" s="862"/>
      <c r="I307" s="843">
        <f>SUM(J307:N307)</f>
        <v>2765</v>
      </c>
      <c r="J307" s="878"/>
      <c r="K307" s="878"/>
      <c r="L307" s="878"/>
      <c r="M307" s="878"/>
      <c r="N307" s="854">
        <f>N309+N311+N313+N315+N317</f>
        <v>2765</v>
      </c>
    </row>
    <row r="308" spans="1:16" s="870" customFormat="1" ht="18" customHeight="1" x14ac:dyDescent="0.3">
      <c r="A308" s="824">
        <v>301</v>
      </c>
      <c r="B308" s="864"/>
      <c r="C308" s="841"/>
      <c r="D308" s="875" t="s">
        <v>83</v>
      </c>
      <c r="E308" s="992">
        <v>553</v>
      </c>
      <c r="F308" s="992">
        <v>553</v>
      </c>
      <c r="G308" s="991">
        <v>553</v>
      </c>
      <c r="H308" s="866"/>
      <c r="I308" s="867"/>
      <c r="J308" s="868"/>
      <c r="K308" s="868"/>
      <c r="L308" s="868"/>
      <c r="M308" s="868"/>
      <c r="N308" s="869"/>
      <c r="P308" s="847"/>
    </row>
    <row r="309" spans="1:16" s="879" customFormat="1" ht="18" customHeight="1" x14ac:dyDescent="0.3">
      <c r="A309" s="824">
        <v>302</v>
      </c>
      <c r="B309" s="877"/>
      <c r="C309" s="861"/>
      <c r="D309" s="906" t="s">
        <v>238</v>
      </c>
      <c r="E309" s="1142"/>
      <c r="F309" s="1142"/>
      <c r="G309" s="1213"/>
      <c r="H309" s="880"/>
      <c r="I309" s="867">
        <f>SUM(J309:N309)</f>
        <v>553</v>
      </c>
      <c r="J309" s="878"/>
      <c r="K309" s="878"/>
      <c r="L309" s="878"/>
      <c r="M309" s="878"/>
      <c r="N309" s="898">
        <v>553</v>
      </c>
      <c r="P309" s="863"/>
    </row>
    <row r="310" spans="1:16" s="870" customFormat="1" ht="18" customHeight="1" x14ac:dyDescent="0.3">
      <c r="A310" s="824">
        <v>303</v>
      </c>
      <c r="B310" s="864"/>
      <c r="C310" s="841"/>
      <c r="D310" s="907" t="s">
        <v>84</v>
      </c>
      <c r="E310" s="992">
        <v>553</v>
      </c>
      <c r="F310" s="992">
        <v>553</v>
      </c>
      <c r="G310" s="991">
        <v>553</v>
      </c>
      <c r="H310" s="866"/>
      <c r="I310" s="872"/>
      <c r="J310" s="873"/>
      <c r="K310" s="873"/>
      <c r="L310" s="873"/>
      <c r="M310" s="873"/>
      <c r="N310" s="874"/>
      <c r="P310" s="847"/>
    </row>
    <row r="311" spans="1:16" s="879" customFormat="1" ht="18" customHeight="1" x14ac:dyDescent="0.3">
      <c r="A311" s="824">
        <v>304</v>
      </c>
      <c r="B311" s="877"/>
      <c r="C311" s="861"/>
      <c r="D311" s="906" t="s">
        <v>238</v>
      </c>
      <c r="E311" s="1142"/>
      <c r="F311" s="1142"/>
      <c r="G311" s="1213"/>
      <c r="H311" s="880"/>
      <c r="I311" s="867">
        <f>SUM(J311:N311)</f>
        <v>553</v>
      </c>
      <c r="J311" s="878"/>
      <c r="K311" s="878"/>
      <c r="L311" s="878"/>
      <c r="M311" s="878"/>
      <c r="N311" s="898">
        <v>553</v>
      </c>
      <c r="P311" s="863"/>
    </row>
    <row r="312" spans="1:16" s="870" customFormat="1" ht="18" customHeight="1" x14ac:dyDescent="0.3">
      <c r="A312" s="824">
        <v>305</v>
      </c>
      <c r="B312" s="864"/>
      <c r="C312" s="841"/>
      <c r="D312" s="907" t="s">
        <v>85</v>
      </c>
      <c r="E312" s="992">
        <v>553</v>
      </c>
      <c r="F312" s="992">
        <v>553</v>
      </c>
      <c r="G312" s="991">
        <v>553</v>
      </c>
      <c r="H312" s="866"/>
      <c r="I312" s="872"/>
      <c r="J312" s="873"/>
      <c r="K312" s="873"/>
      <c r="L312" s="873"/>
      <c r="M312" s="873"/>
      <c r="N312" s="874"/>
      <c r="P312" s="847"/>
    </row>
    <row r="313" spans="1:16" s="879" customFormat="1" ht="18" customHeight="1" x14ac:dyDescent="0.3">
      <c r="A313" s="824">
        <v>306</v>
      </c>
      <c r="B313" s="877"/>
      <c r="C313" s="861"/>
      <c r="D313" s="906" t="s">
        <v>238</v>
      </c>
      <c r="E313" s="1142"/>
      <c r="F313" s="1142"/>
      <c r="G313" s="1213"/>
      <c r="H313" s="880"/>
      <c r="I313" s="867">
        <f>SUM(J313:N313)</f>
        <v>553</v>
      </c>
      <c r="J313" s="878"/>
      <c r="K313" s="878"/>
      <c r="L313" s="878"/>
      <c r="M313" s="878"/>
      <c r="N313" s="898">
        <v>553</v>
      </c>
      <c r="P313" s="863"/>
    </row>
    <row r="314" spans="1:16" s="870" customFormat="1" ht="18" customHeight="1" x14ac:dyDescent="0.3">
      <c r="A314" s="824">
        <v>307</v>
      </c>
      <c r="B314" s="864"/>
      <c r="C314" s="841"/>
      <c r="D314" s="907" t="s">
        <v>86</v>
      </c>
      <c r="E314" s="992">
        <v>553</v>
      </c>
      <c r="F314" s="992">
        <v>553</v>
      </c>
      <c r="G314" s="991">
        <v>553</v>
      </c>
      <c r="H314" s="866"/>
      <c r="I314" s="872"/>
      <c r="J314" s="873"/>
      <c r="K314" s="873"/>
      <c r="L314" s="873"/>
      <c r="M314" s="873"/>
      <c r="N314" s="874"/>
      <c r="P314" s="847"/>
    </row>
    <row r="315" spans="1:16" s="879" customFormat="1" ht="18" customHeight="1" x14ac:dyDescent="0.3">
      <c r="A315" s="824">
        <v>308</v>
      </c>
      <c r="B315" s="877"/>
      <c r="C315" s="861"/>
      <c r="D315" s="906" t="s">
        <v>238</v>
      </c>
      <c r="E315" s="1142"/>
      <c r="F315" s="1142"/>
      <c r="G315" s="1213"/>
      <c r="H315" s="880"/>
      <c r="I315" s="867">
        <f>SUM(J315:N315)</f>
        <v>553</v>
      </c>
      <c r="J315" s="878"/>
      <c r="K315" s="878"/>
      <c r="L315" s="878"/>
      <c r="M315" s="878"/>
      <c r="N315" s="898">
        <v>553</v>
      </c>
      <c r="P315" s="863"/>
    </row>
    <row r="316" spans="1:16" s="870" customFormat="1" ht="18" customHeight="1" x14ac:dyDescent="0.3">
      <c r="A316" s="824">
        <v>309</v>
      </c>
      <c r="B316" s="864"/>
      <c r="C316" s="841"/>
      <c r="D316" s="907" t="s">
        <v>87</v>
      </c>
      <c r="E316" s="992">
        <v>553</v>
      </c>
      <c r="F316" s="992">
        <v>553</v>
      </c>
      <c r="G316" s="991">
        <v>553</v>
      </c>
      <c r="H316" s="866"/>
      <c r="I316" s="872"/>
      <c r="J316" s="873"/>
      <c r="K316" s="873"/>
      <c r="L316" s="873"/>
      <c r="M316" s="873"/>
      <c r="N316" s="874"/>
      <c r="P316" s="847"/>
    </row>
    <row r="317" spans="1:16" s="879" customFormat="1" ht="18" customHeight="1" x14ac:dyDescent="0.3">
      <c r="A317" s="824">
        <v>310</v>
      </c>
      <c r="B317" s="877"/>
      <c r="C317" s="861"/>
      <c r="D317" s="906" t="s">
        <v>238</v>
      </c>
      <c r="E317" s="1142"/>
      <c r="F317" s="1142"/>
      <c r="G317" s="1213"/>
      <c r="H317" s="880"/>
      <c r="I317" s="867">
        <f>SUM(J317:N317)</f>
        <v>553</v>
      </c>
      <c r="J317" s="878"/>
      <c r="K317" s="878"/>
      <c r="L317" s="878"/>
      <c r="M317" s="878"/>
      <c r="N317" s="898">
        <v>553</v>
      </c>
      <c r="P317" s="863"/>
    </row>
    <row r="318" spans="1:16" s="870" customFormat="1" ht="23.45" customHeight="1" x14ac:dyDescent="0.3">
      <c r="A318" s="824">
        <v>311</v>
      </c>
      <c r="B318" s="864"/>
      <c r="C318" s="849">
        <v>121</v>
      </c>
      <c r="D318" s="850" t="s">
        <v>459</v>
      </c>
      <c r="E318" s="1173"/>
      <c r="F318" s="992">
        <v>3071</v>
      </c>
      <c r="G318" s="1217">
        <v>3071</v>
      </c>
      <c r="H318" s="835" t="s">
        <v>24</v>
      </c>
      <c r="I318" s="908"/>
      <c r="J318" s="868"/>
      <c r="K318" s="868"/>
      <c r="L318" s="845"/>
      <c r="M318" s="868"/>
      <c r="N318" s="909"/>
      <c r="P318" s="847"/>
    </row>
    <row r="319" spans="1:16" s="870" customFormat="1" ht="18" customHeight="1" x14ac:dyDescent="0.3">
      <c r="A319" s="824">
        <v>312</v>
      </c>
      <c r="B319" s="864"/>
      <c r="C319" s="849"/>
      <c r="D319" s="292" t="s">
        <v>238</v>
      </c>
      <c r="E319" s="1173"/>
      <c r="F319" s="992"/>
      <c r="G319" s="1217"/>
      <c r="H319" s="910"/>
      <c r="I319" s="843">
        <f>SUM(J319:N319)</f>
        <v>3071</v>
      </c>
      <c r="J319" s="868"/>
      <c r="K319" s="868"/>
      <c r="L319" s="845">
        <f>400+2671</f>
        <v>3071</v>
      </c>
      <c r="M319" s="868"/>
      <c r="N319" s="909"/>
      <c r="P319" s="847"/>
    </row>
    <row r="320" spans="1:16" s="839" customFormat="1" ht="23.45" customHeight="1" x14ac:dyDescent="0.3">
      <c r="A320" s="824">
        <v>313</v>
      </c>
      <c r="B320" s="883"/>
      <c r="C320" s="849">
        <v>123</v>
      </c>
      <c r="D320" s="834" t="s">
        <v>323</v>
      </c>
      <c r="E320" s="1170">
        <v>146</v>
      </c>
      <c r="F320" s="1170">
        <v>4755</v>
      </c>
      <c r="G320" s="1214">
        <v>4755</v>
      </c>
      <c r="H320" s="835" t="s">
        <v>24</v>
      </c>
      <c r="I320" s="843"/>
      <c r="J320" s="852"/>
      <c r="K320" s="852"/>
      <c r="L320" s="852"/>
      <c r="M320" s="852"/>
      <c r="N320" s="853"/>
      <c r="O320" s="847"/>
      <c r="P320" s="847"/>
    </row>
    <row r="321" spans="1:16" s="912" customFormat="1" ht="18" customHeight="1" x14ac:dyDescent="0.35">
      <c r="A321" s="824">
        <v>314</v>
      </c>
      <c r="B321" s="899"/>
      <c r="C321" s="911"/>
      <c r="D321" s="292" t="s">
        <v>238</v>
      </c>
      <c r="E321" s="1170"/>
      <c r="F321" s="1170"/>
      <c r="G321" s="1214"/>
      <c r="H321" s="897"/>
      <c r="I321" s="843">
        <f>SUM(J321:N321)</f>
        <v>6469</v>
      </c>
      <c r="J321" s="900"/>
      <c r="K321" s="900"/>
      <c r="L321" s="900">
        <f>1755+4714</f>
        <v>6469</v>
      </c>
      <c r="M321" s="900"/>
      <c r="N321" s="884"/>
      <c r="O321" s="863"/>
      <c r="P321" s="863"/>
    </row>
    <row r="322" spans="1:16" s="912" customFormat="1" ht="23.45" customHeight="1" x14ac:dyDescent="0.35">
      <c r="A322" s="824">
        <v>315</v>
      </c>
      <c r="B322" s="899"/>
      <c r="C322" s="849">
        <v>124</v>
      </c>
      <c r="D322" s="834" t="s">
        <v>485</v>
      </c>
      <c r="E322" s="1170"/>
      <c r="F322" s="1170">
        <v>1700</v>
      </c>
      <c r="G322" s="1214">
        <v>1700</v>
      </c>
      <c r="H322" s="835" t="s">
        <v>24</v>
      </c>
      <c r="I322" s="843"/>
      <c r="J322" s="900"/>
      <c r="K322" s="900"/>
      <c r="L322" s="900"/>
      <c r="M322" s="900"/>
      <c r="N322" s="884"/>
      <c r="O322" s="863"/>
      <c r="P322" s="863"/>
    </row>
    <row r="323" spans="1:16" s="912" customFormat="1" ht="18" customHeight="1" x14ac:dyDescent="0.35">
      <c r="A323" s="824">
        <v>316</v>
      </c>
      <c r="B323" s="899"/>
      <c r="C323" s="911"/>
      <c r="D323" s="292" t="s">
        <v>238</v>
      </c>
      <c r="E323" s="1171"/>
      <c r="F323" s="1171"/>
      <c r="G323" s="1215"/>
      <c r="H323" s="897"/>
      <c r="I323" s="843">
        <f>SUM(J323:N323)</f>
        <v>1700</v>
      </c>
      <c r="J323" s="900"/>
      <c r="K323" s="900"/>
      <c r="L323" s="900">
        <f>500+1200</f>
        <v>1700</v>
      </c>
      <c r="M323" s="900"/>
      <c r="N323" s="884"/>
      <c r="O323" s="863"/>
      <c r="P323" s="863"/>
    </row>
    <row r="324" spans="1:16" s="912" customFormat="1" ht="23.45" customHeight="1" x14ac:dyDescent="0.35">
      <c r="A324" s="824">
        <v>317</v>
      </c>
      <c r="B324" s="899"/>
      <c r="C324" s="849">
        <v>125</v>
      </c>
      <c r="D324" s="834" t="s">
        <v>496</v>
      </c>
      <c r="E324" s="1170">
        <v>338790</v>
      </c>
      <c r="F324" s="1170"/>
      <c r="G324" s="1214"/>
      <c r="H324" s="835" t="s">
        <v>24</v>
      </c>
      <c r="I324" s="843"/>
      <c r="J324" s="900"/>
      <c r="K324" s="900"/>
      <c r="L324" s="900"/>
      <c r="M324" s="900"/>
      <c r="N324" s="884"/>
      <c r="O324" s="863"/>
      <c r="P324" s="863"/>
    </row>
    <row r="325" spans="1:16" s="863" customFormat="1" ht="30" x14ac:dyDescent="0.3">
      <c r="A325" s="824">
        <v>318</v>
      </c>
      <c r="B325" s="860"/>
      <c r="C325" s="865">
        <v>127</v>
      </c>
      <c r="D325" s="834" t="s">
        <v>371</v>
      </c>
      <c r="E325" s="992">
        <v>985</v>
      </c>
      <c r="F325" s="992">
        <v>1000</v>
      </c>
      <c r="G325" s="991">
        <v>1000</v>
      </c>
      <c r="H325" s="842" t="s">
        <v>24</v>
      </c>
      <c r="I325" s="843"/>
      <c r="J325" s="845"/>
      <c r="K325" s="845"/>
      <c r="L325" s="845"/>
      <c r="M325" s="845"/>
      <c r="N325" s="854"/>
    </row>
    <row r="326" spans="1:16" s="863" customFormat="1" ht="18" customHeight="1" x14ac:dyDescent="0.3">
      <c r="A326" s="824">
        <v>319</v>
      </c>
      <c r="B326" s="860"/>
      <c r="C326" s="861"/>
      <c r="D326" s="292" t="s">
        <v>238</v>
      </c>
      <c r="E326" s="992"/>
      <c r="F326" s="992"/>
      <c r="G326" s="991"/>
      <c r="H326" s="842"/>
      <c r="I326" s="843">
        <f>SUM(J326:N326)</f>
        <v>1000</v>
      </c>
      <c r="J326" s="845"/>
      <c r="K326" s="845"/>
      <c r="L326" s="845">
        <v>1000</v>
      </c>
      <c r="M326" s="845"/>
      <c r="N326" s="854"/>
    </row>
    <row r="327" spans="1:16" s="839" customFormat="1" ht="22.5" customHeight="1" x14ac:dyDescent="0.3">
      <c r="A327" s="824">
        <v>320</v>
      </c>
      <c r="B327" s="840"/>
      <c r="C327" s="849">
        <v>128</v>
      </c>
      <c r="D327" s="850" t="s">
        <v>468</v>
      </c>
      <c r="E327" s="992"/>
      <c r="F327" s="992">
        <v>2010</v>
      </c>
      <c r="G327" s="991">
        <v>2010</v>
      </c>
      <c r="H327" s="842" t="s">
        <v>24</v>
      </c>
      <c r="I327" s="855"/>
      <c r="J327" s="856"/>
      <c r="K327" s="856"/>
      <c r="L327" s="856"/>
      <c r="M327" s="856"/>
      <c r="N327" s="857"/>
      <c r="O327" s="847"/>
      <c r="P327" s="847"/>
    </row>
    <row r="328" spans="1:16" s="839" customFormat="1" ht="18" customHeight="1" x14ac:dyDescent="0.3">
      <c r="A328" s="824">
        <v>321</v>
      </c>
      <c r="B328" s="840"/>
      <c r="C328" s="849"/>
      <c r="D328" s="292" t="s">
        <v>238</v>
      </c>
      <c r="E328" s="992"/>
      <c r="F328" s="992"/>
      <c r="G328" s="991"/>
      <c r="H328" s="842"/>
      <c r="I328" s="843">
        <f>SUM(J328:N328)</f>
        <v>2010</v>
      </c>
      <c r="J328" s="856"/>
      <c r="K328" s="856"/>
      <c r="L328" s="858">
        <f>800+1210</f>
        <v>2010</v>
      </c>
      <c r="M328" s="856"/>
      <c r="N328" s="857"/>
      <c r="O328" s="847"/>
      <c r="P328" s="847"/>
    </row>
    <row r="329" spans="1:16" ht="22.5" customHeight="1" x14ac:dyDescent="0.35">
      <c r="A329" s="824">
        <v>322</v>
      </c>
      <c r="B329" s="913"/>
      <c r="C329" s="849">
        <v>131</v>
      </c>
      <c r="D329" s="834" t="s">
        <v>374</v>
      </c>
      <c r="E329" s="992">
        <v>28689</v>
      </c>
      <c r="F329" s="992">
        <v>81863</v>
      </c>
      <c r="G329" s="1214">
        <v>96048</v>
      </c>
      <c r="H329" s="914" t="s">
        <v>24</v>
      </c>
      <c r="I329" s="915"/>
      <c r="J329" s="916"/>
      <c r="K329" s="916"/>
      <c r="L329" s="916"/>
      <c r="M329" s="916"/>
      <c r="N329" s="917"/>
    </row>
    <row r="330" spans="1:16" ht="18" customHeight="1" x14ac:dyDescent="0.35">
      <c r="A330" s="824">
        <v>323</v>
      </c>
      <c r="B330" s="913"/>
      <c r="C330" s="849"/>
      <c r="D330" s="292" t="s">
        <v>238</v>
      </c>
      <c r="E330" s="992"/>
      <c r="F330" s="992"/>
      <c r="G330" s="1214"/>
      <c r="H330" s="914"/>
      <c r="I330" s="843">
        <f>SUM(J330:N330)</f>
        <v>29563</v>
      </c>
      <c r="J330" s="916"/>
      <c r="K330" s="916"/>
      <c r="L330" s="918">
        <v>29563</v>
      </c>
      <c r="M330" s="919"/>
      <c r="N330" s="920"/>
    </row>
    <row r="331" spans="1:16" s="912" customFormat="1" ht="22.5" customHeight="1" x14ac:dyDescent="0.35">
      <c r="A331" s="824">
        <v>324</v>
      </c>
      <c r="B331" s="899"/>
      <c r="C331" s="849">
        <v>134</v>
      </c>
      <c r="D331" s="850" t="s">
        <v>357</v>
      </c>
      <c r="E331" s="1170">
        <v>2000</v>
      </c>
      <c r="F331" s="1170">
        <v>2000</v>
      </c>
      <c r="G331" s="1214">
        <v>2000</v>
      </c>
      <c r="H331" s="835" t="s">
        <v>24</v>
      </c>
      <c r="I331" s="843"/>
      <c r="J331" s="900"/>
      <c r="K331" s="900"/>
      <c r="L331" s="900"/>
      <c r="M331" s="900"/>
      <c r="N331" s="884"/>
      <c r="O331" s="863"/>
      <c r="P331" s="863"/>
    </row>
    <row r="332" spans="1:16" s="912" customFormat="1" ht="18" customHeight="1" x14ac:dyDescent="0.35">
      <c r="A332" s="824">
        <v>325</v>
      </c>
      <c r="B332" s="899"/>
      <c r="C332" s="849"/>
      <c r="D332" s="292" t="s">
        <v>238</v>
      </c>
      <c r="E332" s="1170"/>
      <c r="F332" s="1170"/>
      <c r="G332" s="1214"/>
      <c r="H332" s="835"/>
      <c r="I332" s="843">
        <f>SUM(J332:N332)</f>
        <v>2000</v>
      </c>
      <c r="J332" s="900"/>
      <c r="K332" s="900"/>
      <c r="L332" s="900"/>
      <c r="M332" s="900"/>
      <c r="N332" s="884">
        <v>2000</v>
      </c>
      <c r="O332" s="863"/>
      <c r="P332" s="863"/>
    </row>
    <row r="333" spans="1:16" s="847" customFormat="1" ht="22.5" customHeight="1" x14ac:dyDescent="0.3">
      <c r="A333" s="824">
        <v>326</v>
      </c>
      <c r="B333" s="840"/>
      <c r="C333" s="849">
        <v>135</v>
      </c>
      <c r="D333" s="850" t="s">
        <v>373</v>
      </c>
      <c r="E333" s="992">
        <v>22520</v>
      </c>
      <c r="F333" s="992">
        <v>15406</v>
      </c>
      <c r="G333" s="991">
        <v>34180</v>
      </c>
      <c r="H333" s="842" t="s">
        <v>24</v>
      </c>
      <c r="I333" s="843"/>
      <c r="J333" s="844"/>
      <c r="K333" s="844"/>
      <c r="L333" s="844"/>
      <c r="M333" s="844"/>
      <c r="N333" s="846"/>
    </row>
    <row r="334" spans="1:16" s="847" customFormat="1" ht="18" customHeight="1" x14ac:dyDescent="0.3">
      <c r="A334" s="824">
        <v>327</v>
      </c>
      <c r="B334" s="840"/>
      <c r="C334" s="849"/>
      <c r="D334" s="292" t="s">
        <v>238</v>
      </c>
      <c r="E334" s="992"/>
      <c r="F334" s="992"/>
      <c r="G334" s="991"/>
      <c r="H334" s="842"/>
      <c r="I334" s="843">
        <f>SUM(J334:N334)</f>
        <v>15011</v>
      </c>
      <c r="J334" s="845">
        <v>150</v>
      </c>
      <c r="K334" s="845">
        <v>50</v>
      </c>
      <c r="L334" s="845">
        <f>15011-200-450</f>
        <v>14361</v>
      </c>
      <c r="M334" s="845"/>
      <c r="N334" s="854">
        <v>450</v>
      </c>
    </row>
    <row r="335" spans="1:16" s="870" customFormat="1" ht="23.45" customHeight="1" x14ac:dyDescent="0.3">
      <c r="A335" s="824">
        <v>328</v>
      </c>
      <c r="B335" s="864"/>
      <c r="C335" s="849">
        <v>137</v>
      </c>
      <c r="D335" s="921" t="s">
        <v>521</v>
      </c>
      <c r="E335" s="992"/>
      <c r="F335" s="992"/>
      <c r="G335" s="1217"/>
      <c r="H335" s="910" t="s">
        <v>23</v>
      </c>
      <c r="I335" s="922"/>
      <c r="J335" s="923"/>
      <c r="K335" s="923"/>
      <c r="L335" s="924"/>
      <c r="M335" s="923"/>
      <c r="N335" s="925"/>
      <c r="P335" s="847"/>
    </row>
    <row r="336" spans="1:16" s="870" customFormat="1" ht="18" customHeight="1" x14ac:dyDescent="0.3">
      <c r="A336" s="824">
        <v>329</v>
      </c>
      <c r="B336" s="864"/>
      <c r="C336" s="865"/>
      <c r="D336" s="926" t="s">
        <v>238</v>
      </c>
      <c r="E336" s="991"/>
      <c r="F336" s="992"/>
      <c r="G336" s="1217"/>
      <c r="H336" s="910"/>
      <c r="I336" s="922">
        <f>SUM(J336:N336)</f>
        <v>2500</v>
      </c>
      <c r="J336" s="923"/>
      <c r="K336" s="923"/>
      <c r="L336" s="924">
        <v>2500</v>
      </c>
      <c r="M336" s="923"/>
      <c r="N336" s="925"/>
      <c r="P336" s="847"/>
    </row>
    <row r="337" spans="1:16" s="839" customFormat="1" ht="23.45" customHeight="1" x14ac:dyDescent="0.35">
      <c r="A337" s="824">
        <v>330</v>
      </c>
      <c r="B337" s="848"/>
      <c r="C337" s="849">
        <v>138</v>
      </c>
      <c r="D337" s="927" t="s">
        <v>375</v>
      </c>
      <c r="E337" s="992">
        <v>40281</v>
      </c>
      <c r="F337" s="992">
        <v>105000</v>
      </c>
      <c r="G337" s="1214">
        <v>135000</v>
      </c>
      <c r="H337" s="842" t="s">
        <v>24</v>
      </c>
      <c r="I337" s="843"/>
      <c r="J337" s="844"/>
      <c r="K337" s="844"/>
      <c r="L337" s="844"/>
      <c r="M337" s="844"/>
      <c r="N337" s="846"/>
      <c r="P337" s="847"/>
    </row>
    <row r="338" spans="1:16" s="839" customFormat="1" ht="18" customHeight="1" x14ac:dyDescent="0.3">
      <c r="A338" s="824">
        <v>331</v>
      </c>
      <c r="B338" s="832"/>
      <c r="C338" s="849"/>
      <c r="D338" s="292" t="s">
        <v>238</v>
      </c>
      <c r="F338" s="992"/>
      <c r="G338" s="1214"/>
      <c r="H338" s="835"/>
      <c r="I338" s="843">
        <f>SUM(J338:N338)</f>
        <v>156055</v>
      </c>
      <c r="J338" s="852"/>
      <c r="K338" s="852"/>
      <c r="L338" s="900">
        <f>106055+50000</f>
        <v>156055</v>
      </c>
      <c r="M338" s="852"/>
      <c r="N338" s="853"/>
      <c r="P338" s="847"/>
    </row>
    <row r="339" spans="1:16" s="847" customFormat="1" ht="23.45" customHeight="1" x14ac:dyDescent="0.3">
      <c r="A339" s="824">
        <v>332</v>
      </c>
      <c r="B339" s="885"/>
      <c r="C339" s="849">
        <v>139</v>
      </c>
      <c r="D339" s="928" t="s">
        <v>376</v>
      </c>
      <c r="E339" s="992"/>
      <c r="F339" s="992"/>
      <c r="G339" s="1214"/>
      <c r="H339" s="835" t="s">
        <v>24</v>
      </c>
      <c r="I339" s="843"/>
      <c r="J339" s="852"/>
      <c r="K339" s="852"/>
      <c r="L339" s="852"/>
      <c r="M339" s="852"/>
      <c r="N339" s="853"/>
    </row>
    <row r="340" spans="1:16" s="870" customFormat="1" ht="23.45" customHeight="1" x14ac:dyDescent="0.3">
      <c r="A340" s="824">
        <v>333</v>
      </c>
      <c r="B340" s="929"/>
      <c r="C340" s="849">
        <v>141</v>
      </c>
      <c r="D340" s="850" t="s">
        <v>520</v>
      </c>
      <c r="E340" s="1170"/>
      <c r="F340" s="1170"/>
      <c r="G340" s="1214"/>
      <c r="H340" s="835" t="s">
        <v>24</v>
      </c>
      <c r="I340" s="843"/>
      <c r="J340" s="930"/>
      <c r="K340" s="930"/>
      <c r="L340" s="852"/>
      <c r="M340" s="930"/>
      <c r="N340" s="931"/>
      <c r="P340" s="847"/>
    </row>
    <row r="341" spans="1:16" s="870" customFormat="1" ht="18" customHeight="1" x14ac:dyDescent="0.3">
      <c r="A341" s="824">
        <v>334</v>
      </c>
      <c r="B341" s="929"/>
      <c r="C341" s="865"/>
      <c r="D341" s="292" t="s">
        <v>238</v>
      </c>
      <c r="E341" s="1170">
        <v>19455</v>
      </c>
      <c r="F341" s="1170">
        <v>20000</v>
      </c>
      <c r="G341" s="1214">
        <v>32000</v>
      </c>
      <c r="H341" s="835"/>
      <c r="I341" s="843">
        <f>SUM(J341:N341)</f>
        <v>50000</v>
      </c>
      <c r="J341" s="930"/>
      <c r="K341" s="930"/>
      <c r="L341" s="900"/>
      <c r="M341" s="930"/>
      <c r="N341" s="884">
        <v>50000</v>
      </c>
      <c r="P341" s="847"/>
    </row>
    <row r="342" spans="1:16" s="870" customFormat="1" ht="23.45" customHeight="1" x14ac:dyDescent="0.3">
      <c r="A342" s="824">
        <v>335</v>
      </c>
      <c r="B342" s="864"/>
      <c r="C342" s="849">
        <v>142</v>
      </c>
      <c r="D342" s="932" t="s">
        <v>451</v>
      </c>
      <c r="E342" s="992"/>
      <c r="F342" s="992"/>
      <c r="G342" s="1217"/>
      <c r="H342" s="835" t="s">
        <v>24</v>
      </c>
      <c r="I342" s="908"/>
      <c r="J342" s="868"/>
      <c r="K342" s="868"/>
      <c r="L342" s="845"/>
      <c r="M342" s="868"/>
      <c r="N342" s="909"/>
      <c r="P342" s="847"/>
    </row>
    <row r="343" spans="1:16" s="870" customFormat="1" ht="22.5" customHeight="1" x14ac:dyDescent="0.3">
      <c r="A343" s="824">
        <v>336</v>
      </c>
      <c r="B343" s="864"/>
      <c r="C343" s="849">
        <v>143</v>
      </c>
      <c r="D343" s="932" t="s">
        <v>452</v>
      </c>
      <c r="E343" s="1173"/>
      <c r="F343" s="992"/>
      <c r="G343" s="1217"/>
      <c r="H343" s="835" t="s">
        <v>24</v>
      </c>
      <c r="I343" s="908"/>
      <c r="J343" s="868"/>
      <c r="K343" s="868"/>
      <c r="L343" s="845"/>
      <c r="M343" s="868"/>
      <c r="N343" s="909"/>
      <c r="P343" s="847"/>
    </row>
    <row r="344" spans="1:16" s="870" customFormat="1" ht="18" customHeight="1" x14ac:dyDescent="0.3">
      <c r="A344" s="824">
        <v>337</v>
      </c>
      <c r="B344" s="864"/>
      <c r="C344" s="865"/>
      <c r="D344" s="669" t="s">
        <v>238</v>
      </c>
      <c r="E344" s="1173"/>
      <c r="F344" s="992"/>
      <c r="G344" s="1217"/>
      <c r="H344" s="835"/>
      <c r="I344" s="843">
        <f>SUM(J344:N344)</f>
        <v>0</v>
      </c>
      <c r="J344" s="868"/>
      <c r="K344" s="868"/>
      <c r="L344" s="845"/>
      <c r="M344" s="868"/>
      <c r="N344" s="909"/>
      <c r="P344" s="847"/>
    </row>
    <row r="345" spans="1:16" s="870" customFormat="1" ht="23.45" customHeight="1" x14ac:dyDescent="0.3">
      <c r="A345" s="824">
        <v>338</v>
      </c>
      <c r="B345" s="864"/>
      <c r="C345" s="849">
        <v>144</v>
      </c>
      <c r="D345" s="932" t="s">
        <v>453</v>
      </c>
      <c r="E345" s="1173"/>
      <c r="F345" s="992"/>
      <c r="G345" s="1217"/>
      <c r="H345" s="835" t="s">
        <v>24</v>
      </c>
      <c r="I345" s="908"/>
      <c r="J345" s="868"/>
      <c r="K345" s="868"/>
      <c r="L345" s="845"/>
      <c r="M345" s="868"/>
      <c r="N345" s="909"/>
      <c r="P345" s="847"/>
    </row>
    <row r="346" spans="1:16" s="870" customFormat="1" ht="23.45" customHeight="1" x14ac:dyDescent="0.3">
      <c r="A346" s="824">
        <v>339</v>
      </c>
      <c r="B346" s="864"/>
      <c r="C346" s="849">
        <v>145</v>
      </c>
      <c r="D346" s="850" t="s">
        <v>454</v>
      </c>
      <c r="E346" s="1173">
        <v>6400</v>
      </c>
      <c r="F346" s="992">
        <v>6500</v>
      </c>
      <c r="G346" s="1217">
        <v>6500</v>
      </c>
      <c r="H346" s="835" t="s">
        <v>24</v>
      </c>
      <c r="I346" s="908"/>
      <c r="J346" s="868"/>
      <c r="K346" s="868"/>
      <c r="L346" s="845"/>
      <c r="M346" s="868"/>
      <c r="N346" s="909"/>
      <c r="P346" s="847"/>
    </row>
    <row r="347" spans="1:16" s="870" customFormat="1" ht="18" customHeight="1" x14ac:dyDescent="0.3">
      <c r="A347" s="824">
        <v>340</v>
      </c>
      <c r="B347" s="864"/>
      <c r="C347" s="849"/>
      <c r="D347" s="292" t="s">
        <v>238</v>
      </c>
      <c r="E347" s="1173"/>
      <c r="F347" s="992"/>
      <c r="G347" s="1217"/>
      <c r="H347" s="835"/>
      <c r="I347" s="843">
        <f>SUM(J347:N347)</f>
        <v>7500</v>
      </c>
      <c r="J347" s="868"/>
      <c r="K347" s="868"/>
      <c r="L347" s="845"/>
      <c r="M347" s="868"/>
      <c r="N347" s="925">
        <f>10000-2500</f>
        <v>7500</v>
      </c>
      <c r="P347" s="847"/>
    </row>
    <row r="348" spans="1:16" s="870" customFormat="1" ht="23.45" customHeight="1" x14ac:dyDescent="0.3">
      <c r="A348" s="824">
        <v>341</v>
      </c>
      <c r="B348" s="864"/>
      <c r="C348" s="849">
        <v>146</v>
      </c>
      <c r="D348" s="850" t="s">
        <v>455</v>
      </c>
      <c r="E348" s="1173">
        <v>1650</v>
      </c>
      <c r="F348" s="992">
        <v>1650</v>
      </c>
      <c r="G348" s="1217">
        <v>1650</v>
      </c>
      <c r="H348" s="835" t="s">
        <v>24</v>
      </c>
      <c r="I348" s="908"/>
      <c r="J348" s="868"/>
      <c r="K348" s="868"/>
      <c r="L348" s="845"/>
      <c r="M348" s="868"/>
      <c r="N348" s="909"/>
      <c r="P348" s="847"/>
    </row>
    <row r="349" spans="1:16" s="870" customFormat="1" ht="18" customHeight="1" x14ac:dyDescent="0.3">
      <c r="A349" s="824">
        <v>342</v>
      </c>
      <c r="B349" s="864"/>
      <c r="C349" s="849"/>
      <c r="D349" s="292" t="s">
        <v>238</v>
      </c>
      <c r="E349" s="1173"/>
      <c r="F349" s="992"/>
      <c r="G349" s="1217"/>
      <c r="H349" s="835"/>
      <c r="I349" s="843">
        <f>SUM(J349:N349)</f>
        <v>1650</v>
      </c>
      <c r="J349" s="868"/>
      <c r="K349" s="868"/>
      <c r="L349" s="845"/>
      <c r="M349" s="868"/>
      <c r="N349" s="925">
        <v>1650</v>
      </c>
      <c r="P349" s="847"/>
    </row>
    <row r="350" spans="1:16" s="870" customFormat="1" ht="23.45" customHeight="1" x14ac:dyDescent="0.3">
      <c r="A350" s="824">
        <v>343</v>
      </c>
      <c r="B350" s="864"/>
      <c r="C350" s="849">
        <v>147</v>
      </c>
      <c r="D350" s="850" t="s">
        <v>456</v>
      </c>
      <c r="E350" s="1173">
        <v>1940</v>
      </c>
      <c r="F350" s="992">
        <v>108736</v>
      </c>
      <c r="G350" s="1217">
        <v>108736</v>
      </c>
      <c r="H350" s="835" t="s">
        <v>23</v>
      </c>
      <c r="I350" s="908"/>
      <c r="J350" s="868"/>
      <c r="K350" s="868"/>
      <c r="L350" s="845"/>
      <c r="M350" s="868"/>
      <c r="N350" s="909"/>
      <c r="P350" s="847"/>
    </row>
    <row r="351" spans="1:16" s="870" customFormat="1" ht="18" customHeight="1" x14ac:dyDescent="0.3">
      <c r="A351" s="824">
        <v>344</v>
      </c>
      <c r="B351" s="864"/>
      <c r="C351" s="849"/>
      <c r="D351" s="292" t="s">
        <v>238</v>
      </c>
      <c r="E351" s="1173"/>
      <c r="F351" s="992"/>
      <c r="G351" s="1217"/>
      <c r="H351" s="835"/>
      <c r="I351" s="843">
        <f>SUM(J351:N351)</f>
        <v>42000</v>
      </c>
      <c r="J351" s="868"/>
      <c r="K351" s="868"/>
      <c r="L351" s="845">
        <f>40000+2000</f>
        <v>42000</v>
      </c>
      <c r="M351" s="923"/>
      <c r="N351" s="909"/>
      <c r="P351" s="847"/>
    </row>
    <row r="352" spans="1:16" s="870" customFormat="1" ht="23.45" customHeight="1" x14ac:dyDescent="0.3">
      <c r="A352" s="824">
        <v>345</v>
      </c>
      <c r="B352" s="864"/>
      <c r="C352" s="849">
        <v>148</v>
      </c>
      <c r="D352" s="850" t="s">
        <v>457</v>
      </c>
      <c r="E352" s="1173">
        <v>20320</v>
      </c>
      <c r="F352" s="992">
        <v>20500</v>
      </c>
      <c r="G352" s="1217">
        <v>20500</v>
      </c>
      <c r="H352" s="835" t="s">
        <v>24</v>
      </c>
      <c r="I352" s="908"/>
      <c r="J352" s="868"/>
      <c r="K352" s="868"/>
      <c r="L352" s="845"/>
      <c r="M352" s="868"/>
      <c r="N352" s="909"/>
      <c r="P352" s="847"/>
    </row>
    <row r="353" spans="1:16" s="870" customFormat="1" ht="18" customHeight="1" x14ac:dyDescent="0.3">
      <c r="A353" s="824">
        <v>346</v>
      </c>
      <c r="B353" s="864"/>
      <c r="C353" s="849"/>
      <c r="D353" s="292" t="s">
        <v>238</v>
      </c>
      <c r="E353" s="1173"/>
      <c r="F353" s="992"/>
      <c r="G353" s="1217"/>
      <c r="H353" s="835"/>
      <c r="I353" s="843">
        <f>SUM(J353:N353)</f>
        <v>20500</v>
      </c>
      <c r="J353" s="868"/>
      <c r="K353" s="868"/>
      <c r="L353" s="845">
        <f>10000+10500</f>
        <v>20500</v>
      </c>
      <c r="M353" s="868"/>
      <c r="N353" s="909"/>
      <c r="P353" s="847"/>
    </row>
    <row r="354" spans="1:16" s="870" customFormat="1" ht="23.45" customHeight="1" x14ac:dyDescent="0.3">
      <c r="A354" s="824">
        <v>347</v>
      </c>
      <c r="B354" s="864"/>
      <c r="C354" s="849">
        <v>149</v>
      </c>
      <c r="D354" s="850" t="s">
        <v>760</v>
      </c>
      <c r="E354" s="1173">
        <v>9167</v>
      </c>
      <c r="F354" s="992">
        <v>10833</v>
      </c>
      <c r="G354" s="1217">
        <v>10833</v>
      </c>
      <c r="H354" s="835" t="s">
        <v>24</v>
      </c>
      <c r="I354" s="908"/>
      <c r="J354" s="868"/>
      <c r="K354" s="868"/>
      <c r="L354" s="845"/>
      <c r="M354" s="868"/>
      <c r="N354" s="909"/>
      <c r="P354" s="847"/>
    </row>
    <row r="355" spans="1:16" s="870" customFormat="1" ht="18" customHeight="1" x14ac:dyDescent="0.3">
      <c r="A355" s="824">
        <v>348</v>
      </c>
      <c r="B355" s="864"/>
      <c r="C355" s="849"/>
      <c r="D355" s="292" t="s">
        <v>238</v>
      </c>
      <c r="E355" s="1173"/>
      <c r="F355" s="992"/>
      <c r="G355" s="1217"/>
      <c r="H355" s="835"/>
      <c r="I355" s="843">
        <f>SUM(J355:N355)</f>
        <v>10833</v>
      </c>
      <c r="J355" s="868"/>
      <c r="K355" s="868"/>
      <c r="L355" s="845">
        <f>10000+833</f>
        <v>10833</v>
      </c>
      <c r="M355" s="868"/>
      <c r="N355" s="909"/>
      <c r="P355" s="847"/>
    </row>
    <row r="356" spans="1:16" s="870" customFormat="1" ht="23.45" customHeight="1" x14ac:dyDescent="0.3">
      <c r="A356" s="824">
        <v>349</v>
      </c>
      <c r="B356" s="864"/>
      <c r="C356" s="849">
        <v>150</v>
      </c>
      <c r="D356" s="850" t="s">
        <v>458</v>
      </c>
      <c r="E356" s="1173">
        <v>3000</v>
      </c>
      <c r="F356" s="992">
        <v>3000</v>
      </c>
      <c r="G356" s="1217">
        <v>3000</v>
      </c>
      <c r="H356" s="835" t="s">
        <v>24</v>
      </c>
      <c r="I356" s="908"/>
      <c r="J356" s="868"/>
      <c r="K356" s="868"/>
      <c r="L356" s="845"/>
      <c r="M356" s="868"/>
      <c r="N356" s="909"/>
      <c r="P356" s="847"/>
    </row>
    <row r="357" spans="1:16" s="870" customFormat="1" ht="18" customHeight="1" x14ac:dyDescent="0.3">
      <c r="A357" s="824">
        <v>350</v>
      </c>
      <c r="B357" s="864"/>
      <c r="C357" s="849"/>
      <c r="D357" s="292" t="s">
        <v>238</v>
      </c>
      <c r="E357" s="1173"/>
      <c r="F357" s="992"/>
      <c r="G357" s="1217"/>
      <c r="H357" s="835"/>
      <c r="I357" s="843">
        <f>SUM(J357:N357)</f>
        <v>3000</v>
      </c>
      <c r="J357" s="868"/>
      <c r="K357" s="868"/>
      <c r="L357" s="845"/>
      <c r="M357" s="868"/>
      <c r="N357" s="925">
        <v>3000</v>
      </c>
      <c r="P357" s="847"/>
    </row>
    <row r="358" spans="1:16" s="870" customFormat="1" ht="23.45" customHeight="1" x14ac:dyDescent="0.3">
      <c r="A358" s="824">
        <v>351</v>
      </c>
      <c r="B358" s="864"/>
      <c r="C358" s="849">
        <v>152</v>
      </c>
      <c r="D358" s="850" t="s">
        <v>460</v>
      </c>
      <c r="E358" s="1173">
        <v>11695</v>
      </c>
      <c r="F358" s="992">
        <v>13000</v>
      </c>
      <c r="G358" s="1217">
        <v>13000</v>
      </c>
      <c r="H358" s="835" t="s">
        <v>24</v>
      </c>
      <c r="I358" s="922"/>
      <c r="J358" s="868"/>
      <c r="K358" s="868"/>
      <c r="L358" s="845"/>
      <c r="M358" s="868"/>
      <c r="N358" s="909"/>
      <c r="P358" s="847"/>
    </row>
    <row r="359" spans="1:16" s="870" customFormat="1" ht="18" customHeight="1" x14ac:dyDescent="0.3">
      <c r="A359" s="824">
        <v>352</v>
      </c>
      <c r="B359" s="864"/>
      <c r="C359" s="849"/>
      <c r="D359" s="292" t="s">
        <v>238</v>
      </c>
      <c r="E359" s="1173"/>
      <c r="F359" s="992"/>
      <c r="G359" s="1217"/>
      <c r="H359" s="910"/>
      <c r="I359" s="843">
        <f>SUM(J359:N359)</f>
        <v>13000</v>
      </c>
      <c r="J359" s="868"/>
      <c r="K359" s="868"/>
      <c r="L359" s="845"/>
      <c r="M359" s="868"/>
      <c r="N359" s="925">
        <v>13000</v>
      </c>
      <c r="P359" s="847"/>
    </row>
    <row r="360" spans="1:16" s="870" customFormat="1" ht="23.45" customHeight="1" x14ac:dyDescent="0.3">
      <c r="A360" s="824">
        <v>353</v>
      </c>
      <c r="B360" s="864"/>
      <c r="C360" s="849">
        <v>153</v>
      </c>
      <c r="D360" s="850" t="s">
        <v>461</v>
      </c>
      <c r="E360" s="1173">
        <v>5215</v>
      </c>
      <c r="F360" s="992"/>
      <c r="G360" s="1217"/>
      <c r="H360" s="835" t="s">
        <v>24</v>
      </c>
      <c r="I360" s="922"/>
      <c r="J360" s="868"/>
      <c r="K360" s="868"/>
      <c r="L360" s="845"/>
      <c r="M360" s="868"/>
      <c r="N360" s="909"/>
      <c r="P360" s="847"/>
    </row>
    <row r="361" spans="1:16" s="870" customFormat="1" ht="23.45" customHeight="1" x14ac:dyDescent="0.3">
      <c r="A361" s="824">
        <v>354</v>
      </c>
      <c r="B361" s="864"/>
      <c r="C361" s="849">
        <v>154</v>
      </c>
      <c r="D361" s="850" t="s">
        <v>462</v>
      </c>
      <c r="E361" s="1173"/>
      <c r="F361" s="992"/>
      <c r="G361" s="1217"/>
      <c r="H361" s="835" t="s">
        <v>24</v>
      </c>
      <c r="I361" s="922"/>
      <c r="J361" s="868"/>
      <c r="K361" s="868"/>
      <c r="L361" s="845"/>
      <c r="M361" s="868"/>
      <c r="N361" s="909"/>
      <c r="P361" s="847"/>
    </row>
    <row r="362" spans="1:16" s="870" customFormat="1" ht="23.45" customHeight="1" x14ac:dyDescent="0.3">
      <c r="A362" s="824">
        <v>355</v>
      </c>
      <c r="B362" s="864"/>
      <c r="C362" s="849">
        <v>155</v>
      </c>
      <c r="D362" s="850" t="s">
        <v>463</v>
      </c>
      <c r="E362" s="1173">
        <v>466</v>
      </c>
      <c r="F362" s="992"/>
      <c r="G362" s="1217"/>
      <c r="H362" s="933" t="s">
        <v>24</v>
      </c>
      <c r="I362" s="922"/>
      <c r="J362" s="868"/>
      <c r="K362" s="868"/>
      <c r="L362" s="845"/>
      <c r="M362" s="868"/>
      <c r="N362" s="909"/>
      <c r="P362" s="847"/>
    </row>
    <row r="363" spans="1:16" s="870" customFormat="1" ht="33" customHeight="1" x14ac:dyDescent="0.3">
      <c r="A363" s="824">
        <v>356</v>
      </c>
      <c r="B363" s="864"/>
      <c r="C363" s="865">
        <v>156</v>
      </c>
      <c r="D363" s="934" t="s">
        <v>464</v>
      </c>
      <c r="E363" s="1173"/>
      <c r="F363" s="992">
        <v>91666</v>
      </c>
      <c r="G363" s="1217">
        <v>91666</v>
      </c>
      <c r="H363" s="935" t="s">
        <v>24</v>
      </c>
      <c r="I363" s="922"/>
      <c r="J363" s="868"/>
      <c r="K363" s="868"/>
      <c r="L363" s="845"/>
      <c r="M363" s="868"/>
      <c r="N363" s="909"/>
      <c r="P363" s="847"/>
    </row>
    <row r="364" spans="1:16" s="870" customFormat="1" ht="18" customHeight="1" x14ac:dyDescent="0.3">
      <c r="A364" s="824">
        <v>357</v>
      </c>
      <c r="B364" s="864"/>
      <c r="C364" s="865"/>
      <c r="D364" s="669" t="s">
        <v>238</v>
      </c>
      <c r="E364" s="1173"/>
      <c r="F364" s="992"/>
      <c r="G364" s="1217"/>
      <c r="H364" s="910"/>
      <c r="I364" s="922">
        <f>SUM(J364:N364)</f>
        <v>93644</v>
      </c>
      <c r="J364" s="868"/>
      <c r="K364" s="868"/>
      <c r="L364" s="845">
        <f>76302+17342</f>
        <v>93644</v>
      </c>
      <c r="M364" s="868"/>
      <c r="N364" s="909"/>
      <c r="P364" s="847"/>
    </row>
    <row r="365" spans="1:16" s="870" customFormat="1" ht="23.45" customHeight="1" x14ac:dyDescent="0.3">
      <c r="A365" s="824">
        <v>358</v>
      </c>
      <c r="B365" s="864"/>
      <c r="C365" s="849">
        <v>157</v>
      </c>
      <c r="D365" s="934" t="s">
        <v>486</v>
      </c>
      <c r="E365" s="1173">
        <v>900</v>
      </c>
      <c r="F365" s="992">
        <v>1500</v>
      </c>
      <c r="G365" s="1217">
        <v>1500</v>
      </c>
      <c r="H365" s="835" t="s">
        <v>24</v>
      </c>
      <c r="I365" s="843"/>
      <c r="J365" s="868"/>
      <c r="K365" s="868"/>
      <c r="L365" s="845"/>
      <c r="M365" s="868"/>
      <c r="N365" s="909"/>
      <c r="P365" s="847"/>
    </row>
    <row r="366" spans="1:16" s="870" customFormat="1" ht="18" customHeight="1" x14ac:dyDescent="0.3">
      <c r="A366" s="824">
        <v>359</v>
      </c>
      <c r="B366" s="864"/>
      <c r="C366" s="849"/>
      <c r="D366" s="669" t="s">
        <v>238</v>
      </c>
      <c r="E366" s="1173"/>
      <c r="F366" s="992"/>
      <c r="G366" s="1217"/>
      <c r="H366" s="910"/>
      <c r="I366" s="922">
        <f>SUM(J366:N366)</f>
        <v>1500</v>
      </c>
      <c r="J366" s="868"/>
      <c r="K366" s="868"/>
      <c r="L366" s="845"/>
      <c r="M366" s="868"/>
      <c r="N366" s="925">
        <v>1500</v>
      </c>
      <c r="P366" s="847"/>
    </row>
    <row r="367" spans="1:16" s="870" customFormat="1" ht="23.45" customHeight="1" x14ac:dyDescent="0.3">
      <c r="A367" s="824">
        <v>360</v>
      </c>
      <c r="B367" s="864"/>
      <c r="C367" s="849">
        <v>158</v>
      </c>
      <c r="D367" s="934" t="s">
        <v>466</v>
      </c>
      <c r="E367" s="1173">
        <v>20000</v>
      </c>
      <c r="F367" s="992">
        <v>10000</v>
      </c>
      <c r="G367" s="1217">
        <v>10000</v>
      </c>
      <c r="H367" s="933" t="s">
        <v>24</v>
      </c>
      <c r="I367" s="922"/>
      <c r="J367" s="868"/>
      <c r="K367" s="868"/>
      <c r="L367" s="845"/>
      <c r="M367" s="868"/>
      <c r="N367" s="925"/>
      <c r="P367" s="847"/>
    </row>
    <row r="368" spans="1:16" s="870" customFormat="1" ht="18" customHeight="1" x14ac:dyDescent="0.3">
      <c r="A368" s="824">
        <v>361</v>
      </c>
      <c r="B368" s="864"/>
      <c r="C368" s="849"/>
      <c r="D368" s="669" t="s">
        <v>238</v>
      </c>
      <c r="E368" s="1173"/>
      <c r="F368" s="992"/>
      <c r="G368" s="1217"/>
      <c r="H368" s="933"/>
      <c r="I368" s="922">
        <f>SUM(J368:N368)</f>
        <v>10000</v>
      </c>
      <c r="J368" s="868"/>
      <c r="K368" s="868"/>
      <c r="L368" s="845"/>
      <c r="M368" s="868"/>
      <c r="N368" s="925">
        <v>10000</v>
      </c>
      <c r="P368" s="847"/>
    </row>
    <row r="369" spans="1:16" s="870" customFormat="1" ht="23.45" customHeight="1" x14ac:dyDescent="0.3">
      <c r="A369" s="824">
        <v>362</v>
      </c>
      <c r="B369" s="864"/>
      <c r="C369" s="849">
        <v>159</v>
      </c>
      <c r="D369" s="934" t="s">
        <v>465</v>
      </c>
      <c r="E369" s="1173">
        <v>1000</v>
      </c>
      <c r="F369" s="992"/>
      <c r="G369" s="1217"/>
      <c r="H369" s="933" t="s">
        <v>24</v>
      </c>
      <c r="I369" s="922"/>
      <c r="J369" s="868"/>
      <c r="K369" s="868"/>
      <c r="L369" s="845"/>
      <c r="M369" s="868"/>
      <c r="N369" s="925"/>
      <c r="P369" s="847"/>
    </row>
    <row r="370" spans="1:16" s="870" customFormat="1" ht="23.45" customHeight="1" x14ac:dyDescent="0.3">
      <c r="A370" s="824">
        <v>363</v>
      </c>
      <c r="B370" s="864"/>
      <c r="C370" s="849">
        <v>161</v>
      </c>
      <c r="D370" s="850" t="s">
        <v>497</v>
      </c>
      <c r="E370" s="1173">
        <v>5000</v>
      </c>
      <c r="F370" s="992">
        <v>5000</v>
      </c>
      <c r="G370" s="1217">
        <v>5000</v>
      </c>
      <c r="H370" s="910" t="s">
        <v>24</v>
      </c>
      <c r="I370" s="922"/>
      <c r="J370" s="923"/>
      <c r="K370" s="923"/>
      <c r="L370" s="924"/>
      <c r="M370" s="923"/>
      <c r="N370" s="925"/>
      <c r="P370" s="847"/>
    </row>
    <row r="371" spans="1:16" s="870" customFormat="1" ht="18" customHeight="1" x14ac:dyDescent="0.3">
      <c r="A371" s="824">
        <v>364</v>
      </c>
      <c r="B371" s="864"/>
      <c r="C371" s="849"/>
      <c r="D371" s="669" t="s">
        <v>238</v>
      </c>
      <c r="E371" s="1173"/>
      <c r="F371" s="992"/>
      <c r="G371" s="1217"/>
      <c r="H371" s="910"/>
      <c r="I371" s="922">
        <f>SUM(J371:N371)</f>
        <v>8000</v>
      </c>
      <c r="J371" s="923"/>
      <c r="K371" s="923"/>
      <c r="L371" s="924"/>
      <c r="M371" s="923"/>
      <c r="N371" s="925">
        <v>8000</v>
      </c>
      <c r="P371" s="847"/>
    </row>
    <row r="372" spans="1:16" s="870" customFormat="1" ht="23.45" customHeight="1" x14ac:dyDescent="0.3">
      <c r="A372" s="824">
        <v>365</v>
      </c>
      <c r="B372" s="864"/>
      <c r="C372" s="849">
        <v>163</v>
      </c>
      <c r="D372" s="850" t="s">
        <v>559</v>
      </c>
      <c r="E372" s="1173">
        <v>1021</v>
      </c>
      <c r="F372" s="992"/>
      <c r="G372" s="1217"/>
      <c r="H372" s="910" t="s">
        <v>24</v>
      </c>
      <c r="I372" s="922"/>
      <c r="J372" s="923"/>
      <c r="K372" s="923"/>
      <c r="L372" s="924"/>
      <c r="M372" s="923"/>
      <c r="N372" s="925"/>
      <c r="P372" s="847"/>
    </row>
    <row r="373" spans="1:16" s="870" customFormat="1" ht="23.45" customHeight="1" x14ac:dyDescent="0.3">
      <c r="A373" s="824">
        <v>366</v>
      </c>
      <c r="B373" s="864"/>
      <c r="C373" s="849">
        <v>164</v>
      </c>
      <c r="D373" s="850" t="s">
        <v>539</v>
      </c>
      <c r="E373" s="1173">
        <v>18999</v>
      </c>
      <c r="F373" s="992"/>
      <c r="G373" s="1217"/>
      <c r="H373" s="910" t="s">
        <v>24</v>
      </c>
      <c r="I373" s="922"/>
      <c r="J373" s="923"/>
      <c r="K373" s="923"/>
      <c r="L373" s="924"/>
      <c r="M373" s="923"/>
      <c r="N373" s="925"/>
      <c r="P373" s="847"/>
    </row>
    <row r="374" spans="1:16" s="870" customFormat="1" ht="23.45" customHeight="1" x14ac:dyDescent="0.3">
      <c r="A374" s="824">
        <v>367</v>
      </c>
      <c r="B374" s="864"/>
      <c r="C374" s="849">
        <v>165</v>
      </c>
      <c r="D374" s="850" t="s">
        <v>540</v>
      </c>
      <c r="E374" s="1173">
        <v>2500</v>
      </c>
      <c r="F374" s="992"/>
      <c r="G374" s="1217"/>
      <c r="H374" s="910" t="s">
        <v>24</v>
      </c>
      <c r="I374" s="922"/>
      <c r="J374" s="923"/>
      <c r="K374" s="923"/>
      <c r="L374" s="924"/>
      <c r="M374" s="923"/>
      <c r="N374" s="925"/>
      <c r="P374" s="847"/>
    </row>
    <row r="375" spans="1:16" s="870" customFormat="1" ht="23.45" customHeight="1" x14ac:dyDescent="0.3">
      <c r="A375" s="824">
        <v>368</v>
      </c>
      <c r="B375" s="864"/>
      <c r="C375" s="849">
        <v>166</v>
      </c>
      <c r="D375" s="936" t="s">
        <v>525</v>
      </c>
      <c r="E375" s="991"/>
      <c r="F375" s="992">
        <v>2000</v>
      </c>
      <c r="G375" s="1217">
        <v>2000</v>
      </c>
      <c r="H375" s="910" t="s">
        <v>24</v>
      </c>
      <c r="I375" s="922"/>
      <c r="J375" s="923"/>
      <c r="K375" s="923"/>
      <c r="L375" s="924"/>
      <c r="M375" s="923"/>
      <c r="N375" s="925"/>
      <c r="P375" s="847"/>
    </row>
    <row r="376" spans="1:16" s="870" customFormat="1" ht="23.45" customHeight="1" x14ac:dyDescent="0.3">
      <c r="A376" s="824">
        <v>369</v>
      </c>
      <c r="B376" s="864"/>
      <c r="C376" s="849">
        <v>167</v>
      </c>
      <c r="D376" s="936" t="s">
        <v>541</v>
      </c>
      <c r="E376" s="991">
        <v>4000</v>
      </c>
      <c r="F376" s="992"/>
      <c r="G376" s="1217"/>
      <c r="H376" s="910" t="s">
        <v>24</v>
      </c>
      <c r="I376" s="922"/>
      <c r="J376" s="923"/>
      <c r="K376" s="923"/>
      <c r="L376" s="924"/>
      <c r="M376" s="923"/>
      <c r="N376" s="925"/>
      <c r="P376" s="847"/>
    </row>
    <row r="377" spans="1:16" s="870" customFormat="1" ht="23.45" customHeight="1" x14ac:dyDescent="0.3">
      <c r="A377" s="824">
        <v>370</v>
      </c>
      <c r="B377" s="864"/>
      <c r="C377" s="849">
        <v>168</v>
      </c>
      <c r="D377" s="936" t="s">
        <v>527</v>
      </c>
      <c r="E377" s="991"/>
      <c r="F377" s="992">
        <v>6000</v>
      </c>
      <c r="G377" s="1217">
        <v>6000</v>
      </c>
      <c r="H377" s="910" t="s">
        <v>24</v>
      </c>
      <c r="I377" s="922"/>
      <c r="J377" s="923"/>
      <c r="K377" s="923"/>
      <c r="L377" s="924"/>
      <c r="M377" s="923"/>
      <c r="N377" s="925"/>
      <c r="P377" s="847"/>
    </row>
    <row r="378" spans="1:16" s="870" customFormat="1" ht="18" customHeight="1" x14ac:dyDescent="0.3">
      <c r="A378" s="824">
        <v>371</v>
      </c>
      <c r="B378" s="864"/>
      <c r="C378" s="849"/>
      <c r="D378" s="926" t="s">
        <v>238</v>
      </c>
      <c r="E378" s="991"/>
      <c r="F378" s="992"/>
      <c r="G378" s="1217"/>
      <c r="H378" s="910" t="s">
        <v>24</v>
      </c>
      <c r="I378" s="922">
        <f>SUM(J378:N378)</f>
        <v>6000</v>
      </c>
      <c r="J378" s="923"/>
      <c r="K378" s="923"/>
      <c r="L378" s="924">
        <v>6000</v>
      </c>
      <c r="M378" s="923"/>
      <c r="N378" s="925"/>
      <c r="P378" s="847"/>
    </row>
    <row r="379" spans="1:16" s="870" customFormat="1" ht="23.45" customHeight="1" x14ac:dyDescent="0.3">
      <c r="A379" s="824">
        <v>372</v>
      </c>
      <c r="B379" s="864"/>
      <c r="C379" s="849">
        <v>169</v>
      </c>
      <c r="D379" s="936" t="s">
        <v>560</v>
      </c>
      <c r="E379" s="991">
        <v>248</v>
      </c>
      <c r="F379" s="992"/>
      <c r="G379" s="1217"/>
      <c r="H379" s="910" t="s">
        <v>24</v>
      </c>
      <c r="I379" s="922"/>
      <c r="J379" s="923"/>
      <c r="K379" s="923"/>
      <c r="L379" s="924"/>
      <c r="M379" s="923"/>
      <c r="N379" s="925"/>
      <c r="P379" s="847"/>
    </row>
    <row r="380" spans="1:16" s="870" customFormat="1" ht="23.45" customHeight="1" x14ac:dyDescent="0.3">
      <c r="A380" s="824">
        <v>373</v>
      </c>
      <c r="B380" s="864"/>
      <c r="C380" s="849">
        <v>170</v>
      </c>
      <c r="D380" s="936" t="s">
        <v>542</v>
      </c>
      <c r="E380" s="991">
        <v>1000</v>
      </c>
      <c r="F380" s="992">
        <v>1500</v>
      </c>
      <c r="G380" s="1217">
        <v>1500</v>
      </c>
      <c r="H380" s="910" t="s">
        <v>24</v>
      </c>
      <c r="I380" s="922"/>
      <c r="J380" s="923"/>
      <c r="K380" s="923"/>
      <c r="L380" s="924"/>
      <c r="M380" s="923"/>
      <c r="N380" s="925"/>
      <c r="P380" s="847"/>
    </row>
    <row r="381" spans="1:16" s="870" customFormat="1" ht="23.45" customHeight="1" x14ac:dyDescent="0.3">
      <c r="A381" s="824">
        <v>374</v>
      </c>
      <c r="B381" s="864"/>
      <c r="C381" s="849">
        <v>171</v>
      </c>
      <c r="D381" s="936" t="s">
        <v>543</v>
      </c>
      <c r="E381" s="991">
        <v>1500</v>
      </c>
      <c r="F381" s="992"/>
      <c r="G381" s="1217">
        <v>1500</v>
      </c>
      <c r="H381" s="910" t="s">
        <v>24</v>
      </c>
      <c r="I381" s="922"/>
      <c r="J381" s="923"/>
      <c r="K381" s="923"/>
      <c r="L381" s="924"/>
      <c r="M381" s="923"/>
      <c r="N381" s="925"/>
      <c r="P381" s="847"/>
    </row>
    <row r="382" spans="1:16" s="870" customFormat="1" ht="18" customHeight="1" x14ac:dyDescent="0.3">
      <c r="A382" s="824">
        <v>375</v>
      </c>
      <c r="B382" s="864"/>
      <c r="C382" s="849"/>
      <c r="D382" s="669" t="s">
        <v>238</v>
      </c>
      <c r="E382" s="991"/>
      <c r="F382" s="992"/>
      <c r="G382" s="1217"/>
      <c r="H382" s="910" t="s">
        <v>24</v>
      </c>
      <c r="I382" s="922">
        <f>SUM(J382:N382)</f>
        <v>1500</v>
      </c>
      <c r="J382" s="923"/>
      <c r="K382" s="923"/>
      <c r="L382" s="924"/>
      <c r="M382" s="923"/>
      <c r="N382" s="925">
        <v>1500</v>
      </c>
      <c r="P382" s="847"/>
    </row>
    <row r="383" spans="1:16" s="870" customFormat="1" ht="23.45" customHeight="1" x14ac:dyDescent="0.3">
      <c r="A383" s="824">
        <v>376</v>
      </c>
      <c r="B383" s="864"/>
      <c r="C383" s="849">
        <v>172</v>
      </c>
      <c r="D383" s="921" t="s">
        <v>594</v>
      </c>
      <c r="E383" s="991">
        <v>4000</v>
      </c>
      <c r="F383" s="992"/>
      <c r="G383" s="1217">
        <v>950</v>
      </c>
      <c r="H383" s="910" t="s">
        <v>24</v>
      </c>
      <c r="I383" s="922"/>
      <c r="J383" s="923"/>
      <c r="K383" s="923"/>
      <c r="L383" s="924"/>
      <c r="M383" s="923"/>
      <c r="N383" s="925"/>
      <c r="P383" s="847"/>
    </row>
    <row r="384" spans="1:16" s="870" customFormat="1" ht="18" customHeight="1" x14ac:dyDescent="0.3">
      <c r="A384" s="824">
        <v>377</v>
      </c>
      <c r="B384" s="864"/>
      <c r="C384" s="849"/>
      <c r="D384" s="926" t="s">
        <v>238</v>
      </c>
      <c r="E384" s="991"/>
      <c r="F384" s="992"/>
      <c r="G384" s="1217"/>
      <c r="H384" s="910"/>
      <c r="I384" s="922">
        <f>SUM(J384:N384)</f>
        <v>12000</v>
      </c>
      <c r="J384" s="923"/>
      <c r="K384" s="923"/>
      <c r="L384" s="924"/>
      <c r="M384" s="924">
        <v>12000</v>
      </c>
      <c r="N384" s="925"/>
      <c r="P384" s="847"/>
    </row>
    <row r="385" spans="1:16" s="870" customFormat="1" ht="23.45" customHeight="1" x14ac:dyDescent="0.3">
      <c r="A385" s="824">
        <v>378</v>
      </c>
      <c r="B385" s="864"/>
      <c r="C385" s="849">
        <v>173</v>
      </c>
      <c r="D385" s="921" t="s">
        <v>544</v>
      </c>
      <c r="E385" s="991">
        <v>2401</v>
      </c>
      <c r="F385" s="992"/>
      <c r="G385" s="1217"/>
      <c r="H385" s="910" t="s">
        <v>24</v>
      </c>
      <c r="I385" s="922"/>
      <c r="J385" s="923"/>
      <c r="K385" s="923"/>
      <c r="L385" s="924"/>
      <c r="M385" s="923"/>
      <c r="N385" s="925"/>
      <c r="P385" s="847"/>
    </row>
    <row r="386" spans="1:16" s="870" customFormat="1" ht="23.45" customHeight="1" x14ac:dyDescent="0.3">
      <c r="A386" s="824">
        <v>379</v>
      </c>
      <c r="B386" s="864"/>
      <c r="C386" s="849">
        <v>174</v>
      </c>
      <c r="D386" s="921" t="s">
        <v>545</v>
      </c>
      <c r="E386" s="991">
        <v>1000</v>
      </c>
      <c r="F386" s="992"/>
      <c r="G386" s="1217">
        <v>800</v>
      </c>
      <c r="H386" s="910" t="s">
        <v>24</v>
      </c>
      <c r="I386" s="922"/>
      <c r="J386" s="923"/>
      <c r="K386" s="923"/>
      <c r="L386" s="924"/>
      <c r="M386" s="923"/>
      <c r="N386" s="925"/>
      <c r="P386" s="847"/>
    </row>
    <row r="387" spans="1:16" s="870" customFormat="1" ht="23.45" customHeight="1" x14ac:dyDescent="0.3">
      <c r="A387" s="824">
        <v>380</v>
      </c>
      <c r="B387" s="864"/>
      <c r="C387" s="849">
        <v>175</v>
      </c>
      <c r="D387" s="921" t="s">
        <v>546</v>
      </c>
      <c r="E387" s="991">
        <v>10000</v>
      </c>
      <c r="F387" s="992"/>
      <c r="G387" s="1217"/>
      <c r="H387" s="910" t="s">
        <v>24</v>
      </c>
      <c r="I387" s="922"/>
      <c r="J387" s="923"/>
      <c r="K387" s="923"/>
      <c r="L387" s="924"/>
      <c r="M387" s="923"/>
      <c r="N387" s="925"/>
      <c r="P387" s="847"/>
    </row>
    <row r="388" spans="1:16" s="870" customFormat="1" ht="23.45" customHeight="1" x14ac:dyDescent="0.3">
      <c r="A388" s="824">
        <v>381</v>
      </c>
      <c r="B388" s="864"/>
      <c r="C388" s="849">
        <v>176</v>
      </c>
      <c r="D388" s="921" t="s">
        <v>547</v>
      </c>
      <c r="E388" s="991">
        <v>5035</v>
      </c>
      <c r="F388" s="992"/>
      <c r="G388" s="1217"/>
      <c r="H388" s="910" t="s">
        <v>24</v>
      </c>
      <c r="I388" s="922"/>
      <c r="J388" s="923"/>
      <c r="K388" s="923"/>
      <c r="L388" s="924"/>
      <c r="M388" s="923"/>
      <c r="N388" s="925"/>
      <c r="P388" s="847"/>
    </row>
    <row r="389" spans="1:16" s="870" customFormat="1" ht="23.45" customHeight="1" x14ac:dyDescent="0.3">
      <c r="A389" s="824">
        <v>382</v>
      </c>
      <c r="B389" s="864"/>
      <c r="C389" s="849">
        <v>177</v>
      </c>
      <c r="D389" s="936" t="s">
        <v>528</v>
      </c>
      <c r="E389" s="991"/>
      <c r="F389" s="992">
        <v>2500</v>
      </c>
      <c r="G389" s="1217">
        <v>7500</v>
      </c>
      <c r="H389" s="910" t="s">
        <v>24</v>
      </c>
      <c r="I389" s="922"/>
      <c r="J389" s="923"/>
      <c r="K389" s="923"/>
      <c r="L389" s="924"/>
      <c r="M389" s="923"/>
      <c r="N389" s="925"/>
      <c r="P389" s="847"/>
    </row>
    <row r="390" spans="1:16" s="870" customFormat="1" ht="18" customHeight="1" x14ac:dyDescent="0.3">
      <c r="A390" s="824">
        <v>383</v>
      </c>
      <c r="B390" s="864"/>
      <c r="C390" s="849"/>
      <c r="D390" s="926" t="s">
        <v>238</v>
      </c>
      <c r="E390" s="991"/>
      <c r="F390" s="992"/>
      <c r="G390" s="1217"/>
      <c r="H390" s="910"/>
      <c r="I390" s="922">
        <f>SUM(J390:N390)</f>
        <v>4500</v>
      </c>
      <c r="J390" s="923"/>
      <c r="K390" s="923"/>
      <c r="L390" s="924">
        <v>4500</v>
      </c>
      <c r="M390" s="923"/>
      <c r="N390" s="925"/>
      <c r="P390" s="847"/>
    </row>
    <row r="391" spans="1:16" s="870" customFormat="1" ht="23.45" customHeight="1" x14ac:dyDescent="0.3">
      <c r="A391" s="824">
        <v>384</v>
      </c>
      <c r="B391" s="864"/>
      <c r="C391" s="849">
        <v>178</v>
      </c>
      <c r="D391" s="936" t="s">
        <v>548</v>
      </c>
      <c r="E391" s="991">
        <v>200</v>
      </c>
      <c r="F391" s="992"/>
      <c r="G391" s="1217"/>
      <c r="H391" s="910" t="s">
        <v>24</v>
      </c>
      <c r="I391" s="922"/>
      <c r="J391" s="923"/>
      <c r="K391" s="923"/>
      <c r="L391" s="924"/>
      <c r="M391" s="923"/>
      <c r="N391" s="925"/>
      <c r="P391" s="847"/>
    </row>
    <row r="392" spans="1:16" s="870" customFormat="1" ht="23.45" customHeight="1" x14ac:dyDescent="0.3">
      <c r="A392" s="824">
        <v>385</v>
      </c>
      <c r="B392" s="864"/>
      <c r="C392" s="849">
        <v>179</v>
      </c>
      <c r="D392" s="936" t="s">
        <v>529</v>
      </c>
      <c r="E392" s="991"/>
      <c r="F392" s="992">
        <v>25945</v>
      </c>
      <c r="G392" s="1217">
        <v>25945</v>
      </c>
      <c r="H392" s="910" t="s">
        <v>24</v>
      </c>
      <c r="I392" s="922"/>
      <c r="J392" s="923"/>
      <c r="K392" s="923"/>
      <c r="L392" s="924"/>
      <c r="M392" s="923"/>
      <c r="N392" s="925"/>
      <c r="P392" s="847"/>
    </row>
    <row r="393" spans="1:16" s="870" customFormat="1" ht="23.45" customHeight="1" x14ac:dyDescent="0.3">
      <c r="A393" s="824">
        <v>386</v>
      </c>
      <c r="B393" s="864"/>
      <c r="C393" s="849">
        <v>180</v>
      </c>
      <c r="D393" s="936" t="s">
        <v>530</v>
      </c>
      <c r="E393" s="991"/>
      <c r="F393" s="992">
        <v>31000</v>
      </c>
      <c r="G393" s="1217">
        <v>31000</v>
      </c>
      <c r="H393" s="910" t="s">
        <v>24</v>
      </c>
      <c r="I393" s="922"/>
      <c r="J393" s="923"/>
      <c r="K393" s="923"/>
      <c r="L393" s="924"/>
      <c r="M393" s="923"/>
      <c r="N393" s="925"/>
      <c r="P393" s="847"/>
    </row>
    <row r="394" spans="1:16" s="870" customFormat="1" ht="23.45" customHeight="1" x14ac:dyDescent="0.3">
      <c r="A394" s="824">
        <v>387</v>
      </c>
      <c r="B394" s="864"/>
      <c r="C394" s="849">
        <v>181</v>
      </c>
      <c r="D394" s="921" t="s">
        <v>522</v>
      </c>
      <c r="E394" s="991"/>
      <c r="F394" s="992">
        <v>2500</v>
      </c>
      <c r="G394" s="1217">
        <v>2500</v>
      </c>
      <c r="H394" s="910" t="s">
        <v>24</v>
      </c>
      <c r="I394" s="922"/>
      <c r="J394" s="923"/>
      <c r="K394" s="923"/>
      <c r="L394" s="924"/>
      <c r="M394" s="923"/>
      <c r="N394" s="925"/>
      <c r="P394" s="847"/>
    </row>
    <row r="395" spans="1:16" s="870" customFormat="1" ht="18" customHeight="1" x14ac:dyDescent="0.3">
      <c r="A395" s="824">
        <v>388</v>
      </c>
      <c r="B395" s="864"/>
      <c r="C395" s="849"/>
      <c r="D395" s="926" t="s">
        <v>238</v>
      </c>
      <c r="E395" s="991"/>
      <c r="F395" s="992"/>
      <c r="G395" s="1217"/>
      <c r="H395" s="910"/>
      <c r="I395" s="922">
        <f>SUM(J395:N395)</f>
        <v>2500</v>
      </c>
      <c r="J395" s="923"/>
      <c r="K395" s="923"/>
      <c r="L395" s="924">
        <v>2500</v>
      </c>
      <c r="M395" s="923"/>
      <c r="N395" s="925"/>
      <c r="P395" s="847"/>
    </row>
    <row r="396" spans="1:16" s="870" customFormat="1" ht="23.45" customHeight="1" x14ac:dyDescent="0.3">
      <c r="A396" s="824">
        <v>389</v>
      </c>
      <c r="B396" s="864"/>
      <c r="C396" s="849">
        <v>182</v>
      </c>
      <c r="D396" s="921" t="s">
        <v>576</v>
      </c>
      <c r="E396" s="991"/>
      <c r="F396" s="992">
        <v>1500</v>
      </c>
      <c r="G396" s="1217">
        <v>1500</v>
      </c>
      <c r="H396" s="910" t="s">
        <v>24</v>
      </c>
      <c r="I396" s="922"/>
      <c r="J396" s="923"/>
      <c r="K396" s="923"/>
      <c r="L396" s="924"/>
      <c r="M396" s="923"/>
      <c r="N396" s="925"/>
      <c r="P396" s="847"/>
    </row>
    <row r="397" spans="1:16" s="870" customFormat="1" ht="18" customHeight="1" x14ac:dyDescent="0.3">
      <c r="A397" s="824">
        <v>390</v>
      </c>
      <c r="B397" s="864"/>
      <c r="C397" s="849"/>
      <c r="D397" s="926" t="s">
        <v>238</v>
      </c>
      <c r="E397" s="991"/>
      <c r="F397" s="992"/>
      <c r="G397" s="1217"/>
      <c r="H397" s="910"/>
      <c r="I397" s="922">
        <f>SUM(J397:N397)</f>
        <v>1500</v>
      </c>
      <c r="J397" s="923"/>
      <c r="K397" s="923"/>
      <c r="L397" s="924"/>
      <c r="M397" s="923"/>
      <c r="N397" s="925">
        <v>1500</v>
      </c>
      <c r="P397" s="847"/>
    </row>
    <row r="398" spans="1:16" s="870" customFormat="1" ht="23.45" customHeight="1" x14ac:dyDescent="0.3">
      <c r="A398" s="824">
        <v>391</v>
      </c>
      <c r="B398" s="864"/>
      <c r="C398" s="849">
        <v>183</v>
      </c>
      <c r="D398" s="921" t="s">
        <v>523</v>
      </c>
      <c r="E398" s="991"/>
      <c r="F398" s="992">
        <v>4000</v>
      </c>
      <c r="G398" s="1217">
        <v>4000</v>
      </c>
      <c r="H398" s="910" t="s">
        <v>24</v>
      </c>
      <c r="I398" s="922"/>
      <c r="J398" s="923"/>
      <c r="K398" s="923"/>
      <c r="L398" s="924"/>
      <c r="M398" s="923"/>
      <c r="N398" s="925"/>
      <c r="P398" s="847"/>
    </row>
    <row r="399" spans="1:16" s="870" customFormat="1" ht="18" customHeight="1" x14ac:dyDescent="0.3">
      <c r="A399" s="824">
        <v>392</v>
      </c>
      <c r="B399" s="864"/>
      <c r="C399" s="849"/>
      <c r="D399" s="926" t="s">
        <v>238</v>
      </c>
      <c r="E399" s="991"/>
      <c r="F399" s="992"/>
      <c r="G399" s="1217"/>
      <c r="H399" s="910"/>
      <c r="I399" s="922">
        <f>SUM(J399:N399)</f>
        <v>2000</v>
      </c>
      <c r="J399" s="923"/>
      <c r="K399" s="923"/>
      <c r="L399" s="924">
        <v>2000</v>
      </c>
      <c r="M399" s="923"/>
      <c r="N399" s="925"/>
      <c r="P399" s="847"/>
    </row>
    <row r="400" spans="1:16" s="870" customFormat="1" ht="23.45" customHeight="1" x14ac:dyDescent="0.3">
      <c r="A400" s="824">
        <v>393</v>
      </c>
      <c r="B400" s="864"/>
      <c r="C400" s="849">
        <v>184</v>
      </c>
      <c r="D400" s="921" t="s">
        <v>538</v>
      </c>
      <c r="E400" s="991"/>
      <c r="F400" s="992">
        <v>180</v>
      </c>
      <c r="G400" s="1217">
        <v>180</v>
      </c>
      <c r="H400" s="910" t="s">
        <v>24</v>
      </c>
      <c r="I400" s="922"/>
      <c r="J400" s="923"/>
      <c r="K400" s="923"/>
      <c r="L400" s="924"/>
      <c r="M400" s="923"/>
      <c r="N400" s="925"/>
      <c r="P400" s="847"/>
    </row>
    <row r="401" spans="1:16" s="870" customFormat="1" ht="18" customHeight="1" x14ac:dyDescent="0.3">
      <c r="A401" s="824">
        <v>394</v>
      </c>
      <c r="B401" s="864"/>
      <c r="C401" s="849"/>
      <c r="D401" s="926" t="s">
        <v>238</v>
      </c>
      <c r="E401" s="991"/>
      <c r="F401" s="992"/>
      <c r="G401" s="1217"/>
      <c r="H401" s="910"/>
      <c r="I401" s="922">
        <f>SUM(J401:N401)</f>
        <v>180</v>
      </c>
      <c r="J401" s="923"/>
      <c r="K401" s="923"/>
      <c r="L401" s="924">
        <v>180</v>
      </c>
      <c r="M401" s="923"/>
      <c r="N401" s="925"/>
      <c r="P401" s="847"/>
    </row>
    <row r="402" spans="1:16" s="870" customFormat="1" ht="23.45" customHeight="1" x14ac:dyDescent="0.3">
      <c r="A402" s="824">
        <v>395</v>
      </c>
      <c r="B402" s="864"/>
      <c r="C402" s="849">
        <v>185</v>
      </c>
      <c r="D402" s="921" t="s">
        <v>524</v>
      </c>
      <c r="E402" s="991"/>
      <c r="F402" s="992">
        <v>2000</v>
      </c>
      <c r="G402" s="1217">
        <v>2000</v>
      </c>
      <c r="H402" s="910" t="s">
        <v>24</v>
      </c>
      <c r="I402" s="922"/>
      <c r="J402" s="923"/>
      <c r="K402" s="923"/>
      <c r="L402" s="924"/>
      <c r="M402" s="923"/>
      <c r="N402" s="925"/>
      <c r="P402" s="847"/>
    </row>
    <row r="403" spans="1:16" s="870" customFormat="1" ht="18" customHeight="1" x14ac:dyDescent="0.3">
      <c r="A403" s="824">
        <v>396</v>
      </c>
      <c r="B403" s="864"/>
      <c r="C403" s="849"/>
      <c r="D403" s="926" t="s">
        <v>238</v>
      </c>
      <c r="E403" s="991"/>
      <c r="F403" s="992"/>
      <c r="G403" s="1217"/>
      <c r="H403" s="910"/>
      <c r="I403" s="922">
        <f>SUM(J403:N403)</f>
        <v>0</v>
      </c>
      <c r="J403" s="923"/>
      <c r="K403" s="923"/>
      <c r="L403" s="924"/>
      <c r="M403" s="923"/>
      <c r="N403" s="925"/>
      <c r="P403" s="847"/>
    </row>
    <row r="404" spans="1:16" s="870" customFormat="1" ht="23.45" customHeight="1" x14ac:dyDescent="0.3">
      <c r="A404" s="824">
        <v>397</v>
      </c>
      <c r="B404" s="864"/>
      <c r="C404" s="849">
        <v>186</v>
      </c>
      <c r="D404" s="921" t="s">
        <v>526</v>
      </c>
      <c r="E404" s="991"/>
      <c r="F404" s="992">
        <v>20000</v>
      </c>
      <c r="G404" s="1217">
        <v>20000</v>
      </c>
      <c r="H404" s="910" t="s">
        <v>24</v>
      </c>
      <c r="I404" s="922"/>
      <c r="J404" s="923"/>
      <c r="K404" s="923"/>
      <c r="L404" s="924"/>
      <c r="M404" s="923"/>
      <c r="N404" s="925"/>
      <c r="P404" s="847"/>
    </row>
    <row r="405" spans="1:16" s="870" customFormat="1" ht="18" customHeight="1" x14ac:dyDescent="0.3">
      <c r="A405" s="824">
        <v>398</v>
      </c>
      <c r="B405" s="864"/>
      <c r="C405" s="849"/>
      <c r="D405" s="926" t="s">
        <v>238</v>
      </c>
      <c r="E405" s="991"/>
      <c r="F405" s="992"/>
      <c r="G405" s="1217"/>
      <c r="H405" s="910"/>
      <c r="I405" s="922">
        <f>SUM(J405:N405)</f>
        <v>10055</v>
      </c>
      <c r="J405" s="923"/>
      <c r="K405" s="923"/>
      <c r="L405" s="924">
        <f>2055+8000</f>
        <v>10055</v>
      </c>
      <c r="M405" s="923"/>
      <c r="N405" s="925"/>
      <c r="P405" s="847"/>
    </row>
    <row r="406" spans="1:16" s="839" customFormat="1" ht="23.45" customHeight="1" x14ac:dyDescent="0.3">
      <c r="A406" s="824">
        <v>399</v>
      </c>
      <c r="B406" s="848"/>
      <c r="C406" s="849">
        <v>187</v>
      </c>
      <c r="D406" s="850" t="s">
        <v>519</v>
      </c>
      <c r="E406" s="992">
        <v>6273</v>
      </c>
      <c r="F406" s="992">
        <v>12067</v>
      </c>
      <c r="G406" s="991">
        <v>14905</v>
      </c>
      <c r="H406" s="842" t="s">
        <v>23</v>
      </c>
      <c r="I406" s="843"/>
      <c r="J406" s="844"/>
      <c r="K406" s="844"/>
      <c r="L406" s="844"/>
      <c r="M406" s="844"/>
      <c r="N406" s="854"/>
      <c r="P406" s="847"/>
    </row>
    <row r="407" spans="1:16" s="839" customFormat="1" ht="18" customHeight="1" x14ac:dyDescent="0.3">
      <c r="A407" s="824">
        <v>400</v>
      </c>
      <c r="B407" s="848"/>
      <c r="C407" s="849"/>
      <c r="D407" s="292" t="s">
        <v>238</v>
      </c>
      <c r="E407" s="992"/>
      <c r="F407" s="992"/>
      <c r="G407" s="991"/>
      <c r="H407" s="842"/>
      <c r="I407" s="843">
        <f>SUM(J407:N407)</f>
        <v>8889</v>
      </c>
      <c r="J407" s="844"/>
      <c r="K407" s="844"/>
      <c r="L407" s="845">
        <f>6000+2889</f>
        <v>8889</v>
      </c>
      <c r="M407" s="844"/>
      <c r="N407" s="854"/>
      <c r="P407" s="847"/>
    </row>
    <row r="408" spans="1:16" s="839" customFormat="1" ht="23.45" customHeight="1" x14ac:dyDescent="0.3">
      <c r="A408" s="824">
        <v>401</v>
      </c>
      <c r="B408" s="848"/>
      <c r="C408" s="849">
        <v>188</v>
      </c>
      <c r="D408" s="921" t="s">
        <v>595</v>
      </c>
      <c r="E408" s="992">
        <v>69509</v>
      </c>
      <c r="F408" s="992">
        <v>2000</v>
      </c>
      <c r="G408" s="1219">
        <v>13000</v>
      </c>
      <c r="H408" s="910" t="s">
        <v>24</v>
      </c>
      <c r="I408" s="922"/>
      <c r="J408" s="937"/>
      <c r="K408" s="937"/>
      <c r="L408" s="924"/>
      <c r="M408" s="937"/>
      <c r="N408" s="925"/>
      <c r="P408" s="847"/>
    </row>
    <row r="409" spans="1:16" s="839" customFormat="1" ht="18" customHeight="1" x14ac:dyDescent="0.3">
      <c r="A409" s="824">
        <v>402</v>
      </c>
      <c r="B409" s="848"/>
      <c r="C409" s="849"/>
      <c r="D409" s="926" t="s">
        <v>238</v>
      </c>
      <c r="E409" s="992"/>
      <c r="F409" s="992"/>
      <c r="G409" s="1219"/>
      <c r="H409" s="910"/>
      <c r="I409" s="922">
        <f>SUM(J409:N409)</f>
        <v>3106</v>
      </c>
      <c r="J409" s="937"/>
      <c r="K409" s="937"/>
      <c r="L409" s="924">
        <v>3106</v>
      </c>
      <c r="M409" s="937"/>
      <c r="N409" s="925"/>
      <c r="P409" s="847"/>
    </row>
    <row r="410" spans="1:16" s="839" customFormat="1" ht="23.45" customHeight="1" x14ac:dyDescent="0.3">
      <c r="A410" s="824">
        <v>403</v>
      </c>
      <c r="B410" s="848"/>
      <c r="C410" s="849">
        <v>189</v>
      </c>
      <c r="D410" s="921" t="s">
        <v>577</v>
      </c>
      <c r="E410" s="992"/>
      <c r="F410" s="992">
        <v>9000</v>
      </c>
      <c r="G410" s="1219">
        <v>9000</v>
      </c>
      <c r="H410" s="910" t="s">
        <v>24</v>
      </c>
      <c r="I410" s="922"/>
      <c r="J410" s="937"/>
      <c r="K410" s="937"/>
      <c r="L410" s="924"/>
      <c r="M410" s="937"/>
      <c r="N410" s="925"/>
      <c r="P410" s="847"/>
    </row>
    <row r="411" spans="1:16" s="870" customFormat="1" ht="23.45" customHeight="1" x14ac:dyDescent="0.3">
      <c r="A411" s="824">
        <v>404</v>
      </c>
      <c r="B411" s="939"/>
      <c r="C411" s="849">
        <v>190</v>
      </c>
      <c r="D411" s="850" t="s">
        <v>517</v>
      </c>
      <c r="E411" s="992"/>
      <c r="F411" s="992">
        <v>500000</v>
      </c>
      <c r="G411" s="1219">
        <v>1316744</v>
      </c>
      <c r="H411" s="938" t="s">
        <v>23</v>
      </c>
      <c r="I411" s="922"/>
      <c r="J411" s="868"/>
      <c r="K411" s="868"/>
      <c r="L411" s="845"/>
      <c r="M411" s="868"/>
      <c r="N411" s="854"/>
      <c r="P411" s="847"/>
    </row>
    <row r="412" spans="1:16" s="870" customFormat="1" ht="18" customHeight="1" x14ac:dyDescent="0.3">
      <c r="A412" s="824">
        <v>405</v>
      </c>
      <c r="B412" s="990"/>
      <c r="C412" s="983"/>
      <c r="D412" s="984" t="s">
        <v>238</v>
      </c>
      <c r="E412" s="1174"/>
      <c r="F412" s="1220"/>
      <c r="G412" s="1221"/>
      <c r="H412" s="985"/>
      <c r="I412" s="986">
        <f>SUM(J412:N412)</f>
        <v>200000</v>
      </c>
      <c r="J412" s="987"/>
      <c r="K412" s="987"/>
      <c r="L412" s="988"/>
      <c r="M412" s="987"/>
      <c r="N412" s="989">
        <v>200000</v>
      </c>
      <c r="P412" s="847"/>
    </row>
    <row r="413" spans="1:16" s="870" customFormat="1" ht="23.45" customHeight="1" x14ac:dyDescent="0.3">
      <c r="A413" s="824">
        <v>406</v>
      </c>
      <c r="B413" s="864"/>
      <c r="C413" s="849">
        <v>191</v>
      </c>
      <c r="D413" s="982" t="s">
        <v>596</v>
      </c>
      <c r="E413" s="992"/>
      <c r="F413" s="992"/>
      <c r="G413" s="1217">
        <v>2850</v>
      </c>
      <c r="H413" s="910" t="s">
        <v>24</v>
      </c>
      <c r="I413" s="922"/>
      <c r="J413" s="923"/>
      <c r="K413" s="923"/>
      <c r="L413" s="924"/>
      <c r="M413" s="923"/>
      <c r="N413" s="925"/>
      <c r="P413" s="847"/>
    </row>
    <row r="414" spans="1:16" s="870" customFormat="1" ht="18" customHeight="1" x14ac:dyDescent="0.3">
      <c r="A414" s="824">
        <v>407</v>
      </c>
      <c r="B414" s="864"/>
      <c r="C414" s="849"/>
      <c r="D414" s="984" t="s">
        <v>238</v>
      </c>
      <c r="E414" s="992"/>
      <c r="F414" s="992"/>
      <c r="G414" s="1217"/>
      <c r="H414" s="910"/>
      <c r="I414" s="986">
        <f>SUM(J414:N414)</f>
        <v>1500</v>
      </c>
      <c r="J414" s="923"/>
      <c r="K414" s="923"/>
      <c r="L414" s="924">
        <v>1500</v>
      </c>
      <c r="M414" s="923"/>
      <c r="N414" s="925"/>
      <c r="P414" s="847"/>
    </row>
    <row r="415" spans="1:16" s="870" customFormat="1" ht="23.45" customHeight="1" x14ac:dyDescent="0.3">
      <c r="A415" s="824">
        <v>408</v>
      </c>
      <c r="B415" s="864"/>
      <c r="C415" s="849">
        <v>192</v>
      </c>
      <c r="D415" s="982" t="s">
        <v>597</v>
      </c>
      <c r="E415" s="992"/>
      <c r="F415" s="992"/>
      <c r="G415" s="1217">
        <v>500</v>
      </c>
      <c r="H415" s="910" t="s">
        <v>23</v>
      </c>
      <c r="I415" s="922"/>
      <c r="J415" s="923"/>
      <c r="K415" s="923"/>
      <c r="L415" s="924"/>
      <c r="M415" s="923"/>
      <c r="N415" s="925"/>
      <c r="P415" s="847"/>
    </row>
    <row r="416" spans="1:16" s="870" customFormat="1" ht="18" customHeight="1" x14ac:dyDescent="0.3">
      <c r="A416" s="824">
        <v>409</v>
      </c>
      <c r="B416" s="864"/>
      <c r="C416" s="849"/>
      <c r="D416" s="984" t="s">
        <v>238</v>
      </c>
      <c r="E416" s="992"/>
      <c r="F416" s="992"/>
      <c r="G416" s="1217"/>
      <c r="H416" s="910"/>
      <c r="I416" s="986">
        <f>SUM(J416:N416)</f>
        <v>600</v>
      </c>
      <c r="J416" s="923"/>
      <c r="K416" s="923"/>
      <c r="L416" s="924"/>
      <c r="M416" s="923"/>
      <c r="N416" s="925">
        <v>600</v>
      </c>
      <c r="P416" s="847"/>
    </row>
    <row r="417" spans="1:16" s="870" customFormat="1" ht="23.45" customHeight="1" x14ac:dyDescent="0.3">
      <c r="A417" s="824">
        <v>410</v>
      </c>
      <c r="B417" s="864"/>
      <c r="C417" s="849">
        <v>193</v>
      </c>
      <c r="D417" s="982" t="s">
        <v>598</v>
      </c>
      <c r="E417" s="992"/>
      <c r="F417" s="992"/>
      <c r="G417" s="1217">
        <v>9000</v>
      </c>
      <c r="H417" s="910" t="s">
        <v>24</v>
      </c>
      <c r="I417" s="922"/>
      <c r="J417" s="923"/>
      <c r="K417" s="923"/>
      <c r="L417" s="924"/>
      <c r="M417" s="923"/>
      <c r="N417" s="925"/>
      <c r="P417" s="847"/>
    </row>
    <row r="418" spans="1:16" s="870" customFormat="1" ht="33.75" customHeight="1" x14ac:dyDescent="0.3">
      <c r="A418" s="824">
        <v>411</v>
      </c>
      <c r="B418" s="864"/>
      <c r="C418" s="865">
        <v>194</v>
      </c>
      <c r="D418" s="981" t="s">
        <v>599</v>
      </c>
      <c r="E418" s="992"/>
      <c r="F418" s="992"/>
      <c r="G418" s="1217">
        <v>500</v>
      </c>
      <c r="H418" s="910"/>
      <c r="I418" s="922"/>
      <c r="J418" s="923"/>
      <c r="K418" s="923"/>
      <c r="L418" s="924"/>
      <c r="M418" s="923"/>
      <c r="N418" s="925"/>
      <c r="P418" s="847"/>
    </row>
    <row r="419" spans="1:16" s="870" customFormat="1" ht="23.45" customHeight="1" x14ac:dyDescent="0.3">
      <c r="A419" s="824">
        <v>412</v>
      </c>
      <c r="B419" s="864"/>
      <c r="C419" s="849">
        <v>195</v>
      </c>
      <c r="D419" s="982" t="s">
        <v>600</v>
      </c>
      <c r="E419" s="992"/>
      <c r="F419" s="992"/>
      <c r="G419" s="1217">
        <v>3000</v>
      </c>
      <c r="H419" s="910" t="s">
        <v>24</v>
      </c>
      <c r="I419" s="922"/>
      <c r="J419" s="923"/>
      <c r="K419" s="923"/>
      <c r="L419" s="924"/>
      <c r="M419" s="923"/>
      <c r="N419" s="925"/>
      <c r="P419" s="847"/>
    </row>
    <row r="420" spans="1:16" s="870" customFormat="1" ht="23.45" customHeight="1" x14ac:dyDescent="0.3">
      <c r="A420" s="824">
        <v>413</v>
      </c>
      <c r="B420" s="864"/>
      <c r="C420" s="849">
        <v>196</v>
      </c>
      <c r="D420" s="982" t="s">
        <v>601</v>
      </c>
      <c r="E420" s="992"/>
      <c r="F420" s="992"/>
      <c r="G420" s="1217">
        <v>16000</v>
      </c>
      <c r="H420" s="910" t="s">
        <v>23</v>
      </c>
      <c r="I420" s="922"/>
      <c r="J420" s="923"/>
      <c r="K420" s="923"/>
      <c r="L420" s="924"/>
      <c r="M420" s="923"/>
      <c r="N420" s="925"/>
      <c r="P420" s="847"/>
    </row>
    <row r="421" spans="1:16" s="870" customFormat="1" ht="18" customHeight="1" x14ac:dyDescent="0.3">
      <c r="A421" s="824">
        <v>414</v>
      </c>
      <c r="B421" s="864"/>
      <c r="C421" s="849"/>
      <c r="D421" s="984" t="s">
        <v>238</v>
      </c>
      <c r="E421" s="992"/>
      <c r="F421" s="992"/>
      <c r="G421" s="1217"/>
      <c r="H421" s="910"/>
      <c r="I421" s="986">
        <f>SUM(J421:N421)</f>
        <v>27698</v>
      </c>
      <c r="J421" s="923"/>
      <c r="K421" s="923"/>
      <c r="L421" s="924">
        <f>15000+12698</f>
        <v>27698</v>
      </c>
      <c r="M421" s="923"/>
      <c r="N421" s="925"/>
      <c r="P421" s="847"/>
    </row>
    <row r="422" spans="1:16" s="870" customFormat="1" ht="23.45" customHeight="1" x14ac:dyDescent="0.3">
      <c r="A422" s="824">
        <v>415</v>
      </c>
      <c r="B422" s="864"/>
      <c r="C422" s="849">
        <v>197</v>
      </c>
      <c r="D422" s="982" t="s">
        <v>602</v>
      </c>
      <c r="E422" s="992"/>
      <c r="F422" s="992"/>
      <c r="G422" s="1217">
        <v>5650</v>
      </c>
      <c r="H422" s="910" t="s">
        <v>24</v>
      </c>
      <c r="I422" s="922"/>
      <c r="J422" s="923"/>
      <c r="K422" s="923"/>
      <c r="L422" s="924"/>
      <c r="M422" s="923"/>
      <c r="N422" s="925"/>
      <c r="P422" s="847"/>
    </row>
    <row r="423" spans="1:16" s="870" customFormat="1" ht="18" customHeight="1" thickBot="1" x14ac:dyDescent="0.35">
      <c r="A423" s="824">
        <v>416</v>
      </c>
      <c r="B423" s="1103"/>
      <c r="C423" s="1104"/>
      <c r="D423" s="1105" t="s">
        <v>238</v>
      </c>
      <c r="E423" s="1175"/>
      <c r="F423" s="1175"/>
      <c r="G423" s="1222"/>
      <c r="H423" s="1106"/>
      <c r="I423" s="1107">
        <f>SUM(J423:N423)</f>
        <v>5650</v>
      </c>
      <c r="J423" s="1108">
        <v>5000</v>
      </c>
      <c r="K423" s="1108">
        <v>650</v>
      </c>
      <c r="L423" s="1108"/>
      <c r="M423" s="1109"/>
      <c r="N423" s="1110"/>
      <c r="P423" s="847"/>
    </row>
    <row r="424" spans="1:16" s="870" customFormat="1" ht="27" customHeight="1" thickTop="1" x14ac:dyDescent="0.3">
      <c r="A424" s="824">
        <v>417</v>
      </c>
      <c r="B424" s="940"/>
      <c r="C424" s="941"/>
      <c r="D424" s="1395" t="s">
        <v>13</v>
      </c>
      <c r="E424" s="1396"/>
      <c r="F424" s="1396"/>
      <c r="G424" s="1397"/>
      <c r="H424" s="813"/>
      <c r="I424" s="1279"/>
      <c r="J424" s="942"/>
      <c r="K424" s="942"/>
      <c r="L424" s="943"/>
      <c r="M424" s="942"/>
      <c r="N424" s="944"/>
      <c r="P424" s="847"/>
    </row>
    <row r="425" spans="1:16" s="809" customFormat="1" ht="20.100000000000001" customHeight="1" thickBot="1" x14ac:dyDescent="0.4">
      <c r="A425" s="824">
        <v>418</v>
      </c>
      <c r="B425" s="945"/>
      <c r="C425" s="946"/>
      <c r="D425" s="788" t="s">
        <v>238</v>
      </c>
      <c r="E425" s="1176"/>
      <c r="F425" s="1223"/>
      <c r="G425" s="1224"/>
      <c r="H425" s="947">
        <f>SUM(H9:H412)-H307-H159-H139-H85-H22-H127-H58-H20</f>
        <v>0</v>
      </c>
      <c r="I425" s="947">
        <f t="shared" ref="I425:N425" si="8">SUM(I9:I423)-I307-I159-I139-I85-I22-I127-I58</f>
        <v>14720069</v>
      </c>
      <c r="J425" s="947">
        <f t="shared" si="8"/>
        <v>488544</v>
      </c>
      <c r="K425" s="947">
        <f t="shared" si="8"/>
        <v>108825</v>
      </c>
      <c r="L425" s="947">
        <f t="shared" si="8"/>
        <v>3648182</v>
      </c>
      <c r="M425" s="947">
        <f t="shared" si="8"/>
        <v>47385</v>
      </c>
      <c r="N425" s="1280">
        <f t="shared" si="8"/>
        <v>10427133</v>
      </c>
      <c r="O425" s="810"/>
      <c r="P425" s="847"/>
    </row>
    <row r="426" spans="1:16" s="809" customFormat="1" ht="22.15" customHeight="1" thickTop="1" x14ac:dyDescent="0.35">
      <c r="A426" s="824">
        <v>419</v>
      </c>
      <c r="B426" s="948"/>
      <c r="C426" s="949"/>
      <c r="D426" s="1392" t="s">
        <v>88</v>
      </c>
      <c r="E426" s="1393"/>
      <c r="F426" s="1393"/>
      <c r="G426" s="1394"/>
      <c r="H426" s="950"/>
      <c r="I426" s="951"/>
      <c r="J426" s="951"/>
      <c r="K426" s="951"/>
      <c r="L426" s="951"/>
      <c r="M426" s="951"/>
      <c r="N426" s="952"/>
      <c r="O426" s="810"/>
      <c r="P426" s="847"/>
    </row>
    <row r="427" spans="1:16" s="809" customFormat="1" ht="18" customHeight="1" x14ac:dyDescent="0.35">
      <c r="A427" s="824">
        <v>420</v>
      </c>
      <c r="B427" s="953"/>
      <c r="C427" s="954"/>
      <c r="D427" s="1415" t="s">
        <v>238</v>
      </c>
      <c r="E427" s="1416"/>
      <c r="F427" s="1416"/>
      <c r="G427" s="1417"/>
      <c r="H427" s="955"/>
      <c r="I427" s="956">
        <f>SUM(J427:N427)</f>
        <v>12565517</v>
      </c>
      <c r="J427" s="852">
        <f>J412+J407+J351+J336+J307+J305+J303+J301+J297+J295+J293+J291+J289+J287+J285+J283+J281+J279+J277+J274+J272+J270+J267+J265+J263+J261+J259+J254+J252+J250+J247+J245+J243+J239+J218+J214+J212+J210+J208+J204+J202+J192+J190+J188+J182+J180+J161+J157+J155+J121+J119+J117+J115+J10+J227+J416+J421</f>
        <v>459149</v>
      </c>
      <c r="K427" s="852">
        <f>K412+K407+K351+K336+K307+K305+K303+K301+K297+K295+K293+K291+K289+K287+K285+K283+K281+K279+K277+K274+K272+K270+K267+K265+K263+K261+K259+K254+K252+K250+K247+K245+K243+K239+K218+K214+K212+K210+K208+K204+K202+K192+K190+K188+K182+K180+K161+K157+K155+K121+K119+K117+K115+K10+K227+K416+K421</f>
        <v>102195</v>
      </c>
      <c r="L427" s="852">
        <f>L412+L407+L351+L336+L307+L305+L303+L301+L297+L295+L293+L291+L289+L287+L285+L283+L281+L279+L277+L274+L272+L270+L267+L265+L263+L261+L259+L254+L252+L250+L247+L245+L243+L239+L218+L214+L212+L210+L208+L204+L202+L192+L190+L188+L182+L180+L161+L157+L155+L121+L119+L117+L115+L10+L227+L416+L421</f>
        <v>2718988</v>
      </c>
      <c r="M427" s="852">
        <f>M412+M407+M351+M336+M307+M305+M303+M301+M297+M295+M293+M291+M289+M287+M285+M283+M281+M279+M277+M274+M272+M270+M267+M265+M263+M261+M259+M254+M252+M250+M247+M245+M243+M239+M218+M214+M212+M210+M208+M204+M202+M192+M190+M188+M182+M180+M161+M157+M155+M121+M119+M117+M115+M10+M227+M416+M421</f>
        <v>15175</v>
      </c>
      <c r="N427" s="853">
        <f>N412+N407+N351+N336+N307+N305+N303+N301+N297+N295+N293+N291+N289+N287+N285+N283+N281+N279+N277+N274+N272+N270+N267+N265+N263+N261+N259+N254+N252+N250+N247+N245+N243+N239+N218+N214+N212+N210+N208+N204+N202+N192+N190+N188+N182+N180+N161+N157+N155+N121+N119+N117+N115+N10+N227+N416+N421</f>
        <v>9270010</v>
      </c>
      <c r="O427" s="957"/>
      <c r="P427" s="847"/>
    </row>
    <row r="428" spans="1:16" s="809" customFormat="1" ht="22.15" customHeight="1" x14ac:dyDescent="0.35">
      <c r="A428" s="824">
        <v>421</v>
      </c>
      <c r="B428" s="953"/>
      <c r="C428" s="954"/>
      <c r="D428" s="1418" t="s">
        <v>89</v>
      </c>
      <c r="E428" s="1419"/>
      <c r="F428" s="1419"/>
      <c r="G428" s="1420"/>
      <c r="H428" s="955"/>
      <c r="I428" s="956"/>
      <c r="J428" s="852"/>
      <c r="K428" s="852"/>
      <c r="L428" s="852"/>
      <c r="M428" s="852"/>
      <c r="N428" s="853"/>
      <c r="O428" s="957"/>
      <c r="P428" s="847"/>
    </row>
    <row r="429" spans="1:16" s="809" customFormat="1" ht="18" customHeight="1" x14ac:dyDescent="0.35">
      <c r="A429" s="824">
        <v>422</v>
      </c>
      <c r="B429" s="1298"/>
      <c r="C429" s="1299"/>
      <c r="D429" s="1421" t="s">
        <v>238</v>
      </c>
      <c r="E429" s="1422"/>
      <c r="F429" s="1422"/>
      <c r="G429" s="1423"/>
      <c r="H429" s="1300"/>
      <c r="I429" s="1301">
        <f>SUM(J429:N429)</f>
        <v>2154552</v>
      </c>
      <c r="J429" s="1302">
        <f>J409+J405+J403+J401+J399+J397+J384+J390+J378+J371+J366+J364+J359+J355+J353+J349+J347+J344+J341+J338+J334+J332+J330+J328+J326+J323+J321+J319+J299+J256+J241+J237+J233+J231+J229+J224+J222+J220+J216+J206+J200+J197+J194+J186+J184+J177+J175+J173+J171+J169+J167+J165+J163+J153+J139+J127+J125+J123+J112+J110+J107+J105+J103+J101+J85+J82+J80+J78+J58+J56+J54+J52+J50+J22+J20+J18+J16+J14+J12+J395+J414+J423+J382+J368+J357+J235</f>
        <v>29395</v>
      </c>
      <c r="K429" s="1302">
        <f>K409+K405+K403+K401+K399+K397+K384+K390+K378+K371+K366+K364+K359+K355+K353+K349+K347+K344+K341+K338+K334+K332+K330+K328+K326+K323+K321+K319+K299+K256+K241+K237+K233+K231+K229+K224+K222+K220+K216+K206+K200+K197+K194+K186+K184+K177+K175+K173+K171+K169+K167+K165+K163+K153+K139+K127+K125+K123+K112+K110+K107+K105+K103+K101+K85+K82+K80+K78+K58+K56+K54+K52+K50+K22+K20+K18+K16+K14+K12+K395+K414+K423+K382+K368+K357+K235</f>
        <v>6630</v>
      </c>
      <c r="L429" s="1302">
        <f>L409+L405+L403+L401+L399+L397+L384+L390+L378+L371+L366+L364+L359+L355+L353+L349+L347+L344+L341+L338+L334+L332+L330+L328+L326+L323+L321+L319+L299+L256+L241+L237+L233+L231+L229+L224+L222+L220+L216+L206+L200+L197+L194+L186+L184+L177+L175+L173+L171+L169+L167+L165+L163+L153+L139+L127+L125+L123+L112+L110+L107+L105+L103+L101+L85+L82+L80+L78+L58+L56+L54+L52+L50+L22+L20+L18+L16+L14+L12+L395+L414+L423+L382+L368+L357+L235</f>
        <v>929194</v>
      </c>
      <c r="M429" s="1302">
        <f>M409+M405+M403+M401+M399+M397+M384+M390+M378+M371+M366+M364+M359+M355+M353+M349+M347+M344+M341+M338+M334+M332+M330+M328+M326+M323+M321+M319+M299+M256+M241+M237+M233+M231+M229+M224+M222+M220+M216+M206+M200+M197+M194+M186+M184+M177+M175+M173+M171+M169+M167+M165+M163+M153+M139+M127+M125+M123+M112+M110+M107+M105+M103+M101+M85+M82+M80+M78+M58+M56+M54+M52+M50+M22+M20+M18+M16+M14+M12+M395+M414+M423+M382+M368+M357+M235</f>
        <v>32210</v>
      </c>
      <c r="N429" s="1303">
        <f>N409+N405+N403+N401+N399+N397+N384+N390+N378+N371+N366+N364+N359+N355+N353+N349+N347+N344+N341+N338+N334+N332+N330+N328+N326+N323+N321+N319+N299+N256+N241+N237+N233+N231+N229+N224+N222+N220+N216+N206+N200+N197+N194+N186+N184+N177+N175+N173+N171+N169+N167+N165+N163+N153+N139+N127+N125+N123+N112+N110+N107+N105+N103+N101+N85+N82+N80+N78+N58+N56+N54+N52+N50+N22+N20+N18+N16+N14+N12+N395+N414+N423+N382+N368+N357+N235</f>
        <v>1157123</v>
      </c>
      <c r="O429" s="810"/>
      <c r="P429" s="847"/>
    </row>
    <row r="430" spans="1:16" ht="18" customHeight="1" x14ac:dyDescent="0.3">
      <c r="A430" s="958"/>
      <c r="B430" s="1398" t="s">
        <v>25</v>
      </c>
      <c r="C430" s="1398"/>
      <c r="D430" s="1398"/>
      <c r="E430" s="73"/>
      <c r="F430" s="73"/>
      <c r="G430" s="73"/>
      <c r="H430" s="21"/>
      <c r="I430" s="959"/>
      <c r="J430" s="73"/>
      <c r="K430" s="73"/>
      <c r="L430" s="73"/>
      <c r="M430" s="73"/>
      <c r="N430" s="73"/>
    </row>
    <row r="431" spans="1:16" ht="18" customHeight="1" x14ac:dyDescent="0.3">
      <c r="A431" s="958"/>
      <c r="B431" s="960" t="s">
        <v>26</v>
      </c>
      <c r="C431" s="960"/>
      <c r="D431" s="960"/>
      <c r="E431" s="73"/>
      <c r="F431" s="73"/>
      <c r="G431" s="73"/>
      <c r="H431" s="21"/>
      <c r="I431" s="959"/>
      <c r="J431" s="73"/>
      <c r="K431" s="73"/>
      <c r="L431" s="73"/>
      <c r="M431" s="73"/>
      <c r="N431" s="73"/>
    </row>
    <row r="432" spans="1:16" ht="18" customHeight="1" x14ac:dyDescent="0.3">
      <c r="A432" s="958"/>
      <c r="B432" s="1398" t="s">
        <v>27</v>
      </c>
      <c r="C432" s="1398"/>
      <c r="D432" s="1398"/>
      <c r="E432" s="73"/>
      <c r="F432" s="73"/>
      <c r="G432" s="73"/>
      <c r="H432" s="21"/>
      <c r="I432" s="959"/>
      <c r="J432" s="73"/>
      <c r="K432" s="73"/>
      <c r="L432" s="73"/>
      <c r="M432" s="73"/>
      <c r="N432" s="73"/>
    </row>
    <row r="433" spans="1:15" ht="18" customHeight="1" x14ac:dyDescent="0.3">
      <c r="I433" s="807"/>
    </row>
    <row r="434" spans="1:15" ht="18" customHeight="1" x14ac:dyDescent="0.35"/>
    <row r="435" spans="1:15" ht="18" customHeight="1" x14ac:dyDescent="0.35"/>
    <row r="436" spans="1:15" s="963" customFormat="1" ht="18" customHeight="1" x14ac:dyDescent="0.35">
      <c r="A436" s="824"/>
      <c r="B436" s="839"/>
      <c r="C436" s="961"/>
      <c r="D436" s="962"/>
      <c r="E436" s="807"/>
      <c r="F436" s="807"/>
      <c r="G436" s="807"/>
      <c r="H436" s="839"/>
      <c r="J436" s="807"/>
      <c r="K436" s="807"/>
      <c r="L436" s="807"/>
      <c r="M436" s="807"/>
      <c r="N436" s="807"/>
      <c r="O436" s="807"/>
    </row>
    <row r="437" spans="1:15" s="963" customFormat="1" ht="18" customHeight="1" x14ac:dyDescent="0.35">
      <c r="A437" s="824"/>
      <c r="B437" s="839"/>
      <c r="C437" s="961"/>
      <c r="D437" s="962"/>
      <c r="E437" s="807"/>
      <c r="F437" s="807"/>
      <c r="G437" s="807"/>
      <c r="H437" s="839"/>
      <c r="J437" s="807"/>
      <c r="K437" s="807"/>
      <c r="L437" s="807"/>
      <c r="M437" s="807"/>
      <c r="N437" s="807"/>
      <c r="O437" s="807"/>
    </row>
    <row r="438" spans="1:15" s="963" customFormat="1" ht="18" customHeight="1" x14ac:dyDescent="0.35">
      <c r="A438" s="824"/>
      <c r="B438" s="839"/>
      <c r="C438" s="961"/>
      <c r="D438" s="962"/>
      <c r="E438" s="807"/>
      <c r="F438" s="807"/>
      <c r="G438" s="807"/>
      <c r="H438" s="839"/>
      <c r="J438" s="807"/>
      <c r="K438" s="807"/>
      <c r="L438" s="807"/>
      <c r="M438" s="807"/>
      <c r="N438" s="807"/>
      <c r="O438" s="807"/>
    </row>
    <row r="439" spans="1:15" s="963" customFormat="1" ht="18" customHeight="1" x14ac:dyDescent="0.35">
      <c r="A439" s="824"/>
      <c r="B439" s="839"/>
      <c r="C439" s="961"/>
      <c r="D439" s="962"/>
      <c r="E439" s="807"/>
      <c r="F439" s="807"/>
      <c r="G439" s="807"/>
      <c r="H439" s="839"/>
      <c r="J439" s="807"/>
      <c r="K439" s="807"/>
      <c r="L439" s="807"/>
      <c r="M439" s="807"/>
      <c r="N439" s="807"/>
      <c r="O439" s="807"/>
    </row>
    <row r="440" spans="1:15" s="963" customFormat="1" ht="18" customHeight="1" x14ac:dyDescent="0.35">
      <c r="A440" s="824"/>
      <c r="B440" s="839"/>
      <c r="C440" s="961"/>
      <c r="D440" s="962"/>
      <c r="E440" s="807"/>
      <c r="F440" s="807"/>
      <c r="G440" s="807"/>
      <c r="H440" s="839"/>
      <c r="J440" s="807"/>
      <c r="K440" s="807"/>
      <c r="L440" s="807"/>
      <c r="M440" s="807"/>
      <c r="N440" s="807"/>
      <c r="O440" s="807"/>
    </row>
    <row r="441" spans="1:15" s="963" customFormat="1" ht="18" customHeight="1" x14ac:dyDescent="0.35">
      <c r="A441" s="824"/>
      <c r="B441" s="839"/>
      <c r="C441" s="961"/>
      <c r="D441" s="964"/>
      <c r="E441" s="807"/>
      <c r="F441" s="807"/>
      <c r="G441" s="807"/>
      <c r="H441" s="839"/>
      <c r="J441" s="807"/>
      <c r="K441" s="807"/>
      <c r="L441" s="807"/>
      <c r="M441" s="807"/>
      <c r="N441" s="807"/>
      <c r="O441" s="807"/>
    </row>
    <row r="442" spans="1:15" s="963" customFormat="1" ht="18" customHeight="1" x14ac:dyDescent="0.35">
      <c r="A442" s="824"/>
      <c r="B442" s="839"/>
      <c r="C442" s="961"/>
      <c r="D442" s="964"/>
      <c r="E442" s="807"/>
      <c r="F442" s="807"/>
      <c r="G442" s="807"/>
      <c r="H442" s="839"/>
      <c r="J442" s="807"/>
      <c r="K442" s="807"/>
      <c r="L442" s="807"/>
      <c r="M442" s="807"/>
      <c r="N442" s="807"/>
      <c r="O442" s="807"/>
    </row>
    <row r="443" spans="1:15" s="963" customFormat="1" ht="18" customHeight="1" x14ac:dyDescent="0.35">
      <c r="A443" s="824"/>
      <c r="B443" s="839"/>
      <c r="C443" s="961"/>
      <c r="D443" s="962"/>
      <c r="E443" s="807"/>
      <c r="F443" s="807"/>
      <c r="G443" s="807"/>
      <c r="H443" s="839"/>
      <c r="J443" s="807"/>
      <c r="K443" s="807"/>
      <c r="L443" s="807"/>
      <c r="M443" s="807"/>
      <c r="N443" s="807"/>
      <c r="O443" s="807"/>
    </row>
    <row r="444" spans="1:15" s="963" customFormat="1" ht="18" customHeight="1" x14ac:dyDescent="0.35">
      <c r="A444" s="824"/>
      <c r="B444" s="839"/>
      <c r="C444" s="961"/>
      <c r="D444" s="962"/>
      <c r="E444" s="807"/>
      <c r="F444" s="807"/>
      <c r="G444" s="807"/>
      <c r="H444" s="839"/>
      <c r="J444" s="807"/>
      <c r="K444" s="807"/>
      <c r="L444" s="807"/>
      <c r="M444" s="807"/>
      <c r="N444" s="807"/>
      <c r="O444" s="807"/>
    </row>
    <row r="445" spans="1:15" s="963" customFormat="1" ht="18" customHeight="1" x14ac:dyDescent="0.35">
      <c r="A445" s="824"/>
      <c r="B445" s="839"/>
      <c r="C445" s="961"/>
      <c r="D445" s="962"/>
      <c r="E445" s="807"/>
      <c r="F445" s="807"/>
      <c r="G445" s="807"/>
      <c r="H445" s="839"/>
      <c r="J445" s="807"/>
      <c r="K445" s="807"/>
      <c r="L445" s="807"/>
      <c r="M445" s="807"/>
      <c r="N445" s="807"/>
      <c r="O445" s="807"/>
    </row>
    <row r="446" spans="1:15" s="963" customFormat="1" ht="18" customHeight="1" x14ac:dyDescent="0.35">
      <c r="A446" s="824"/>
      <c r="B446" s="839"/>
      <c r="C446" s="961"/>
      <c r="D446" s="962"/>
      <c r="E446" s="807"/>
      <c r="F446" s="807"/>
      <c r="G446" s="807"/>
      <c r="H446" s="839"/>
      <c r="J446" s="807"/>
      <c r="K446" s="807"/>
      <c r="L446" s="807"/>
      <c r="M446" s="807"/>
      <c r="N446" s="807"/>
      <c r="O446" s="807"/>
    </row>
    <row r="447" spans="1:15" s="963" customFormat="1" ht="18" customHeight="1" x14ac:dyDescent="0.35">
      <c r="A447" s="824"/>
      <c r="B447" s="839"/>
      <c r="C447" s="961"/>
      <c r="D447" s="962"/>
      <c r="E447" s="807"/>
      <c r="F447" s="807"/>
      <c r="G447" s="807"/>
      <c r="H447" s="839"/>
      <c r="J447" s="807"/>
      <c r="K447" s="807"/>
      <c r="L447" s="807"/>
      <c r="M447" s="807"/>
      <c r="N447" s="807"/>
      <c r="O447" s="807"/>
    </row>
    <row r="448" spans="1:15" s="963" customFormat="1" ht="18" customHeight="1" x14ac:dyDescent="0.35">
      <c r="A448" s="824"/>
      <c r="B448" s="839"/>
      <c r="C448" s="961"/>
      <c r="D448" s="962"/>
      <c r="E448" s="807"/>
      <c r="F448" s="807"/>
      <c r="G448" s="807"/>
      <c r="H448" s="839"/>
      <c r="J448" s="807"/>
      <c r="K448" s="807"/>
      <c r="L448" s="807"/>
      <c r="M448" s="807"/>
      <c r="N448" s="807"/>
      <c r="O448" s="807"/>
    </row>
    <row r="449" spans="1:15" s="963" customFormat="1" ht="18" customHeight="1" x14ac:dyDescent="0.35">
      <c r="A449" s="824"/>
      <c r="B449" s="839"/>
      <c r="C449" s="961"/>
      <c r="D449" s="962"/>
      <c r="E449" s="807"/>
      <c r="F449" s="807"/>
      <c r="G449" s="807"/>
      <c r="H449" s="839"/>
      <c r="J449" s="807"/>
      <c r="K449" s="807"/>
      <c r="L449" s="807"/>
      <c r="M449" s="807"/>
      <c r="N449" s="807"/>
      <c r="O449" s="807"/>
    </row>
    <row r="450" spans="1:15" s="963" customFormat="1" ht="18" customHeight="1" x14ac:dyDescent="0.35">
      <c r="A450" s="824"/>
      <c r="B450" s="839"/>
      <c r="C450" s="961"/>
      <c r="D450" s="962"/>
      <c r="E450" s="807"/>
      <c r="F450" s="807"/>
      <c r="G450" s="807"/>
      <c r="H450" s="839"/>
      <c r="J450" s="807"/>
      <c r="K450" s="807"/>
      <c r="L450" s="807"/>
      <c r="M450" s="807"/>
      <c r="N450" s="807"/>
      <c r="O450" s="807"/>
    </row>
    <row r="451" spans="1:15" s="963" customFormat="1" ht="18" customHeight="1" x14ac:dyDescent="0.35">
      <c r="A451" s="824"/>
      <c r="B451" s="839"/>
      <c r="C451" s="961"/>
      <c r="D451" s="962"/>
      <c r="E451" s="807"/>
      <c r="F451" s="807"/>
      <c r="G451" s="807"/>
      <c r="H451" s="839"/>
      <c r="J451" s="807"/>
      <c r="K451" s="807"/>
      <c r="L451" s="807"/>
      <c r="M451" s="807"/>
      <c r="N451" s="807"/>
      <c r="O451" s="807"/>
    </row>
    <row r="452" spans="1:15" ht="18" customHeight="1" x14ac:dyDescent="0.35"/>
    <row r="453" spans="1:15" ht="18" customHeight="1" x14ac:dyDescent="0.35"/>
    <row r="454" spans="1:15" ht="18" customHeight="1" x14ac:dyDescent="0.35"/>
    <row r="455" spans="1:15" ht="18" customHeight="1" x14ac:dyDescent="0.35"/>
    <row r="456" spans="1:15" ht="18" customHeight="1" x14ac:dyDescent="0.35"/>
    <row r="457" spans="1:15" ht="18" customHeight="1" x14ac:dyDescent="0.35"/>
    <row r="458" spans="1:15" ht="18" customHeight="1" x14ac:dyDescent="0.35"/>
    <row r="459" spans="1:15" ht="18" customHeight="1" x14ac:dyDescent="0.35"/>
    <row r="460" spans="1:15" ht="18" customHeight="1" x14ac:dyDescent="0.35"/>
    <row r="461" spans="1:15" ht="18" customHeight="1" x14ac:dyDescent="0.35"/>
    <row r="462" spans="1:15" ht="18" customHeight="1" x14ac:dyDescent="0.35"/>
    <row r="463" spans="1:15" ht="18" customHeight="1" x14ac:dyDescent="0.35"/>
    <row r="464" spans="1:15" ht="18" customHeight="1" x14ac:dyDescent="0.35"/>
    <row r="465" spans="1:14" ht="18" customHeight="1" x14ac:dyDescent="0.35"/>
    <row r="466" spans="1:14" ht="18" customHeight="1" x14ac:dyDescent="0.35"/>
    <row r="467" spans="1:14" ht="18" customHeight="1" x14ac:dyDescent="0.35">
      <c r="D467" s="965"/>
      <c r="E467" s="839"/>
      <c r="F467" s="839"/>
      <c r="G467" s="839"/>
      <c r="I467" s="809"/>
      <c r="J467" s="839"/>
      <c r="K467" s="839"/>
      <c r="L467" s="839"/>
      <c r="M467" s="839"/>
      <c r="N467" s="839"/>
    </row>
    <row r="468" spans="1:14" ht="18" customHeight="1" x14ac:dyDescent="0.35">
      <c r="D468" s="965"/>
      <c r="E468" s="839"/>
      <c r="F468" s="839"/>
      <c r="G468" s="839"/>
      <c r="I468" s="809"/>
      <c r="J468" s="839"/>
      <c r="K468" s="839"/>
      <c r="L468" s="839"/>
      <c r="M468" s="839"/>
      <c r="N468" s="839"/>
    </row>
    <row r="469" spans="1:14" ht="18" customHeight="1" x14ac:dyDescent="0.35">
      <c r="D469" s="965"/>
      <c r="E469" s="839"/>
      <c r="F469" s="839"/>
      <c r="G469" s="839"/>
      <c r="I469" s="809"/>
      <c r="J469" s="839"/>
      <c r="K469" s="839"/>
      <c r="L469" s="839"/>
      <c r="M469" s="839"/>
      <c r="N469" s="839"/>
    </row>
    <row r="470" spans="1:14" ht="18" customHeight="1" x14ac:dyDescent="0.35">
      <c r="D470" s="965"/>
      <c r="E470" s="839"/>
      <c r="F470" s="839"/>
      <c r="G470" s="839"/>
      <c r="I470" s="809"/>
      <c r="J470" s="839"/>
      <c r="K470" s="839"/>
      <c r="L470" s="839"/>
      <c r="M470" s="839"/>
      <c r="N470" s="839"/>
    </row>
    <row r="471" spans="1:14" ht="18" customHeight="1" x14ac:dyDescent="0.35"/>
    <row r="472" spans="1:14" ht="18" customHeight="1" x14ac:dyDescent="0.35"/>
    <row r="473" spans="1:14" ht="18" customHeight="1" x14ac:dyDescent="0.35"/>
    <row r="474" spans="1:14" ht="18" customHeight="1" x14ac:dyDescent="0.35"/>
    <row r="475" spans="1:14" ht="18" customHeight="1" x14ac:dyDescent="0.35"/>
    <row r="476" spans="1:14" ht="18" customHeight="1" x14ac:dyDescent="0.35">
      <c r="D476" s="964"/>
    </row>
    <row r="477" spans="1:14" ht="18" customHeight="1" x14ac:dyDescent="0.35">
      <c r="D477" s="964"/>
    </row>
    <row r="478" spans="1:14" s="963" customFormat="1" ht="18" customHeight="1" x14ac:dyDescent="0.35">
      <c r="A478" s="824"/>
      <c r="B478" s="839"/>
      <c r="C478" s="961"/>
      <c r="D478" s="964"/>
      <c r="E478" s="807"/>
      <c r="F478" s="807"/>
      <c r="G478" s="807"/>
      <c r="H478" s="839"/>
      <c r="J478" s="807"/>
      <c r="K478" s="807"/>
      <c r="L478" s="807"/>
      <c r="M478" s="807"/>
      <c r="N478" s="807"/>
    </row>
    <row r="479" spans="1:14" s="963" customFormat="1" ht="18" customHeight="1" x14ac:dyDescent="0.35">
      <c r="A479" s="824"/>
      <c r="B479" s="839"/>
      <c r="C479" s="961"/>
      <c r="D479" s="964"/>
      <c r="E479" s="807"/>
      <c r="F479" s="807"/>
      <c r="G479" s="807"/>
      <c r="H479" s="839"/>
      <c r="J479" s="807"/>
      <c r="K479" s="807"/>
      <c r="L479" s="807"/>
      <c r="M479" s="807"/>
      <c r="N479" s="807"/>
    </row>
    <row r="480" spans="1:14" s="963" customFormat="1" ht="18" customHeight="1" x14ac:dyDescent="0.35">
      <c r="A480" s="824"/>
      <c r="B480" s="839"/>
      <c r="C480" s="961"/>
      <c r="D480" s="964"/>
      <c r="E480" s="807"/>
      <c r="F480" s="807"/>
      <c r="G480" s="807"/>
      <c r="H480" s="839"/>
      <c r="J480" s="807"/>
      <c r="K480" s="807"/>
      <c r="L480" s="807"/>
      <c r="M480" s="807"/>
      <c r="N480" s="807"/>
    </row>
    <row r="481" spans="1:14" s="963" customFormat="1" ht="18" customHeight="1" x14ac:dyDescent="0.35">
      <c r="A481" s="824"/>
      <c r="B481" s="839"/>
      <c r="C481" s="961"/>
      <c r="D481" s="964"/>
      <c r="E481" s="807"/>
      <c r="F481" s="807"/>
      <c r="G481" s="807"/>
      <c r="H481" s="839"/>
      <c r="J481" s="807"/>
      <c r="K481" s="807"/>
      <c r="L481" s="807"/>
      <c r="M481" s="807"/>
      <c r="N481" s="807"/>
    </row>
    <row r="482" spans="1:14" s="963" customFormat="1" ht="18" customHeight="1" x14ac:dyDescent="0.35">
      <c r="A482" s="824"/>
      <c r="B482" s="839"/>
      <c r="C482" s="961"/>
      <c r="D482" s="964"/>
      <c r="E482" s="807"/>
      <c r="F482" s="807"/>
      <c r="G482" s="807"/>
      <c r="H482" s="839"/>
      <c r="J482" s="807"/>
      <c r="K482" s="807"/>
      <c r="L482" s="807"/>
      <c r="M482" s="807"/>
      <c r="N482" s="807"/>
    </row>
    <row r="483" spans="1:14" s="963" customFormat="1" ht="18" customHeight="1" x14ac:dyDescent="0.35">
      <c r="A483" s="824"/>
      <c r="B483" s="839"/>
      <c r="C483" s="961"/>
      <c r="D483" s="964"/>
      <c r="E483" s="807"/>
      <c r="F483" s="807"/>
      <c r="G483" s="807"/>
      <c r="H483" s="839"/>
      <c r="J483" s="807"/>
      <c r="K483" s="807"/>
      <c r="L483" s="807"/>
      <c r="M483" s="807"/>
      <c r="N483" s="807"/>
    </row>
    <row r="484" spans="1:14" s="963" customFormat="1" ht="18" customHeight="1" x14ac:dyDescent="0.35">
      <c r="A484" s="824"/>
      <c r="B484" s="839"/>
      <c r="C484" s="961"/>
      <c r="D484" s="964"/>
      <c r="E484" s="807"/>
      <c r="F484" s="807"/>
      <c r="G484" s="807"/>
      <c r="H484" s="839"/>
      <c r="J484" s="807"/>
      <c r="K484" s="807"/>
      <c r="L484" s="807"/>
      <c r="M484" s="807"/>
      <c r="N484" s="807"/>
    </row>
    <row r="485" spans="1:14" ht="18" customHeight="1" x14ac:dyDescent="0.35"/>
    <row r="486" spans="1:14" ht="18" customHeight="1" x14ac:dyDescent="0.35"/>
    <row r="487" spans="1:14" ht="18" customHeight="1" x14ac:dyDescent="0.35"/>
    <row r="488" spans="1:14" ht="18" customHeight="1" x14ac:dyDescent="0.35"/>
    <row r="489" spans="1:14" ht="18" customHeight="1" x14ac:dyDescent="0.35"/>
    <row r="490" spans="1:14" ht="18" customHeight="1" x14ac:dyDescent="0.35"/>
    <row r="491" spans="1:14" ht="18" customHeight="1" x14ac:dyDescent="0.35"/>
    <row r="492" spans="1:14" ht="18" customHeight="1" x14ac:dyDescent="0.35"/>
    <row r="493" spans="1:14" ht="18" customHeight="1" x14ac:dyDescent="0.35"/>
    <row r="494" spans="1:14" ht="18" customHeight="1" x14ac:dyDescent="0.35"/>
    <row r="495" spans="1:14" ht="18" customHeight="1" x14ac:dyDescent="0.35"/>
    <row r="496" spans="1:14" ht="18" customHeight="1" x14ac:dyDescent="0.35"/>
    <row r="497" spans="1:15" ht="18" customHeight="1" x14ac:dyDescent="0.35"/>
    <row r="498" spans="1:15" s="963" customFormat="1" ht="18" customHeight="1" x14ac:dyDescent="0.35">
      <c r="A498" s="824"/>
      <c r="B498" s="839"/>
      <c r="C498" s="961"/>
      <c r="D498" s="964"/>
      <c r="E498" s="807"/>
      <c r="F498" s="807"/>
      <c r="G498" s="807"/>
      <c r="H498" s="839"/>
      <c r="J498" s="807"/>
      <c r="K498" s="807"/>
      <c r="L498" s="807"/>
      <c r="M498" s="807"/>
      <c r="N498" s="807"/>
    </row>
    <row r="499" spans="1:15" ht="18" customHeight="1" x14ac:dyDescent="0.35"/>
    <row r="500" spans="1:15" s="963" customFormat="1" ht="18" customHeight="1" x14ac:dyDescent="0.35">
      <c r="A500" s="824"/>
      <c r="B500" s="839"/>
      <c r="C500" s="961"/>
      <c r="D500" s="962"/>
      <c r="E500" s="807"/>
      <c r="F500" s="807"/>
      <c r="G500" s="807"/>
      <c r="H500" s="839"/>
      <c r="J500" s="807"/>
      <c r="K500" s="807"/>
      <c r="L500" s="807"/>
      <c r="M500" s="807"/>
      <c r="N500" s="807"/>
      <c r="O500" s="807"/>
    </row>
    <row r="501" spans="1:15" s="963" customFormat="1" ht="18" customHeight="1" x14ac:dyDescent="0.35">
      <c r="A501" s="824"/>
      <c r="B501" s="839"/>
      <c r="C501" s="961"/>
      <c r="D501" s="962"/>
      <c r="E501" s="807"/>
      <c r="F501" s="807"/>
      <c r="G501" s="807"/>
      <c r="H501" s="839"/>
      <c r="J501" s="807"/>
      <c r="K501" s="807"/>
      <c r="L501" s="807"/>
      <c r="M501" s="807"/>
      <c r="N501" s="807"/>
      <c r="O501" s="807"/>
    </row>
    <row r="502" spans="1:15" s="963" customFormat="1" x14ac:dyDescent="0.35">
      <c r="A502" s="824"/>
      <c r="B502" s="839"/>
      <c r="C502" s="961"/>
      <c r="D502" s="962"/>
      <c r="E502" s="807"/>
      <c r="F502" s="807"/>
      <c r="G502" s="807"/>
      <c r="H502" s="839"/>
      <c r="J502" s="807"/>
      <c r="K502" s="807"/>
      <c r="L502" s="807"/>
      <c r="M502" s="807"/>
      <c r="N502" s="807"/>
      <c r="O502" s="807"/>
    </row>
    <row r="503" spans="1:15" s="963" customFormat="1" x14ac:dyDescent="0.35">
      <c r="A503" s="824"/>
      <c r="B503" s="839"/>
      <c r="C503" s="961"/>
      <c r="D503" s="962"/>
      <c r="E503" s="807"/>
      <c r="F503" s="807"/>
      <c r="G503" s="807"/>
      <c r="H503" s="839"/>
      <c r="J503" s="807"/>
      <c r="K503" s="807"/>
      <c r="L503" s="807"/>
      <c r="M503" s="807"/>
      <c r="N503" s="807"/>
      <c r="O503" s="807"/>
    </row>
    <row r="504" spans="1:15" s="963" customFormat="1" x14ac:dyDescent="0.35">
      <c r="A504" s="824"/>
      <c r="B504" s="839"/>
      <c r="C504" s="961"/>
      <c r="D504" s="962"/>
      <c r="E504" s="807"/>
      <c r="F504" s="807"/>
      <c r="G504" s="807"/>
      <c r="H504" s="839"/>
      <c r="J504" s="807"/>
      <c r="K504" s="807"/>
      <c r="L504" s="807"/>
      <c r="M504" s="807"/>
      <c r="N504" s="807"/>
      <c r="O504" s="807"/>
    </row>
    <row r="505" spans="1:15" s="963" customFormat="1" x14ac:dyDescent="0.35">
      <c r="A505" s="824"/>
      <c r="B505" s="839"/>
      <c r="C505" s="961"/>
      <c r="D505" s="962"/>
      <c r="E505" s="807"/>
      <c r="F505" s="807"/>
      <c r="G505" s="807"/>
      <c r="H505" s="839"/>
      <c r="J505" s="807"/>
      <c r="K505" s="807"/>
      <c r="L505" s="807"/>
      <c r="M505" s="807"/>
      <c r="N505" s="807"/>
      <c r="O505" s="807"/>
    </row>
    <row r="506" spans="1:15" s="963" customFormat="1" x14ac:dyDescent="0.35">
      <c r="A506" s="824"/>
      <c r="B506" s="839"/>
      <c r="C506" s="961"/>
      <c r="D506" s="962"/>
      <c r="E506" s="807"/>
      <c r="F506" s="807"/>
      <c r="G506" s="807"/>
      <c r="H506" s="839"/>
      <c r="J506" s="807"/>
      <c r="K506" s="807"/>
      <c r="L506" s="807"/>
      <c r="M506" s="807"/>
      <c r="N506" s="807"/>
      <c r="O506" s="807"/>
    </row>
    <row r="507" spans="1:15" s="963" customFormat="1" x14ac:dyDescent="0.35">
      <c r="A507" s="824"/>
      <c r="B507" s="839"/>
      <c r="C507" s="961"/>
      <c r="D507" s="962"/>
      <c r="E507" s="807"/>
      <c r="F507" s="807"/>
      <c r="G507" s="807"/>
      <c r="H507" s="839"/>
      <c r="J507" s="807"/>
      <c r="K507" s="807"/>
      <c r="L507" s="807"/>
      <c r="M507" s="807"/>
      <c r="N507" s="807"/>
      <c r="O507" s="807"/>
    </row>
    <row r="508" spans="1:15" s="963" customFormat="1" x14ac:dyDescent="0.35">
      <c r="A508" s="824"/>
      <c r="B508" s="839"/>
      <c r="C508" s="961"/>
      <c r="D508" s="962"/>
      <c r="E508" s="807"/>
      <c r="F508" s="807"/>
      <c r="G508" s="807"/>
      <c r="H508" s="839"/>
      <c r="J508" s="807"/>
      <c r="K508" s="807"/>
      <c r="L508" s="807"/>
      <c r="M508" s="807"/>
      <c r="N508" s="807"/>
      <c r="O508" s="807"/>
    </row>
    <row r="509" spans="1:15" s="963" customFormat="1" x14ac:dyDescent="0.35">
      <c r="A509" s="824"/>
      <c r="B509" s="839"/>
      <c r="C509" s="961"/>
      <c r="D509" s="962"/>
      <c r="E509" s="807"/>
      <c r="F509" s="807"/>
      <c r="G509" s="807"/>
      <c r="H509" s="839"/>
      <c r="J509" s="807"/>
      <c r="K509" s="807"/>
      <c r="L509" s="807"/>
      <c r="M509" s="807"/>
      <c r="N509" s="807"/>
      <c r="O509" s="807"/>
    </row>
    <row r="510" spans="1:15" s="963" customFormat="1" x14ac:dyDescent="0.35">
      <c r="A510" s="824"/>
      <c r="B510" s="839"/>
      <c r="C510" s="961"/>
      <c r="D510" s="962"/>
      <c r="E510" s="807"/>
      <c r="F510" s="807"/>
      <c r="G510" s="807"/>
      <c r="H510" s="839"/>
      <c r="J510" s="807"/>
      <c r="K510" s="807"/>
      <c r="L510" s="807"/>
      <c r="M510" s="807"/>
      <c r="N510" s="807"/>
      <c r="O510" s="807"/>
    </row>
    <row r="511" spans="1:15" s="963" customFormat="1" x14ac:dyDescent="0.35">
      <c r="A511" s="824"/>
      <c r="B511" s="839"/>
      <c r="C511" s="961"/>
      <c r="D511" s="962"/>
      <c r="E511" s="807"/>
      <c r="F511" s="807"/>
      <c r="G511" s="807"/>
      <c r="H511" s="839"/>
      <c r="J511" s="807"/>
      <c r="K511" s="807"/>
      <c r="L511" s="807"/>
      <c r="M511" s="807"/>
      <c r="N511" s="807"/>
      <c r="O511" s="807"/>
    </row>
    <row r="512" spans="1:15" s="963" customFormat="1" x14ac:dyDescent="0.35">
      <c r="A512" s="824"/>
      <c r="B512" s="839"/>
      <c r="C512" s="961"/>
      <c r="D512" s="962"/>
      <c r="E512" s="807"/>
      <c r="F512" s="807"/>
      <c r="G512" s="807"/>
      <c r="H512" s="839"/>
      <c r="J512" s="807"/>
      <c r="K512" s="807"/>
      <c r="L512" s="807"/>
      <c r="M512" s="807"/>
      <c r="N512" s="807"/>
      <c r="O512" s="807"/>
    </row>
    <row r="513" spans="1:15" s="963" customFormat="1" x14ac:dyDescent="0.35">
      <c r="A513" s="824"/>
      <c r="B513" s="839"/>
      <c r="C513" s="961"/>
      <c r="D513" s="962"/>
      <c r="E513" s="807"/>
      <c r="F513" s="807"/>
      <c r="G513" s="807"/>
      <c r="H513" s="839"/>
      <c r="J513" s="807"/>
      <c r="K513" s="807"/>
      <c r="L513" s="807"/>
      <c r="M513" s="807"/>
      <c r="N513" s="807"/>
      <c r="O513" s="807"/>
    </row>
    <row r="514" spans="1:15" s="963" customFormat="1" x14ac:dyDescent="0.35">
      <c r="A514" s="824"/>
      <c r="B514" s="839"/>
      <c r="C514" s="961"/>
      <c r="D514" s="962"/>
      <c r="E514" s="807"/>
      <c r="F514" s="807"/>
      <c r="G514" s="807"/>
      <c r="H514" s="839"/>
      <c r="J514" s="807"/>
      <c r="K514" s="807"/>
      <c r="L514" s="807"/>
      <c r="M514" s="807"/>
      <c r="N514" s="807"/>
      <c r="O514" s="807"/>
    </row>
    <row r="515" spans="1:15" s="963" customFormat="1" x14ac:dyDescent="0.35">
      <c r="A515" s="824"/>
      <c r="B515" s="839"/>
      <c r="C515" s="961"/>
      <c r="D515" s="962"/>
      <c r="E515" s="807"/>
      <c r="F515" s="807"/>
      <c r="G515" s="807"/>
      <c r="H515" s="839"/>
      <c r="J515" s="807"/>
      <c r="K515" s="807"/>
      <c r="L515" s="807"/>
      <c r="M515" s="807"/>
      <c r="N515" s="807"/>
      <c r="O515" s="807"/>
    </row>
    <row r="516" spans="1:15" s="963" customFormat="1" x14ac:dyDescent="0.35">
      <c r="A516" s="824"/>
      <c r="B516" s="839"/>
      <c r="C516" s="961"/>
      <c r="D516" s="962"/>
      <c r="E516" s="807"/>
      <c r="F516" s="807"/>
      <c r="G516" s="807"/>
      <c r="H516" s="839"/>
      <c r="J516" s="807"/>
      <c r="K516" s="807"/>
      <c r="L516" s="807"/>
      <c r="M516" s="807"/>
      <c r="N516" s="807"/>
      <c r="O516" s="807"/>
    </row>
    <row r="517" spans="1:15" s="963" customFormat="1" x14ac:dyDescent="0.35">
      <c r="A517" s="824"/>
      <c r="B517" s="839"/>
      <c r="C517" s="961"/>
      <c r="D517" s="962"/>
      <c r="E517" s="807"/>
      <c r="F517" s="807"/>
      <c r="G517" s="807"/>
      <c r="H517" s="839"/>
      <c r="J517" s="807"/>
      <c r="K517" s="807"/>
      <c r="L517" s="807"/>
      <c r="M517" s="807"/>
      <c r="N517" s="807"/>
      <c r="O517" s="807"/>
    </row>
    <row r="518" spans="1:15" s="963" customFormat="1" x14ac:dyDescent="0.35">
      <c r="A518" s="824"/>
      <c r="B518" s="839"/>
      <c r="C518" s="961"/>
      <c r="D518" s="962"/>
      <c r="E518" s="807"/>
      <c r="F518" s="807"/>
      <c r="G518" s="807"/>
      <c r="H518" s="839"/>
      <c r="J518" s="807"/>
      <c r="K518" s="807"/>
      <c r="L518" s="807"/>
      <c r="M518" s="807"/>
      <c r="N518" s="807"/>
      <c r="O518" s="807"/>
    </row>
    <row r="519" spans="1:15" s="963" customFormat="1" x14ac:dyDescent="0.35">
      <c r="A519" s="824"/>
      <c r="B519" s="839"/>
      <c r="C519" s="961"/>
      <c r="D519" s="962"/>
      <c r="E519" s="807"/>
      <c r="F519" s="807"/>
      <c r="G519" s="807"/>
      <c r="H519" s="839"/>
      <c r="J519" s="807"/>
      <c r="K519" s="807"/>
      <c r="L519" s="807"/>
      <c r="M519" s="807"/>
      <c r="N519" s="807"/>
      <c r="O519" s="807"/>
    </row>
    <row r="520" spans="1:15" s="963" customFormat="1" x14ac:dyDescent="0.35">
      <c r="A520" s="824"/>
      <c r="B520" s="839"/>
      <c r="C520" s="961"/>
      <c r="D520" s="962"/>
      <c r="E520" s="807"/>
      <c r="F520" s="807"/>
      <c r="G520" s="807"/>
      <c r="H520" s="839"/>
      <c r="J520" s="807"/>
      <c r="K520" s="807"/>
      <c r="L520" s="807"/>
      <c r="M520" s="807"/>
      <c r="N520" s="807"/>
      <c r="O520" s="807"/>
    </row>
    <row r="521" spans="1:15" s="963" customFormat="1" x14ac:dyDescent="0.35">
      <c r="A521" s="824"/>
      <c r="B521" s="839"/>
      <c r="C521" s="961"/>
      <c r="D521" s="962"/>
      <c r="E521" s="807"/>
      <c r="F521" s="807"/>
      <c r="G521" s="807"/>
      <c r="H521" s="839"/>
      <c r="J521" s="807"/>
      <c r="K521" s="807"/>
      <c r="L521" s="807"/>
      <c r="M521" s="807"/>
      <c r="N521" s="807"/>
      <c r="O521" s="807"/>
    </row>
    <row r="522" spans="1:15" s="963" customFormat="1" x14ac:dyDescent="0.35">
      <c r="A522" s="824"/>
      <c r="B522" s="839"/>
      <c r="C522" s="961"/>
      <c r="D522" s="962"/>
      <c r="E522" s="807"/>
      <c r="F522" s="807"/>
      <c r="G522" s="807"/>
      <c r="H522" s="839"/>
      <c r="J522" s="807"/>
      <c r="K522" s="807"/>
      <c r="L522" s="807"/>
      <c r="M522" s="807"/>
      <c r="N522" s="807"/>
      <c r="O522" s="807"/>
    </row>
    <row r="523" spans="1:15" s="963" customFormat="1" x14ac:dyDescent="0.35">
      <c r="A523" s="824"/>
      <c r="B523" s="839"/>
      <c r="C523" s="961"/>
      <c r="D523" s="962"/>
      <c r="E523" s="807"/>
      <c r="F523" s="807"/>
      <c r="G523" s="807"/>
      <c r="H523" s="839"/>
      <c r="J523" s="807"/>
      <c r="K523" s="807"/>
      <c r="L523" s="807"/>
      <c r="M523" s="807"/>
      <c r="N523" s="807"/>
      <c r="O523" s="807"/>
    </row>
    <row r="524" spans="1:15" s="963" customFormat="1" x14ac:dyDescent="0.35">
      <c r="A524" s="824"/>
      <c r="B524" s="839"/>
      <c r="C524" s="961"/>
      <c r="D524" s="962"/>
      <c r="E524" s="807"/>
      <c r="F524" s="807"/>
      <c r="G524" s="807"/>
      <c r="H524" s="839"/>
      <c r="J524" s="807"/>
      <c r="K524" s="807"/>
      <c r="L524" s="807"/>
      <c r="M524" s="807"/>
      <c r="N524" s="807"/>
      <c r="O524" s="807"/>
    </row>
    <row r="525" spans="1:15" s="963" customFormat="1" x14ac:dyDescent="0.35">
      <c r="A525" s="824"/>
      <c r="B525" s="839"/>
      <c r="C525" s="961"/>
      <c r="D525" s="962"/>
      <c r="E525" s="807"/>
      <c r="F525" s="807"/>
      <c r="G525" s="807"/>
      <c r="H525" s="839"/>
      <c r="J525" s="807"/>
      <c r="K525" s="807"/>
      <c r="L525" s="807"/>
      <c r="M525" s="807"/>
      <c r="N525" s="807"/>
      <c r="O525" s="807"/>
    </row>
    <row r="526" spans="1:15" s="963" customFormat="1" x14ac:dyDescent="0.35">
      <c r="A526" s="824"/>
      <c r="B526" s="839"/>
      <c r="C526" s="961"/>
      <c r="D526" s="962"/>
      <c r="E526" s="807"/>
      <c r="F526" s="807"/>
      <c r="G526" s="807"/>
      <c r="H526" s="839"/>
      <c r="J526" s="807"/>
      <c r="K526" s="807"/>
      <c r="L526" s="807"/>
      <c r="M526" s="807"/>
      <c r="N526" s="807"/>
      <c r="O526" s="807"/>
    </row>
    <row r="527" spans="1:15" s="963" customFormat="1" x14ac:dyDescent="0.35">
      <c r="A527" s="824"/>
      <c r="B527" s="839"/>
      <c r="C527" s="961"/>
      <c r="D527" s="962"/>
      <c r="E527" s="807"/>
      <c r="F527" s="807"/>
      <c r="G527" s="807"/>
      <c r="H527" s="839"/>
      <c r="J527" s="807"/>
      <c r="K527" s="807"/>
      <c r="L527" s="807"/>
      <c r="M527" s="807"/>
      <c r="N527" s="807"/>
      <c r="O527" s="807"/>
    </row>
    <row r="528" spans="1:15" s="963" customFormat="1" x14ac:dyDescent="0.35">
      <c r="A528" s="824"/>
      <c r="B528" s="839"/>
      <c r="C528" s="961"/>
      <c r="D528" s="962"/>
      <c r="E528" s="807"/>
      <c r="F528" s="807"/>
      <c r="G528" s="807"/>
      <c r="H528" s="839"/>
      <c r="J528" s="807"/>
      <c r="K528" s="807"/>
      <c r="L528" s="807"/>
      <c r="M528" s="807"/>
      <c r="N528" s="807"/>
      <c r="O528" s="807"/>
    </row>
    <row r="529" spans="1:15" s="963" customFormat="1" x14ac:dyDescent="0.35">
      <c r="A529" s="824"/>
      <c r="B529" s="839"/>
      <c r="C529" s="961"/>
      <c r="D529" s="962"/>
      <c r="E529" s="807"/>
      <c r="F529" s="807"/>
      <c r="G529" s="807"/>
      <c r="H529" s="839"/>
      <c r="J529" s="807"/>
      <c r="K529" s="807"/>
      <c r="L529" s="807"/>
      <c r="M529" s="807"/>
      <c r="N529" s="807"/>
      <c r="O529" s="807"/>
    </row>
    <row r="530" spans="1:15" s="963" customFormat="1" x14ac:dyDescent="0.35">
      <c r="A530" s="824"/>
      <c r="B530" s="839"/>
      <c r="C530" s="961"/>
      <c r="D530" s="962"/>
      <c r="E530" s="807"/>
      <c r="F530" s="807"/>
      <c r="G530" s="807"/>
      <c r="H530" s="839"/>
      <c r="J530" s="807"/>
      <c r="K530" s="807"/>
      <c r="L530" s="807"/>
      <c r="M530" s="807"/>
      <c r="N530" s="807"/>
      <c r="O530" s="807"/>
    </row>
    <row r="531" spans="1:15" s="963" customFormat="1" x14ac:dyDescent="0.35">
      <c r="A531" s="824"/>
      <c r="B531" s="839"/>
      <c r="C531" s="961"/>
      <c r="D531" s="962"/>
      <c r="E531" s="807"/>
      <c r="F531" s="807"/>
      <c r="G531" s="807"/>
      <c r="H531" s="839"/>
      <c r="J531" s="807"/>
      <c r="K531" s="807"/>
      <c r="L531" s="807"/>
      <c r="M531" s="807"/>
      <c r="N531" s="807"/>
      <c r="O531" s="807"/>
    </row>
    <row r="532" spans="1:15" s="963" customFormat="1" x14ac:dyDescent="0.35">
      <c r="A532" s="824"/>
      <c r="B532" s="839"/>
      <c r="C532" s="961"/>
      <c r="D532" s="962"/>
      <c r="E532" s="807"/>
      <c r="F532" s="807"/>
      <c r="G532" s="807"/>
      <c r="H532" s="839"/>
      <c r="J532" s="807"/>
      <c r="K532" s="807"/>
      <c r="L532" s="807"/>
      <c r="M532" s="807"/>
      <c r="N532" s="807"/>
      <c r="O532" s="807"/>
    </row>
    <row r="533" spans="1:15" s="963" customFormat="1" x14ac:dyDescent="0.35">
      <c r="A533" s="824"/>
      <c r="B533" s="839"/>
      <c r="C533" s="961"/>
      <c r="D533" s="962"/>
      <c r="E533" s="807"/>
      <c r="F533" s="807"/>
      <c r="G533" s="807"/>
      <c r="H533" s="839"/>
      <c r="J533" s="807"/>
      <c r="K533" s="807"/>
      <c r="L533" s="807"/>
      <c r="M533" s="807"/>
      <c r="N533" s="807"/>
      <c r="O533" s="807"/>
    </row>
    <row r="534" spans="1:15" s="963" customFormat="1" x14ac:dyDescent="0.35">
      <c r="A534" s="824"/>
      <c r="B534" s="839"/>
      <c r="C534" s="961"/>
      <c r="D534" s="962"/>
      <c r="E534" s="807"/>
      <c r="F534" s="807"/>
      <c r="G534" s="807"/>
      <c r="H534" s="839"/>
      <c r="J534" s="807"/>
      <c r="K534" s="807"/>
      <c r="L534" s="807"/>
      <c r="M534" s="807"/>
      <c r="N534" s="807"/>
      <c r="O534" s="807"/>
    </row>
    <row r="535" spans="1:15" s="963" customFormat="1" x14ac:dyDescent="0.35">
      <c r="A535" s="824"/>
      <c r="B535" s="839"/>
      <c r="C535" s="961"/>
      <c r="D535" s="962"/>
      <c r="E535" s="807"/>
      <c r="F535" s="807"/>
      <c r="G535" s="807"/>
      <c r="H535" s="839"/>
      <c r="J535" s="807"/>
      <c r="K535" s="807"/>
      <c r="L535" s="807"/>
      <c r="M535" s="807"/>
      <c r="N535" s="807"/>
      <c r="O535" s="807"/>
    </row>
    <row r="536" spans="1:15" s="963" customFormat="1" x14ac:dyDescent="0.35">
      <c r="A536" s="824"/>
      <c r="B536" s="839"/>
      <c r="C536" s="961"/>
      <c r="D536" s="962"/>
      <c r="E536" s="807"/>
      <c r="F536" s="807"/>
      <c r="G536" s="807"/>
      <c r="H536" s="839"/>
      <c r="J536" s="807"/>
      <c r="K536" s="807"/>
      <c r="L536" s="807"/>
      <c r="M536" s="807"/>
      <c r="N536" s="807"/>
      <c r="O536" s="807"/>
    </row>
    <row r="537" spans="1:15" s="963" customFormat="1" x14ac:dyDescent="0.35">
      <c r="A537" s="824"/>
      <c r="B537" s="839"/>
      <c r="C537" s="961"/>
      <c r="D537" s="962"/>
      <c r="E537" s="807"/>
      <c r="F537" s="807"/>
      <c r="G537" s="807"/>
      <c r="H537" s="839"/>
      <c r="J537" s="807"/>
      <c r="K537" s="807"/>
      <c r="L537" s="807"/>
      <c r="M537" s="807"/>
      <c r="N537" s="807"/>
      <c r="O537" s="807"/>
    </row>
    <row r="538" spans="1:15" s="963" customFormat="1" x14ac:dyDescent="0.35">
      <c r="A538" s="824"/>
      <c r="B538" s="839"/>
      <c r="C538" s="961"/>
      <c r="D538" s="962"/>
      <c r="E538" s="807"/>
      <c r="F538" s="807"/>
      <c r="G538" s="807"/>
      <c r="H538" s="839"/>
      <c r="J538" s="807"/>
      <c r="K538" s="807"/>
      <c r="L538" s="807"/>
      <c r="M538" s="807"/>
      <c r="N538" s="807"/>
      <c r="O538" s="807"/>
    </row>
    <row r="539" spans="1:15" s="963" customFormat="1" x14ac:dyDescent="0.35">
      <c r="A539" s="824"/>
      <c r="B539" s="839"/>
      <c r="C539" s="961"/>
      <c r="D539" s="962"/>
      <c r="E539" s="807"/>
      <c r="F539" s="807"/>
      <c r="G539" s="807"/>
      <c r="H539" s="839"/>
      <c r="J539" s="807"/>
      <c r="K539" s="807"/>
      <c r="L539" s="807"/>
      <c r="M539" s="807"/>
      <c r="N539" s="807"/>
      <c r="O539" s="807"/>
    </row>
    <row r="540" spans="1:15" s="963" customFormat="1" x14ac:dyDescent="0.35">
      <c r="A540" s="824"/>
      <c r="B540" s="839"/>
      <c r="C540" s="961"/>
      <c r="D540" s="962"/>
      <c r="E540" s="807"/>
      <c r="F540" s="807"/>
      <c r="G540" s="807"/>
      <c r="H540" s="839"/>
      <c r="J540" s="807"/>
      <c r="K540" s="807"/>
      <c r="L540" s="807"/>
      <c r="M540" s="807"/>
      <c r="N540" s="807"/>
      <c r="O540" s="807"/>
    </row>
    <row r="541" spans="1:15" s="963" customFormat="1" x14ac:dyDescent="0.35">
      <c r="A541" s="824"/>
      <c r="B541" s="839"/>
      <c r="C541" s="961"/>
      <c r="D541" s="962"/>
      <c r="E541" s="807"/>
      <c r="F541" s="807"/>
      <c r="G541" s="807"/>
      <c r="H541" s="839"/>
      <c r="J541" s="807"/>
      <c r="K541" s="807"/>
      <c r="L541" s="807"/>
      <c r="M541" s="807"/>
      <c r="N541" s="807"/>
      <c r="O541" s="807"/>
    </row>
    <row r="542" spans="1:15" s="963" customFormat="1" x14ac:dyDescent="0.35">
      <c r="A542" s="824"/>
      <c r="B542" s="839"/>
      <c r="C542" s="961"/>
      <c r="D542" s="962"/>
      <c r="E542" s="807"/>
      <c r="F542" s="807"/>
      <c r="G542" s="807"/>
      <c r="H542" s="839"/>
      <c r="J542" s="807"/>
      <c r="K542" s="807"/>
      <c r="L542" s="807"/>
      <c r="M542" s="807"/>
      <c r="N542" s="807"/>
      <c r="O542" s="807"/>
    </row>
    <row r="543" spans="1:15" s="963" customFormat="1" x14ac:dyDescent="0.35">
      <c r="A543" s="824"/>
      <c r="B543" s="839"/>
      <c r="C543" s="961"/>
      <c r="D543" s="962"/>
      <c r="E543" s="807"/>
      <c r="F543" s="807"/>
      <c r="G543" s="807"/>
      <c r="H543" s="839"/>
      <c r="J543" s="807"/>
      <c r="K543" s="807"/>
      <c r="L543" s="807"/>
      <c r="M543" s="807"/>
      <c r="N543" s="807"/>
      <c r="O543" s="807"/>
    </row>
    <row r="544" spans="1:15" s="963" customFormat="1" x14ac:dyDescent="0.35">
      <c r="A544" s="824"/>
      <c r="B544" s="839"/>
      <c r="C544" s="961"/>
      <c r="D544" s="962"/>
      <c r="E544" s="807"/>
      <c r="F544" s="807"/>
      <c r="G544" s="807"/>
      <c r="H544" s="839"/>
      <c r="J544" s="807"/>
      <c r="K544" s="807"/>
      <c r="L544" s="807"/>
      <c r="M544" s="807"/>
      <c r="N544" s="807"/>
      <c r="O544" s="807"/>
    </row>
    <row r="545" spans="1:15" s="963" customFormat="1" x14ac:dyDescent="0.35">
      <c r="A545" s="824"/>
      <c r="B545" s="839"/>
      <c r="C545" s="961"/>
      <c r="D545" s="962"/>
      <c r="E545" s="807"/>
      <c r="F545" s="807"/>
      <c r="G545" s="807"/>
      <c r="H545" s="839"/>
      <c r="J545" s="807"/>
      <c r="K545" s="807"/>
      <c r="L545" s="807"/>
      <c r="M545" s="807"/>
      <c r="N545" s="807"/>
      <c r="O545" s="807"/>
    </row>
    <row r="546" spans="1:15" s="963" customFormat="1" x14ac:dyDescent="0.35">
      <c r="A546" s="824"/>
      <c r="B546" s="839"/>
      <c r="C546" s="961"/>
      <c r="D546" s="962"/>
      <c r="E546" s="807"/>
      <c r="F546" s="807"/>
      <c r="G546" s="807"/>
      <c r="H546" s="839"/>
      <c r="J546" s="807"/>
      <c r="K546" s="807"/>
      <c r="L546" s="807"/>
      <c r="M546" s="807"/>
      <c r="N546" s="807"/>
      <c r="O546" s="807"/>
    </row>
    <row r="547" spans="1:15" s="963" customFormat="1" x14ac:dyDescent="0.35">
      <c r="A547" s="824"/>
      <c r="B547" s="839"/>
      <c r="C547" s="961"/>
      <c r="D547" s="962"/>
      <c r="E547" s="807"/>
      <c r="F547" s="807"/>
      <c r="G547" s="807"/>
      <c r="H547" s="839"/>
      <c r="J547" s="807"/>
      <c r="K547" s="807"/>
      <c r="L547" s="807"/>
      <c r="M547" s="807"/>
      <c r="N547" s="807"/>
      <c r="O547" s="807"/>
    </row>
    <row r="548" spans="1:15" s="963" customFormat="1" x14ac:dyDescent="0.35">
      <c r="A548" s="824"/>
      <c r="B548" s="839"/>
      <c r="C548" s="961"/>
      <c r="D548" s="962"/>
      <c r="E548" s="807"/>
      <c r="F548" s="807"/>
      <c r="G548" s="807"/>
      <c r="H548" s="839"/>
      <c r="J548" s="807"/>
      <c r="K548" s="807"/>
      <c r="L548" s="807"/>
      <c r="M548" s="807"/>
      <c r="N548" s="807"/>
      <c r="O548" s="807"/>
    </row>
    <row r="549" spans="1:15" s="963" customFormat="1" x14ac:dyDescent="0.35">
      <c r="A549" s="824"/>
      <c r="B549" s="839"/>
      <c r="C549" s="961"/>
      <c r="D549" s="962"/>
      <c r="E549" s="807"/>
      <c r="F549" s="807"/>
      <c r="G549" s="807"/>
      <c r="H549" s="839"/>
      <c r="J549" s="807"/>
      <c r="K549" s="807"/>
      <c r="L549" s="807"/>
      <c r="M549" s="807"/>
      <c r="N549" s="807"/>
      <c r="O549" s="807"/>
    </row>
    <row r="550" spans="1:15" s="963" customFormat="1" x14ac:dyDescent="0.35">
      <c r="A550" s="824"/>
      <c r="B550" s="839"/>
      <c r="C550" s="961"/>
      <c r="D550" s="962"/>
      <c r="E550" s="807"/>
      <c r="F550" s="807"/>
      <c r="G550" s="807"/>
      <c r="H550" s="839"/>
      <c r="J550" s="807"/>
      <c r="K550" s="807"/>
      <c r="L550" s="807"/>
      <c r="M550" s="807"/>
      <c r="N550" s="807"/>
      <c r="O550" s="807"/>
    </row>
    <row r="551" spans="1:15" s="963" customFormat="1" x14ac:dyDescent="0.35">
      <c r="A551" s="824"/>
      <c r="B551" s="839"/>
      <c r="C551" s="961"/>
      <c r="D551" s="962"/>
      <c r="E551" s="807"/>
      <c r="F551" s="807"/>
      <c r="G551" s="807"/>
      <c r="H551" s="839"/>
      <c r="J551" s="807"/>
      <c r="K551" s="807"/>
      <c r="L551" s="807"/>
      <c r="M551" s="807"/>
      <c r="N551" s="807"/>
      <c r="O551" s="807"/>
    </row>
    <row r="552" spans="1:15" s="963" customFormat="1" x14ac:dyDescent="0.35">
      <c r="A552" s="824"/>
      <c r="B552" s="839"/>
      <c r="C552" s="961"/>
      <c r="D552" s="962"/>
      <c r="E552" s="807"/>
      <c r="F552" s="807"/>
      <c r="G552" s="807"/>
      <c r="H552" s="839"/>
      <c r="J552" s="807"/>
      <c r="K552" s="807"/>
      <c r="L552" s="807"/>
      <c r="M552" s="807"/>
      <c r="N552" s="807"/>
      <c r="O552" s="807"/>
    </row>
  </sheetData>
  <mergeCells count="21">
    <mergeCell ref="B1:D1"/>
    <mergeCell ref="G1:I1"/>
    <mergeCell ref="B2:N2"/>
    <mergeCell ref="B3:N3"/>
    <mergeCell ref="M4:N4"/>
    <mergeCell ref="D426:G426"/>
    <mergeCell ref="D424:G424"/>
    <mergeCell ref="B432:D432"/>
    <mergeCell ref="I6:I7"/>
    <mergeCell ref="J6:N6"/>
    <mergeCell ref="E6:E7"/>
    <mergeCell ref="B6:B7"/>
    <mergeCell ref="C6:C7"/>
    <mergeCell ref="G6:G7"/>
    <mergeCell ref="D6:D7"/>
    <mergeCell ref="F6:F7"/>
    <mergeCell ref="H6:H7"/>
    <mergeCell ref="D427:G427"/>
    <mergeCell ref="D428:G428"/>
    <mergeCell ref="D429:G429"/>
    <mergeCell ref="B430:D430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66" fitToHeight="0" orientation="landscape" r:id="rId1"/>
  <headerFooter alignWithMargins="0">
    <oddFooter>&amp;C- &amp;P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89"/>
  <sheetViews>
    <sheetView view="pageBreakPreview" topLeftCell="B1" zoomScaleNormal="100" zoomScaleSheetLayoutView="100" workbookViewId="0">
      <pane ySplit="8" topLeftCell="A9" activePane="bottomLeft" state="frozen"/>
      <selection activeCell="N9" sqref="N9"/>
      <selection pane="bottomLeft" activeCell="B1" sqref="B1:D1"/>
    </sheetView>
  </sheetViews>
  <sheetFormatPr defaultColWidth="9.28515625" defaultRowHeight="15" x14ac:dyDescent="0.3"/>
  <cols>
    <col min="1" max="1" width="3.7109375" style="678" customWidth="1"/>
    <col min="2" max="2" width="5.7109375" style="679" customWidth="1"/>
    <col min="3" max="3" width="5.7109375" style="680" customWidth="1"/>
    <col min="4" max="4" width="59.7109375" style="681" customWidth="1"/>
    <col min="5" max="7" width="10.7109375" style="721" customWidth="1"/>
    <col min="8" max="8" width="6.7109375" style="682" customWidth="1"/>
    <col min="9" max="11" width="14.7109375" style="721" customWidth="1"/>
    <col min="12" max="12" width="15.7109375" style="721" customWidth="1"/>
    <col min="13" max="13" width="13.7109375" style="721" customWidth="1"/>
    <col min="14" max="16384" width="9.28515625" style="221"/>
  </cols>
  <sheetData>
    <row r="1" spans="1:251" s="153" customFormat="1" ht="18" customHeight="1" x14ac:dyDescent="0.3">
      <c r="A1" s="676"/>
      <c r="B1" s="1429" t="s">
        <v>767</v>
      </c>
      <c r="C1" s="1429"/>
      <c r="D1" s="1429"/>
      <c r="E1" s="972"/>
      <c r="F1" s="972"/>
      <c r="G1" s="972"/>
      <c r="H1" s="677"/>
      <c r="I1" s="1430"/>
      <c r="J1" s="1430"/>
      <c r="K1" s="1430"/>
      <c r="L1" s="1430"/>
      <c r="M1" s="1430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3"/>
      <c r="AJ1" s="213"/>
      <c r="AK1" s="213"/>
      <c r="AL1" s="213"/>
      <c r="AM1" s="213"/>
      <c r="AN1" s="213"/>
      <c r="AO1" s="213"/>
      <c r="AP1" s="213"/>
      <c r="AQ1" s="213"/>
      <c r="AR1" s="213"/>
      <c r="AS1" s="213"/>
      <c r="AT1" s="213"/>
      <c r="AU1" s="213"/>
      <c r="AV1" s="213"/>
      <c r="AW1" s="213"/>
      <c r="AX1" s="213"/>
      <c r="AY1" s="213"/>
      <c r="AZ1" s="213"/>
      <c r="BA1" s="213"/>
      <c r="BB1" s="213"/>
      <c r="BC1" s="213"/>
      <c r="BD1" s="213"/>
      <c r="BE1" s="213"/>
      <c r="BF1" s="213"/>
      <c r="BG1" s="213"/>
      <c r="BH1" s="213"/>
      <c r="BI1" s="213"/>
      <c r="BJ1" s="213"/>
      <c r="BK1" s="213"/>
      <c r="BL1" s="213"/>
      <c r="BM1" s="213"/>
      <c r="BN1" s="213"/>
      <c r="BO1" s="213"/>
      <c r="BP1" s="213"/>
      <c r="BQ1" s="213"/>
      <c r="BR1" s="213"/>
      <c r="BS1" s="213"/>
      <c r="BT1" s="213"/>
      <c r="BU1" s="213"/>
      <c r="BV1" s="213"/>
      <c r="BW1" s="213"/>
      <c r="BX1" s="213"/>
      <c r="BY1" s="213"/>
      <c r="BZ1" s="213"/>
      <c r="CA1" s="213"/>
      <c r="CB1" s="213"/>
      <c r="CC1" s="213"/>
      <c r="CD1" s="213"/>
      <c r="CE1" s="213"/>
      <c r="CF1" s="213"/>
      <c r="CG1" s="213"/>
      <c r="CH1" s="213"/>
      <c r="CI1" s="213"/>
      <c r="CJ1" s="213"/>
      <c r="CK1" s="213"/>
      <c r="CL1" s="213"/>
      <c r="CM1" s="213"/>
      <c r="CN1" s="213"/>
      <c r="CO1" s="213"/>
      <c r="CP1" s="213"/>
      <c r="CQ1" s="213"/>
      <c r="CR1" s="213"/>
      <c r="CS1" s="213"/>
      <c r="CT1" s="213"/>
      <c r="CU1" s="213"/>
      <c r="CV1" s="213"/>
      <c r="CW1" s="213"/>
      <c r="CX1" s="213"/>
      <c r="CY1" s="213"/>
      <c r="CZ1" s="213"/>
      <c r="DA1" s="213"/>
      <c r="DB1" s="213"/>
      <c r="DC1" s="213"/>
      <c r="DD1" s="213"/>
      <c r="DE1" s="213"/>
      <c r="DF1" s="213"/>
      <c r="DG1" s="213"/>
      <c r="DH1" s="213"/>
      <c r="DI1" s="213"/>
      <c r="DJ1" s="213"/>
      <c r="DK1" s="213"/>
      <c r="DL1" s="213"/>
      <c r="DM1" s="213"/>
      <c r="DN1" s="213"/>
      <c r="DO1" s="213"/>
      <c r="DP1" s="213"/>
      <c r="DQ1" s="213"/>
      <c r="DR1" s="213"/>
      <c r="DS1" s="213"/>
      <c r="DT1" s="213"/>
      <c r="DU1" s="213"/>
      <c r="DV1" s="213"/>
      <c r="DW1" s="213"/>
      <c r="DX1" s="213"/>
      <c r="DY1" s="213"/>
      <c r="DZ1" s="213"/>
      <c r="EA1" s="213"/>
      <c r="EB1" s="213"/>
      <c r="EC1" s="213"/>
      <c r="ED1" s="213"/>
      <c r="EE1" s="213"/>
      <c r="EF1" s="213"/>
      <c r="EG1" s="213"/>
      <c r="EH1" s="213"/>
      <c r="EI1" s="213"/>
      <c r="EJ1" s="213"/>
      <c r="EK1" s="213"/>
      <c r="EL1" s="213"/>
      <c r="EM1" s="213"/>
      <c r="EN1" s="213"/>
      <c r="EO1" s="213"/>
      <c r="EP1" s="213"/>
      <c r="EQ1" s="213"/>
      <c r="ER1" s="213"/>
      <c r="ES1" s="213"/>
      <c r="ET1" s="213"/>
      <c r="EU1" s="213"/>
      <c r="EV1" s="213"/>
      <c r="EW1" s="213"/>
      <c r="EX1" s="213"/>
      <c r="EY1" s="213"/>
      <c r="EZ1" s="213"/>
      <c r="FA1" s="213"/>
      <c r="FB1" s="213"/>
      <c r="FC1" s="213"/>
      <c r="FD1" s="213"/>
      <c r="FE1" s="213"/>
      <c r="FF1" s="213"/>
      <c r="FG1" s="213"/>
      <c r="FH1" s="213"/>
      <c r="FI1" s="213"/>
      <c r="FJ1" s="213"/>
      <c r="FK1" s="213"/>
      <c r="FL1" s="213"/>
      <c r="FM1" s="213"/>
      <c r="FN1" s="213"/>
      <c r="FO1" s="213"/>
      <c r="FP1" s="213"/>
      <c r="FQ1" s="213"/>
      <c r="FR1" s="213"/>
      <c r="FS1" s="213"/>
      <c r="FT1" s="213"/>
      <c r="FU1" s="213"/>
      <c r="FV1" s="213"/>
      <c r="FW1" s="213"/>
      <c r="FX1" s="213"/>
      <c r="FY1" s="213"/>
      <c r="FZ1" s="213"/>
      <c r="GA1" s="213"/>
      <c r="GB1" s="213"/>
      <c r="GC1" s="213"/>
      <c r="GD1" s="213"/>
      <c r="GE1" s="213"/>
      <c r="GF1" s="213"/>
      <c r="GG1" s="213"/>
      <c r="GH1" s="213"/>
      <c r="GI1" s="213"/>
      <c r="GJ1" s="213"/>
      <c r="GK1" s="213"/>
      <c r="GL1" s="213"/>
      <c r="GM1" s="213"/>
      <c r="GN1" s="213"/>
      <c r="GO1" s="213"/>
      <c r="GP1" s="213"/>
      <c r="GQ1" s="213"/>
      <c r="GR1" s="213"/>
      <c r="GS1" s="213"/>
      <c r="GT1" s="213"/>
      <c r="GU1" s="213"/>
      <c r="GV1" s="213"/>
      <c r="GW1" s="213"/>
      <c r="GX1" s="213"/>
      <c r="GY1" s="213"/>
      <c r="GZ1" s="213"/>
      <c r="HA1" s="213"/>
      <c r="HB1" s="213"/>
      <c r="HC1" s="213"/>
      <c r="HD1" s="213"/>
      <c r="HE1" s="213"/>
      <c r="HF1" s="213"/>
      <c r="HG1" s="213"/>
      <c r="HH1" s="213"/>
      <c r="HI1" s="213"/>
      <c r="HJ1" s="213"/>
      <c r="HK1" s="213"/>
      <c r="HL1" s="213"/>
      <c r="HM1" s="213"/>
      <c r="HN1" s="213"/>
      <c r="HO1" s="213"/>
      <c r="HP1" s="213"/>
      <c r="HQ1" s="213"/>
      <c r="HR1" s="213"/>
      <c r="HS1" s="213"/>
      <c r="HT1" s="213"/>
      <c r="HU1" s="213"/>
      <c r="HV1" s="213"/>
      <c r="HW1" s="213"/>
      <c r="HX1" s="213"/>
      <c r="HY1" s="213"/>
      <c r="HZ1" s="213"/>
      <c r="IA1" s="213"/>
      <c r="IB1" s="213"/>
      <c r="IC1" s="213"/>
      <c r="ID1" s="213"/>
      <c r="IE1" s="213"/>
      <c r="IF1" s="213"/>
      <c r="IG1" s="213"/>
      <c r="IH1" s="213"/>
      <c r="II1" s="213"/>
      <c r="IJ1" s="213"/>
      <c r="IK1" s="213"/>
      <c r="IL1" s="213"/>
      <c r="IM1" s="213"/>
      <c r="IN1" s="213"/>
      <c r="IO1" s="213"/>
      <c r="IP1" s="213"/>
      <c r="IQ1" s="213"/>
    </row>
    <row r="2" spans="1:251" s="153" customFormat="1" ht="18" customHeight="1" x14ac:dyDescent="0.35">
      <c r="A2" s="678"/>
      <c r="B2" s="1431" t="s">
        <v>14</v>
      </c>
      <c r="C2" s="1431"/>
      <c r="D2" s="1431"/>
      <c r="E2" s="1431"/>
      <c r="F2" s="1431"/>
      <c r="G2" s="1431"/>
      <c r="H2" s="1431"/>
      <c r="I2" s="1431"/>
      <c r="J2" s="1431"/>
      <c r="K2" s="1431"/>
      <c r="L2" s="1431"/>
      <c r="M2" s="1431"/>
    </row>
    <row r="3" spans="1:251" s="153" customFormat="1" ht="18" customHeight="1" x14ac:dyDescent="0.3">
      <c r="A3" s="678"/>
      <c r="B3" s="1432" t="s">
        <v>659</v>
      </c>
      <c r="C3" s="1432"/>
      <c r="D3" s="1432"/>
      <c r="E3" s="1432"/>
      <c r="F3" s="1432"/>
      <c r="G3" s="1432"/>
      <c r="H3" s="1432"/>
      <c r="I3" s="1432"/>
      <c r="J3" s="1432"/>
      <c r="K3" s="1432"/>
      <c r="L3" s="1432"/>
      <c r="M3" s="1432"/>
    </row>
    <row r="4" spans="1:251" ht="18" customHeight="1" x14ac:dyDescent="0.3">
      <c r="M4" s="977" t="s">
        <v>0</v>
      </c>
    </row>
    <row r="5" spans="1:251" s="62" customFormat="1" ht="18" customHeight="1" thickBot="1" x14ac:dyDescent="0.25">
      <c r="A5" s="678"/>
      <c r="B5" s="683" t="s">
        <v>1</v>
      </c>
      <c r="C5" s="684" t="s">
        <v>3</v>
      </c>
      <c r="D5" s="684" t="s">
        <v>2</v>
      </c>
      <c r="E5" s="684" t="s">
        <v>4</v>
      </c>
      <c r="F5" s="684" t="s">
        <v>5</v>
      </c>
      <c r="G5" s="684" t="s">
        <v>15</v>
      </c>
      <c r="H5" s="684" t="s">
        <v>16</v>
      </c>
      <c r="I5" s="684" t="s">
        <v>17</v>
      </c>
      <c r="J5" s="684" t="s">
        <v>32</v>
      </c>
      <c r="K5" s="684" t="s">
        <v>28</v>
      </c>
      <c r="L5" s="684" t="s">
        <v>23</v>
      </c>
      <c r="M5" s="684" t="s">
        <v>33</v>
      </c>
      <c r="N5" s="678"/>
      <c r="O5" s="678"/>
      <c r="P5" s="678"/>
      <c r="Q5" s="678"/>
      <c r="R5" s="678"/>
      <c r="S5" s="678"/>
      <c r="T5" s="678"/>
      <c r="U5" s="678"/>
      <c r="V5" s="678"/>
      <c r="W5" s="678"/>
      <c r="X5" s="678"/>
      <c r="Y5" s="678"/>
      <c r="Z5" s="678"/>
      <c r="AA5" s="678"/>
      <c r="AB5" s="678"/>
      <c r="AC5" s="678"/>
      <c r="AD5" s="678"/>
      <c r="AE5" s="678"/>
      <c r="AF5" s="678"/>
      <c r="AG5" s="678"/>
      <c r="AH5" s="678"/>
      <c r="AI5" s="678"/>
      <c r="AJ5" s="678"/>
      <c r="AK5" s="678"/>
      <c r="AL5" s="678"/>
      <c r="AM5" s="678"/>
      <c r="AN5" s="678"/>
      <c r="AO5" s="678"/>
      <c r="AP5" s="678"/>
      <c r="AQ5" s="678"/>
      <c r="AR5" s="678"/>
      <c r="AS5" s="678"/>
      <c r="AT5" s="678"/>
      <c r="AU5" s="678"/>
      <c r="AV5" s="678"/>
      <c r="AW5" s="678"/>
      <c r="AX5" s="678"/>
      <c r="AY5" s="678"/>
      <c r="AZ5" s="678"/>
      <c r="BA5" s="678"/>
      <c r="BB5" s="678"/>
      <c r="BC5" s="678"/>
      <c r="BD5" s="678"/>
      <c r="BE5" s="678"/>
      <c r="BF5" s="678"/>
      <c r="BG5" s="678"/>
      <c r="BH5" s="678"/>
      <c r="BI5" s="678"/>
      <c r="BJ5" s="678"/>
      <c r="BK5" s="678"/>
      <c r="BL5" s="678"/>
      <c r="BM5" s="678"/>
      <c r="BN5" s="678"/>
      <c r="BO5" s="678"/>
      <c r="BP5" s="678"/>
      <c r="BQ5" s="678"/>
      <c r="BR5" s="678"/>
      <c r="BS5" s="678"/>
      <c r="BT5" s="678"/>
      <c r="BU5" s="678"/>
      <c r="BV5" s="678"/>
      <c r="BW5" s="678"/>
      <c r="BX5" s="678"/>
      <c r="BY5" s="678"/>
      <c r="BZ5" s="678"/>
      <c r="CA5" s="678"/>
      <c r="CB5" s="678"/>
      <c r="CC5" s="678"/>
      <c r="CD5" s="678"/>
      <c r="CE5" s="678"/>
      <c r="CF5" s="678"/>
      <c r="CG5" s="678"/>
      <c r="CH5" s="678"/>
      <c r="CI5" s="678"/>
      <c r="CJ5" s="678"/>
      <c r="CK5" s="678"/>
      <c r="CL5" s="678"/>
      <c r="CM5" s="678"/>
      <c r="CN5" s="678"/>
      <c r="CO5" s="678"/>
      <c r="CP5" s="678"/>
      <c r="CQ5" s="678"/>
      <c r="CR5" s="678"/>
      <c r="CS5" s="678"/>
      <c r="CT5" s="678"/>
      <c r="CU5" s="678"/>
      <c r="CV5" s="678"/>
      <c r="CW5" s="678"/>
      <c r="CX5" s="678"/>
      <c r="CY5" s="678"/>
      <c r="CZ5" s="678"/>
      <c r="DA5" s="678"/>
      <c r="DB5" s="678"/>
      <c r="DC5" s="678"/>
      <c r="DD5" s="678"/>
      <c r="DE5" s="678"/>
      <c r="DF5" s="678"/>
      <c r="DG5" s="678"/>
      <c r="DH5" s="678"/>
      <c r="DI5" s="678"/>
      <c r="DJ5" s="678"/>
      <c r="DK5" s="678"/>
      <c r="DL5" s="678"/>
      <c r="DM5" s="678"/>
      <c r="DN5" s="678"/>
      <c r="DO5" s="678"/>
      <c r="DP5" s="678"/>
      <c r="DQ5" s="678"/>
      <c r="DR5" s="678"/>
      <c r="DS5" s="678"/>
      <c r="DT5" s="678"/>
      <c r="DU5" s="678"/>
      <c r="DV5" s="678"/>
      <c r="DW5" s="678"/>
      <c r="DX5" s="678"/>
      <c r="DY5" s="678"/>
      <c r="DZ5" s="678"/>
      <c r="EA5" s="678"/>
      <c r="EB5" s="678"/>
      <c r="EC5" s="678"/>
      <c r="ED5" s="678"/>
      <c r="EE5" s="678"/>
      <c r="EF5" s="678"/>
      <c r="EG5" s="678"/>
      <c r="EH5" s="678"/>
      <c r="EI5" s="678"/>
      <c r="EJ5" s="678"/>
      <c r="EK5" s="678"/>
      <c r="EL5" s="678"/>
      <c r="EM5" s="678"/>
      <c r="EN5" s="678"/>
      <c r="EO5" s="678"/>
      <c r="EP5" s="678"/>
      <c r="EQ5" s="678"/>
      <c r="ER5" s="678"/>
      <c r="ES5" s="678"/>
      <c r="ET5" s="678"/>
      <c r="EU5" s="678"/>
      <c r="EV5" s="678"/>
      <c r="EW5" s="678"/>
      <c r="EX5" s="678"/>
      <c r="EY5" s="678"/>
      <c r="EZ5" s="678"/>
      <c r="FA5" s="678"/>
      <c r="FB5" s="678"/>
      <c r="FC5" s="678"/>
      <c r="FD5" s="678"/>
      <c r="FE5" s="678"/>
      <c r="FF5" s="678"/>
      <c r="FG5" s="678"/>
      <c r="FH5" s="678"/>
      <c r="FI5" s="678"/>
      <c r="FJ5" s="678"/>
      <c r="FK5" s="678"/>
      <c r="FL5" s="678"/>
      <c r="FM5" s="678"/>
      <c r="FN5" s="678"/>
      <c r="FO5" s="678"/>
      <c r="FP5" s="678"/>
      <c r="FQ5" s="678"/>
      <c r="FR5" s="678"/>
      <c r="FS5" s="678"/>
      <c r="FT5" s="678"/>
      <c r="FU5" s="678"/>
      <c r="FV5" s="678"/>
      <c r="FW5" s="678"/>
      <c r="FX5" s="678"/>
      <c r="FY5" s="678"/>
      <c r="FZ5" s="678"/>
      <c r="GA5" s="678"/>
      <c r="GB5" s="678"/>
      <c r="GC5" s="678"/>
      <c r="GD5" s="678"/>
      <c r="GE5" s="678"/>
      <c r="GF5" s="678"/>
      <c r="GG5" s="678"/>
      <c r="GH5" s="678"/>
      <c r="GI5" s="678"/>
      <c r="GJ5" s="678"/>
      <c r="GK5" s="678"/>
      <c r="GL5" s="678"/>
      <c r="GM5" s="678"/>
      <c r="GN5" s="678"/>
      <c r="GO5" s="678"/>
      <c r="GP5" s="678"/>
      <c r="GQ5" s="678"/>
      <c r="GR5" s="678"/>
      <c r="GS5" s="678"/>
      <c r="GT5" s="678"/>
      <c r="GU5" s="678"/>
      <c r="GV5" s="678"/>
      <c r="GW5" s="678"/>
      <c r="GX5" s="678"/>
      <c r="GY5" s="678"/>
      <c r="GZ5" s="678"/>
      <c r="HA5" s="678"/>
      <c r="HB5" s="678"/>
      <c r="HC5" s="678"/>
      <c r="HD5" s="678"/>
      <c r="HE5" s="678"/>
      <c r="HF5" s="678"/>
      <c r="HG5" s="678"/>
      <c r="HH5" s="678"/>
      <c r="HI5" s="678"/>
      <c r="HJ5" s="678"/>
      <c r="HK5" s="678"/>
      <c r="HL5" s="678"/>
      <c r="HM5" s="678"/>
      <c r="HN5" s="678"/>
      <c r="HO5" s="678"/>
      <c r="HP5" s="678"/>
      <c r="HQ5" s="678"/>
      <c r="HR5" s="678"/>
      <c r="HS5" s="678"/>
      <c r="HT5" s="678"/>
      <c r="HU5" s="678"/>
      <c r="HV5" s="678"/>
      <c r="HW5" s="678"/>
      <c r="HX5" s="678"/>
      <c r="HY5" s="678"/>
      <c r="HZ5" s="678"/>
      <c r="IA5" s="678"/>
      <c r="IB5" s="678"/>
      <c r="IC5" s="678"/>
      <c r="ID5" s="678"/>
      <c r="IE5" s="678"/>
      <c r="IF5" s="678"/>
      <c r="IG5" s="678"/>
      <c r="IH5" s="678"/>
      <c r="II5" s="678"/>
      <c r="IJ5" s="678"/>
      <c r="IK5" s="678"/>
      <c r="IL5" s="678"/>
      <c r="IM5" s="678"/>
      <c r="IN5" s="678"/>
      <c r="IO5" s="678"/>
      <c r="IP5" s="678"/>
      <c r="IQ5" s="678"/>
    </row>
    <row r="6" spans="1:251" ht="30" customHeight="1" x14ac:dyDescent="0.3">
      <c r="B6" s="1442" t="s">
        <v>18</v>
      </c>
      <c r="C6" s="1445" t="s">
        <v>19</v>
      </c>
      <c r="D6" s="1448" t="s">
        <v>6</v>
      </c>
      <c r="E6" s="1439" t="s">
        <v>21</v>
      </c>
      <c r="F6" s="1439" t="s">
        <v>660</v>
      </c>
      <c r="G6" s="1457" t="s">
        <v>661</v>
      </c>
      <c r="H6" s="1454" t="s">
        <v>231</v>
      </c>
      <c r="I6" s="1433" t="s">
        <v>581</v>
      </c>
      <c r="J6" s="1434"/>
      <c r="K6" s="1434"/>
      <c r="L6" s="1435"/>
      <c r="M6" s="1436" t="s">
        <v>620</v>
      </c>
    </row>
    <row r="7" spans="1:251" ht="45.75" customHeight="1" x14ac:dyDescent="0.3">
      <c r="B7" s="1443"/>
      <c r="C7" s="1446"/>
      <c r="D7" s="1449"/>
      <c r="E7" s="1440"/>
      <c r="F7" s="1440"/>
      <c r="G7" s="1458"/>
      <c r="H7" s="1455"/>
      <c r="I7" s="682" t="s">
        <v>35</v>
      </c>
      <c r="J7" s="1451" t="s">
        <v>120</v>
      </c>
      <c r="K7" s="1451"/>
      <c r="L7" s="1452" t="s">
        <v>97</v>
      </c>
      <c r="M7" s="1437"/>
    </row>
    <row r="8" spans="1:251" ht="53.25" customHeight="1" thickBot="1" x14ac:dyDescent="0.35">
      <c r="B8" s="1444"/>
      <c r="C8" s="1447"/>
      <c r="D8" s="1450"/>
      <c r="E8" s="1441"/>
      <c r="F8" s="1441"/>
      <c r="G8" s="1459"/>
      <c r="H8" s="1456"/>
      <c r="I8" s="685" t="s">
        <v>38</v>
      </c>
      <c r="J8" s="686" t="s">
        <v>181</v>
      </c>
      <c r="K8" s="686" t="s">
        <v>121</v>
      </c>
      <c r="L8" s="1453"/>
      <c r="M8" s="1438"/>
    </row>
    <row r="9" spans="1:251" ht="23.25" customHeight="1" x14ac:dyDescent="0.3">
      <c r="A9" s="687">
        <v>1</v>
      </c>
      <c r="B9" s="688">
        <v>18</v>
      </c>
      <c r="C9" s="251" t="s">
        <v>29</v>
      </c>
      <c r="D9" s="689"/>
      <c r="E9" s="690"/>
      <c r="F9" s="691"/>
      <c r="G9" s="1254"/>
      <c r="H9" s="692"/>
      <c r="I9" s="693"/>
      <c r="J9" s="694"/>
      <c r="K9" s="694"/>
      <c r="L9" s="695"/>
      <c r="M9" s="696"/>
    </row>
    <row r="10" spans="1:251" ht="32.25" customHeight="1" x14ac:dyDescent="0.3">
      <c r="A10" s="687">
        <v>2</v>
      </c>
      <c r="B10" s="697"/>
      <c r="C10" s="675">
        <v>1</v>
      </c>
      <c r="D10" s="320" t="s">
        <v>347</v>
      </c>
      <c r="E10" s="698">
        <f>F10+G10+L11+M11</f>
        <v>44374</v>
      </c>
      <c r="F10" s="699">
        <f>5652+4318+8001+4020+1207+11176</f>
        <v>34374</v>
      </c>
      <c r="G10" s="1255"/>
      <c r="H10" s="700" t="s">
        <v>23</v>
      </c>
      <c r="I10" s="701"/>
      <c r="J10" s="702"/>
      <c r="K10" s="702"/>
      <c r="L10" s="703"/>
      <c r="M10" s="704"/>
    </row>
    <row r="11" spans="1:251" ht="18" customHeight="1" x14ac:dyDescent="0.3">
      <c r="A11" s="687">
        <v>3</v>
      </c>
      <c r="B11" s="697"/>
      <c r="C11" s="675"/>
      <c r="D11" s="292" t="s">
        <v>238</v>
      </c>
      <c r="E11" s="698"/>
      <c r="F11" s="699"/>
      <c r="G11" s="1255"/>
      <c r="H11" s="700"/>
      <c r="I11" s="701"/>
      <c r="J11" s="702">
        <v>10000</v>
      </c>
      <c r="K11" s="702"/>
      <c r="L11" s="703">
        <f t="shared" ref="L11:L30" si="0">SUM(I11:K11)</f>
        <v>10000</v>
      </c>
      <c r="M11" s="704"/>
    </row>
    <row r="12" spans="1:251" ht="32.25" customHeight="1" x14ac:dyDescent="0.3">
      <c r="A12" s="687">
        <v>4</v>
      </c>
      <c r="B12" s="697"/>
      <c r="C12" s="675">
        <v>2</v>
      </c>
      <c r="D12" s="320" t="s">
        <v>487</v>
      </c>
      <c r="E12" s="698">
        <f>F12+G12</f>
        <v>0</v>
      </c>
      <c r="F12" s="699"/>
      <c r="G12" s="1255"/>
      <c r="H12" s="700" t="s">
        <v>23</v>
      </c>
      <c r="I12" s="701"/>
      <c r="J12" s="702"/>
      <c r="K12" s="702"/>
      <c r="L12" s="703"/>
      <c r="M12" s="704"/>
    </row>
    <row r="13" spans="1:251" ht="22.35" customHeight="1" x14ac:dyDescent="0.3">
      <c r="A13" s="687">
        <v>5</v>
      </c>
      <c r="B13" s="697"/>
      <c r="C13" s="705">
        <v>100</v>
      </c>
      <c r="D13" s="155" t="s">
        <v>469</v>
      </c>
      <c r="E13" s="698">
        <f>F13+G13+L14+M14</f>
        <v>2700</v>
      </c>
      <c r="F13" s="699"/>
      <c r="G13" s="1255"/>
      <c r="H13" s="700" t="s">
        <v>23</v>
      </c>
      <c r="I13" s="701"/>
      <c r="J13" s="702"/>
      <c r="K13" s="702"/>
      <c r="L13" s="703"/>
      <c r="M13" s="704"/>
    </row>
    <row r="14" spans="1:251" ht="18" customHeight="1" x14ac:dyDescent="0.3">
      <c r="A14" s="687">
        <v>6</v>
      </c>
      <c r="B14" s="697"/>
      <c r="C14" s="705"/>
      <c r="D14" s="292" t="s">
        <v>238</v>
      </c>
      <c r="E14" s="698"/>
      <c r="F14" s="699"/>
      <c r="G14" s="1255"/>
      <c r="H14" s="700"/>
      <c r="I14" s="701"/>
      <c r="J14" s="702">
        <v>2700</v>
      </c>
      <c r="K14" s="702"/>
      <c r="L14" s="703">
        <f t="shared" si="0"/>
        <v>2700</v>
      </c>
      <c r="M14" s="704"/>
    </row>
    <row r="15" spans="1:251" ht="22.5" customHeight="1" x14ac:dyDescent="0.3">
      <c r="A15" s="687">
        <v>7</v>
      </c>
      <c r="B15" s="697"/>
      <c r="C15" s="705">
        <v>173</v>
      </c>
      <c r="D15" s="155" t="s">
        <v>509</v>
      </c>
      <c r="E15" s="698">
        <f>F15+G15+L16+M16</f>
        <v>45212</v>
      </c>
      <c r="F15" s="699"/>
      <c r="G15" s="1255">
        <v>13868</v>
      </c>
      <c r="H15" s="700" t="s">
        <v>23</v>
      </c>
      <c r="I15" s="701"/>
      <c r="J15" s="702"/>
      <c r="K15" s="702"/>
      <c r="L15" s="703"/>
      <c r="M15" s="704"/>
    </row>
    <row r="16" spans="1:251" ht="18" customHeight="1" x14ac:dyDescent="0.3">
      <c r="A16" s="687">
        <v>8</v>
      </c>
      <c r="B16" s="697"/>
      <c r="C16" s="705"/>
      <c r="D16" s="292" t="s">
        <v>238</v>
      </c>
      <c r="E16" s="698"/>
      <c r="F16" s="699"/>
      <c r="G16" s="1255"/>
      <c r="H16" s="700"/>
      <c r="I16" s="701"/>
      <c r="J16" s="702">
        <v>5944</v>
      </c>
      <c r="K16" s="702"/>
      <c r="L16" s="703">
        <f t="shared" si="0"/>
        <v>5944</v>
      </c>
      <c r="M16" s="704">
        <v>25400</v>
      </c>
    </row>
    <row r="17" spans="1:251" ht="22.35" customHeight="1" x14ac:dyDescent="0.3">
      <c r="A17" s="687">
        <v>9</v>
      </c>
      <c r="B17" s="697"/>
      <c r="C17" s="705">
        <v>3</v>
      </c>
      <c r="D17" s="706" t="s">
        <v>325</v>
      </c>
      <c r="E17" s="698">
        <f t="shared" ref="E17:E20" si="1">F17+G17+L17+M17</f>
        <v>3820</v>
      </c>
      <c r="F17" s="699">
        <f>3210+110+100+100+100+100+100</f>
        <v>3820</v>
      </c>
      <c r="G17" s="1255"/>
      <c r="H17" s="700" t="s">
        <v>24</v>
      </c>
      <c r="I17" s="701"/>
      <c r="J17" s="702"/>
      <c r="K17" s="702"/>
      <c r="L17" s="703"/>
      <c r="M17" s="704"/>
    </row>
    <row r="18" spans="1:251" ht="22.15" customHeight="1" x14ac:dyDescent="0.3">
      <c r="A18" s="687">
        <v>10</v>
      </c>
      <c r="B18" s="697"/>
      <c r="C18" s="705">
        <v>4</v>
      </c>
      <c r="D18" s="706" t="s">
        <v>326</v>
      </c>
      <c r="E18" s="698">
        <f t="shared" si="1"/>
        <v>203670</v>
      </c>
      <c r="F18" s="699">
        <f>84090+35890+22900+22900+22900+14990</f>
        <v>203670</v>
      </c>
      <c r="G18" s="1255"/>
      <c r="H18" s="700" t="s">
        <v>24</v>
      </c>
      <c r="I18" s="701"/>
      <c r="J18" s="702"/>
      <c r="K18" s="702"/>
      <c r="L18" s="703"/>
      <c r="M18" s="704"/>
    </row>
    <row r="19" spans="1:251" ht="22.15" customHeight="1" x14ac:dyDescent="0.3">
      <c r="A19" s="687">
        <v>11</v>
      </c>
      <c r="B19" s="697"/>
      <c r="C19" s="705">
        <v>5</v>
      </c>
      <c r="D19" s="706" t="s">
        <v>327</v>
      </c>
      <c r="E19" s="698">
        <f t="shared" si="1"/>
        <v>6600</v>
      </c>
      <c r="F19" s="699">
        <f>100+1500+2000+1000+1000</f>
        <v>5600</v>
      </c>
      <c r="G19" s="1255">
        <v>1000</v>
      </c>
      <c r="H19" s="700" t="s">
        <v>24</v>
      </c>
      <c r="I19" s="701"/>
      <c r="J19" s="702"/>
      <c r="K19" s="702"/>
      <c r="L19" s="703"/>
      <c r="M19" s="704"/>
    </row>
    <row r="20" spans="1:251" ht="22.15" customHeight="1" x14ac:dyDescent="0.3">
      <c r="A20" s="687">
        <v>12</v>
      </c>
      <c r="B20" s="697"/>
      <c r="C20" s="705">
        <v>6</v>
      </c>
      <c r="D20" s="706" t="s">
        <v>328</v>
      </c>
      <c r="E20" s="698">
        <f t="shared" si="1"/>
        <v>773100</v>
      </c>
      <c r="F20" s="699">
        <f>82900+195200+98000+99000+99000</f>
        <v>574100</v>
      </c>
      <c r="G20" s="1255">
        <v>199000</v>
      </c>
      <c r="H20" s="700" t="s">
        <v>24</v>
      </c>
      <c r="I20" s="701"/>
      <c r="J20" s="702"/>
      <c r="K20" s="702"/>
      <c r="L20" s="703"/>
      <c r="M20" s="704"/>
    </row>
    <row r="21" spans="1:251" ht="22.15" customHeight="1" x14ac:dyDescent="0.3">
      <c r="A21" s="687">
        <v>13</v>
      </c>
      <c r="B21" s="697"/>
      <c r="C21" s="705">
        <v>203</v>
      </c>
      <c r="D21" s="1098" t="s">
        <v>746</v>
      </c>
      <c r="E21" s="698"/>
      <c r="F21" s="699"/>
      <c r="G21" s="1255">
        <v>100</v>
      </c>
      <c r="H21" s="700" t="s">
        <v>24</v>
      </c>
      <c r="I21" s="701"/>
      <c r="J21" s="702"/>
      <c r="K21" s="702"/>
      <c r="L21" s="703"/>
      <c r="M21" s="704"/>
    </row>
    <row r="22" spans="1:251" ht="22.15" customHeight="1" x14ac:dyDescent="0.3">
      <c r="A22" s="687">
        <v>14</v>
      </c>
      <c r="B22" s="697"/>
      <c r="C22" s="705">
        <v>204</v>
      </c>
      <c r="D22" s="1098" t="s">
        <v>747</v>
      </c>
      <c r="E22" s="698"/>
      <c r="F22" s="699"/>
      <c r="G22" s="1255">
        <v>44900</v>
      </c>
      <c r="H22" s="700" t="s">
        <v>24</v>
      </c>
      <c r="I22" s="701"/>
      <c r="J22" s="702"/>
      <c r="K22" s="702"/>
      <c r="L22" s="703"/>
      <c r="M22" s="704"/>
    </row>
    <row r="23" spans="1:251" ht="22.15" customHeight="1" x14ac:dyDescent="0.3">
      <c r="A23" s="687">
        <v>15</v>
      </c>
      <c r="B23" s="697"/>
      <c r="C23" s="705">
        <v>7</v>
      </c>
      <c r="D23" s="155" t="s">
        <v>296</v>
      </c>
      <c r="E23" s="698">
        <f>F23+G23+L24+M24</f>
        <v>189925</v>
      </c>
      <c r="F23" s="699">
        <f>8127+11064+7643+7255+1255+30618+20661</f>
        <v>86623</v>
      </c>
      <c r="G23" s="1255">
        <v>8734</v>
      </c>
      <c r="H23" s="700" t="s">
        <v>24</v>
      </c>
      <c r="I23" s="701"/>
      <c r="J23" s="702"/>
      <c r="K23" s="702"/>
      <c r="L23" s="703"/>
      <c r="M23" s="704"/>
    </row>
    <row r="24" spans="1:251" ht="18" customHeight="1" x14ac:dyDescent="0.3">
      <c r="A24" s="687">
        <v>16</v>
      </c>
      <c r="B24" s="697"/>
      <c r="C24" s="705"/>
      <c r="D24" s="292" t="s">
        <v>238</v>
      </c>
      <c r="E24" s="698"/>
      <c r="F24" s="699"/>
      <c r="G24" s="1255"/>
      <c r="H24" s="700"/>
      <c r="I24" s="701">
        <f>7071+16726</f>
        <v>23797</v>
      </c>
      <c r="J24" s="702">
        <f>48027+44461-34217+12500</f>
        <v>70771</v>
      </c>
      <c r="K24" s="702"/>
      <c r="L24" s="703">
        <f t="shared" si="0"/>
        <v>94568</v>
      </c>
      <c r="M24" s="704"/>
    </row>
    <row r="25" spans="1:251" ht="32.25" customHeight="1" x14ac:dyDescent="0.3">
      <c r="A25" s="687">
        <v>17</v>
      </c>
      <c r="B25" s="697"/>
      <c r="C25" s="675">
        <v>8</v>
      </c>
      <c r="D25" s="320" t="s">
        <v>578</v>
      </c>
      <c r="E25" s="698">
        <f>F25+G25+L26+M26</f>
        <v>130837</v>
      </c>
      <c r="F25" s="699">
        <f>9028+6276+15308</f>
        <v>30612</v>
      </c>
      <c r="G25" s="1255">
        <v>54450</v>
      </c>
      <c r="H25" s="700" t="s">
        <v>24</v>
      </c>
      <c r="I25" s="701"/>
      <c r="J25" s="702"/>
      <c r="K25" s="702"/>
      <c r="L25" s="703"/>
      <c r="M25" s="704"/>
    </row>
    <row r="26" spans="1:251" ht="18" customHeight="1" x14ac:dyDescent="0.3">
      <c r="A26" s="687">
        <v>18</v>
      </c>
      <c r="B26" s="697"/>
      <c r="C26" s="675"/>
      <c r="D26" s="292" t="s">
        <v>238</v>
      </c>
      <c r="E26" s="698"/>
      <c r="F26" s="699"/>
      <c r="G26" s="1255"/>
      <c r="H26" s="700"/>
      <c r="I26" s="701">
        <f>114+2475</f>
        <v>2589</v>
      </c>
      <c r="J26" s="702">
        <f>63476-29462+9172</f>
        <v>43186</v>
      </c>
      <c r="K26" s="702"/>
      <c r="L26" s="703">
        <f t="shared" si="0"/>
        <v>45775</v>
      </c>
      <c r="M26" s="704"/>
    </row>
    <row r="27" spans="1:251" ht="22.15" customHeight="1" x14ac:dyDescent="0.3">
      <c r="A27" s="687">
        <v>19</v>
      </c>
      <c r="B27" s="697"/>
      <c r="C27" s="705">
        <v>27</v>
      </c>
      <c r="D27" s="155" t="s">
        <v>363</v>
      </c>
      <c r="E27" s="698">
        <f>F27+G27+L28+M28</f>
        <v>4496</v>
      </c>
      <c r="F27" s="699">
        <f>2473+264</f>
        <v>2737</v>
      </c>
      <c r="G27" s="1255">
        <v>149</v>
      </c>
      <c r="H27" s="700" t="s">
        <v>24</v>
      </c>
      <c r="I27" s="701"/>
      <c r="J27" s="702"/>
      <c r="K27" s="702"/>
      <c r="L27" s="703"/>
      <c r="M27" s="704"/>
    </row>
    <row r="28" spans="1:251" ht="18" customHeight="1" x14ac:dyDescent="0.3">
      <c r="A28" s="687">
        <v>20</v>
      </c>
      <c r="B28" s="697"/>
      <c r="C28" s="705"/>
      <c r="D28" s="292" t="s">
        <v>238</v>
      </c>
      <c r="E28" s="698"/>
      <c r="F28" s="699"/>
      <c r="G28" s="1255"/>
      <c r="H28" s="700"/>
      <c r="I28" s="701">
        <v>587</v>
      </c>
      <c r="J28" s="702">
        <v>1023</v>
      </c>
      <c r="K28" s="702"/>
      <c r="L28" s="703">
        <f t="shared" si="0"/>
        <v>1610</v>
      </c>
      <c r="M28" s="704"/>
    </row>
    <row r="29" spans="1:251" ht="69.75" customHeight="1" x14ac:dyDescent="0.3">
      <c r="A29" s="687">
        <v>21</v>
      </c>
      <c r="B29" s="697"/>
      <c r="C29" s="675">
        <v>30</v>
      </c>
      <c r="D29" s="320" t="s">
        <v>561</v>
      </c>
      <c r="E29" s="698">
        <f>F29+G29+L30+M30</f>
        <v>6298</v>
      </c>
      <c r="F29" s="699">
        <f>65+862</f>
        <v>927</v>
      </c>
      <c r="G29" s="1255">
        <v>1445</v>
      </c>
      <c r="H29" s="700" t="s">
        <v>24</v>
      </c>
      <c r="I29" s="707"/>
      <c r="J29" s="698"/>
      <c r="K29" s="698"/>
      <c r="L29" s="703"/>
      <c r="M29" s="704"/>
      <c r="N29" s="708"/>
      <c r="O29" s="708"/>
      <c r="P29" s="708"/>
      <c r="Q29" s="708"/>
      <c r="R29" s="708"/>
      <c r="S29" s="708"/>
      <c r="T29" s="708"/>
      <c r="U29" s="708"/>
      <c r="V29" s="708"/>
      <c r="W29" s="708"/>
      <c r="X29" s="708"/>
      <c r="Y29" s="708"/>
      <c r="Z29" s="708"/>
      <c r="AA29" s="708"/>
      <c r="AB29" s="708"/>
      <c r="AC29" s="708"/>
      <c r="AD29" s="708"/>
      <c r="AE29" s="708"/>
      <c r="AF29" s="708"/>
      <c r="AG29" s="708"/>
      <c r="AH29" s="708"/>
      <c r="AI29" s="708"/>
      <c r="AJ29" s="708"/>
      <c r="AK29" s="708"/>
      <c r="AL29" s="708"/>
      <c r="AM29" s="708"/>
      <c r="AN29" s="708"/>
      <c r="AO29" s="708"/>
      <c r="AP29" s="708"/>
      <c r="AQ29" s="708"/>
      <c r="AR29" s="708"/>
      <c r="AS29" s="708"/>
      <c r="AT29" s="708"/>
      <c r="AU29" s="708"/>
      <c r="AV29" s="708"/>
      <c r="AW29" s="708"/>
      <c r="AX29" s="708"/>
      <c r="AY29" s="708"/>
      <c r="AZ29" s="708"/>
      <c r="BA29" s="708"/>
      <c r="BB29" s="708"/>
      <c r="BC29" s="708"/>
      <c r="BD29" s="708"/>
      <c r="BE29" s="708"/>
      <c r="BF29" s="708"/>
      <c r="BG29" s="708"/>
      <c r="BH29" s="708"/>
      <c r="BI29" s="708"/>
      <c r="BJ29" s="708"/>
      <c r="BK29" s="708"/>
      <c r="BL29" s="708"/>
      <c r="BM29" s="708"/>
      <c r="BN29" s="708"/>
      <c r="BO29" s="708"/>
      <c r="BP29" s="708"/>
      <c r="BQ29" s="708"/>
      <c r="BR29" s="708"/>
      <c r="BS29" s="708"/>
      <c r="BT29" s="708"/>
      <c r="BU29" s="708"/>
      <c r="BV29" s="708"/>
      <c r="BW29" s="708"/>
      <c r="BX29" s="708"/>
      <c r="BY29" s="708"/>
      <c r="BZ29" s="708"/>
      <c r="CA29" s="708"/>
      <c r="CB29" s="708"/>
      <c r="CC29" s="708"/>
      <c r="CD29" s="708"/>
      <c r="CE29" s="708"/>
      <c r="CF29" s="708"/>
      <c r="CG29" s="708"/>
      <c r="CH29" s="708"/>
      <c r="CI29" s="708"/>
      <c r="CJ29" s="708"/>
      <c r="CK29" s="708"/>
      <c r="CL29" s="708"/>
      <c r="CM29" s="708"/>
      <c r="CN29" s="708"/>
      <c r="CO29" s="708"/>
      <c r="CP29" s="708"/>
      <c r="CQ29" s="708"/>
      <c r="CR29" s="708"/>
      <c r="CS29" s="708"/>
      <c r="CT29" s="708"/>
      <c r="CU29" s="708"/>
      <c r="CV29" s="708"/>
      <c r="CW29" s="708"/>
      <c r="CX29" s="708"/>
      <c r="CY29" s="708"/>
      <c r="CZ29" s="708"/>
      <c r="DA29" s="708"/>
      <c r="DB29" s="708"/>
      <c r="DC29" s="708"/>
      <c r="DD29" s="708"/>
      <c r="DE29" s="708"/>
      <c r="DF29" s="708"/>
      <c r="DG29" s="708"/>
      <c r="DH29" s="708"/>
      <c r="DI29" s="708"/>
      <c r="DJ29" s="708"/>
      <c r="DK29" s="708"/>
      <c r="DL29" s="708"/>
      <c r="DM29" s="708"/>
      <c r="DN29" s="708"/>
      <c r="DO29" s="708"/>
      <c r="DP29" s="708"/>
      <c r="DQ29" s="708"/>
      <c r="DR29" s="708"/>
      <c r="DS29" s="708"/>
      <c r="DT29" s="708"/>
      <c r="DU29" s="708"/>
      <c r="DV29" s="708"/>
      <c r="DW29" s="708"/>
      <c r="DX29" s="708"/>
      <c r="DY29" s="708"/>
      <c r="DZ29" s="708"/>
      <c r="EA29" s="708"/>
      <c r="EB29" s="708"/>
      <c r="EC29" s="708"/>
      <c r="ED29" s="708"/>
      <c r="EE29" s="708"/>
      <c r="EF29" s="708"/>
      <c r="EG29" s="708"/>
      <c r="EH29" s="708"/>
      <c r="EI29" s="708"/>
      <c r="EJ29" s="708"/>
      <c r="EK29" s="708"/>
      <c r="EL29" s="708"/>
      <c r="EM29" s="708"/>
      <c r="EN29" s="708"/>
      <c r="EO29" s="708"/>
      <c r="EP29" s="708"/>
      <c r="EQ29" s="708"/>
      <c r="ER29" s="708"/>
      <c r="ES29" s="708"/>
      <c r="ET29" s="708"/>
      <c r="EU29" s="708"/>
      <c r="EV29" s="708"/>
      <c r="EW29" s="708"/>
      <c r="EX29" s="708"/>
      <c r="EY29" s="708"/>
      <c r="EZ29" s="708"/>
      <c r="FA29" s="708"/>
      <c r="FB29" s="708"/>
      <c r="FC29" s="708"/>
      <c r="FD29" s="708"/>
      <c r="FE29" s="708"/>
      <c r="FF29" s="708"/>
      <c r="FG29" s="708"/>
      <c r="FH29" s="708"/>
      <c r="FI29" s="708"/>
      <c r="FJ29" s="708"/>
      <c r="FK29" s="708"/>
      <c r="FL29" s="708"/>
      <c r="FM29" s="708"/>
      <c r="FN29" s="708"/>
      <c r="FO29" s="708"/>
      <c r="FP29" s="708"/>
      <c r="FQ29" s="708"/>
      <c r="FR29" s="708"/>
      <c r="FS29" s="708"/>
      <c r="FT29" s="708"/>
      <c r="FU29" s="708"/>
      <c r="FV29" s="708"/>
      <c r="FW29" s="708"/>
      <c r="FX29" s="708"/>
      <c r="FY29" s="708"/>
      <c r="FZ29" s="708"/>
      <c r="GA29" s="708"/>
      <c r="GB29" s="708"/>
      <c r="GC29" s="708"/>
      <c r="GD29" s="708"/>
      <c r="GE29" s="708"/>
      <c r="GF29" s="708"/>
      <c r="GG29" s="708"/>
      <c r="GH29" s="708"/>
      <c r="GI29" s="708"/>
      <c r="GJ29" s="708"/>
      <c r="GK29" s="708"/>
      <c r="GL29" s="708"/>
      <c r="GM29" s="708"/>
      <c r="GN29" s="708"/>
      <c r="GO29" s="708"/>
      <c r="GP29" s="708"/>
      <c r="GQ29" s="708"/>
      <c r="GR29" s="708"/>
      <c r="GS29" s="708"/>
      <c r="GT29" s="708"/>
      <c r="GU29" s="708"/>
      <c r="GV29" s="708"/>
      <c r="GW29" s="708"/>
      <c r="GX29" s="708"/>
      <c r="GY29" s="708"/>
      <c r="GZ29" s="708"/>
      <c r="HA29" s="708"/>
      <c r="HB29" s="708"/>
      <c r="HC29" s="708"/>
      <c r="HD29" s="708"/>
      <c r="HE29" s="708"/>
      <c r="HF29" s="708"/>
      <c r="HG29" s="708"/>
      <c r="HH29" s="708"/>
      <c r="HI29" s="708"/>
      <c r="HJ29" s="708"/>
      <c r="HK29" s="708"/>
      <c r="HL29" s="708"/>
      <c r="HM29" s="708"/>
      <c r="HN29" s="708"/>
      <c r="HO29" s="708"/>
      <c r="HP29" s="708"/>
      <c r="HQ29" s="708"/>
      <c r="HR29" s="708"/>
      <c r="HS29" s="708"/>
      <c r="HT29" s="708"/>
      <c r="HU29" s="708"/>
      <c r="HV29" s="708"/>
      <c r="HW29" s="708"/>
      <c r="HX29" s="708"/>
      <c r="HY29" s="708"/>
      <c r="HZ29" s="708"/>
      <c r="IA29" s="708"/>
      <c r="IB29" s="708"/>
      <c r="IC29" s="708"/>
      <c r="ID29" s="708"/>
      <c r="IE29" s="708"/>
      <c r="IF29" s="708"/>
      <c r="IG29" s="708"/>
      <c r="IH29" s="708"/>
      <c r="II29" s="708"/>
      <c r="IJ29" s="708"/>
      <c r="IK29" s="708"/>
      <c r="IL29" s="708"/>
      <c r="IM29" s="708"/>
      <c r="IN29" s="708"/>
      <c r="IO29" s="708"/>
      <c r="IP29" s="708"/>
      <c r="IQ29" s="708"/>
    </row>
    <row r="30" spans="1:251" ht="18" customHeight="1" x14ac:dyDescent="0.3">
      <c r="A30" s="687">
        <v>22</v>
      </c>
      <c r="B30" s="697"/>
      <c r="C30" s="675"/>
      <c r="D30" s="292" t="s">
        <v>238</v>
      </c>
      <c r="E30" s="698"/>
      <c r="F30" s="699"/>
      <c r="G30" s="1255"/>
      <c r="H30" s="700"/>
      <c r="I30" s="707"/>
      <c r="J30" s="698">
        <v>3926</v>
      </c>
      <c r="K30" s="698"/>
      <c r="L30" s="703">
        <f t="shared" si="0"/>
        <v>3926</v>
      </c>
      <c r="M30" s="704"/>
      <c r="N30" s="708"/>
      <c r="O30" s="708"/>
      <c r="P30" s="708"/>
      <c r="Q30" s="708"/>
      <c r="R30" s="708"/>
      <c r="S30" s="708"/>
      <c r="T30" s="708"/>
      <c r="U30" s="708"/>
      <c r="V30" s="708"/>
      <c r="W30" s="708"/>
      <c r="X30" s="708"/>
      <c r="Y30" s="708"/>
      <c r="Z30" s="708"/>
      <c r="AA30" s="708"/>
      <c r="AB30" s="708"/>
      <c r="AC30" s="708"/>
      <c r="AD30" s="708"/>
      <c r="AE30" s="708"/>
      <c r="AF30" s="708"/>
      <c r="AG30" s="708"/>
      <c r="AH30" s="708"/>
      <c r="AI30" s="708"/>
      <c r="AJ30" s="708"/>
      <c r="AK30" s="708"/>
      <c r="AL30" s="708"/>
      <c r="AM30" s="708"/>
      <c r="AN30" s="708"/>
      <c r="AO30" s="708"/>
      <c r="AP30" s="708"/>
      <c r="AQ30" s="708"/>
      <c r="AR30" s="708"/>
      <c r="AS30" s="708"/>
      <c r="AT30" s="708"/>
      <c r="AU30" s="708"/>
      <c r="AV30" s="708"/>
      <c r="AW30" s="708"/>
      <c r="AX30" s="708"/>
      <c r="AY30" s="708"/>
      <c r="AZ30" s="708"/>
      <c r="BA30" s="708"/>
      <c r="BB30" s="708"/>
      <c r="BC30" s="708"/>
      <c r="BD30" s="708"/>
      <c r="BE30" s="708"/>
      <c r="BF30" s="708"/>
      <c r="BG30" s="708"/>
      <c r="BH30" s="708"/>
      <c r="BI30" s="708"/>
      <c r="BJ30" s="708"/>
      <c r="BK30" s="708"/>
      <c r="BL30" s="708"/>
      <c r="BM30" s="708"/>
      <c r="BN30" s="708"/>
      <c r="BO30" s="708"/>
      <c r="BP30" s="708"/>
      <c r="BQ30" s="708"/>
      <c r="BR30" s="708"/>
      <c r="BS30" s="708"/>
      <c r="BT30" s="708"/>
      <c r="BU30" s="708"/>
      <c r="BV30" s="708"/>
      <c r="BW30" s="708"/>
      <c r="BX30" s="708"/>
      <c r="BY30" s="708"/>
      <c r="BZ30" s="708"/>
      <c r="CA30" s="708"/>
      <c r="CB30" s="708"/>
      <c r="CC30" s="708"/>
      <c r="CD30" s="708"/>
      <c r="CE30" s="708"/>
      <c r="CF30" s="708"/>
      <c r="CG30" s="708"/>
      <c r="CH30" s="708"/>
      <c r="CI30" s="708"/>
      <c r="CJ30" s="708"/>
      <c r="CK30" s="708"/>
      <c r="CL30" s="708"/>
      <c r="CM30" s="708"/>
      <c r="CN30" s="708"/>
      <c r="CO30" s="708"/>
      <c r="CP30" s="708"/>
      <c r="CQ30" s="708"/>
      <c r="CR30" s="708"/>
      <c r="CS30" s="708"/>
      <c r="CT30" s="708"/>
      <c r="CU30" s="708"/>
      <c r="CV30" s="708"/>
      <c r="CW30" s="708"/>
      <c r="CX30" s="708"/>
      <c r="CY30" s="708"/>
      <c r="CZ30" s="708"/>
      <c r="DA30" s="708"/>
      <c r="DB30" s="708"/>
      <c r="DC30" s="708"/>
      <c r="DD30" s="708"/>
      <c r="DE30" s="708"/>
      <c r="DF30" s="708"/>
      <c r="DG30" s="708"/>
      <c r="DH30" s="708"/>
      <c r="DI30" s="708"/>
      <c r="DJ30" s="708"/>
      <c r="DK30" s="708"/>
      <c r="DL30" s="708"/>
      <c r="DM30" s="708"/>
      <c r="DN30" s="708"/>
      <c r="DO30" s="708"/>
      <c r="DP30" s="708"/>
      <c r="DQ30" s="708"/>
      <c r="DR30" s="708"/>
      <c r="DS30" s="708"/>
      <c r="DT30" s="708"/>
      <c r="DU30" s="708"/>
      <c r="DV30" s="708"/>
      <c r="DW30" s="708"/>
      <c r="DX30" s="708"/>
      <c r="DY30" s="708"/>
      <c r="DZ30" s="708"/>
      <c r="EA30" s="708"/>
      <c r="EB30" s="708"/>
      <c r="EC30" s="708"/>
      <c r="ED30" s="708"/>
      <c r="EE30" s="708"/>
      <c r="EF30" s="708"/>
      <c r="EG30" s="708"/>
      <c r="EH30" s="708"/>
      <c r="EI30" s="708"/>
      <c r="EJ30" s="708"/>
      <c r="EK30" s="708"/>
      <c r="EL30" s="708"/>
      <c r="EM30" s="708"/>
      <c r="EN30" s="708"/>
      <c r="EO30" s="708"/>
      <c r="EP30" s="708"/>
      <c r="EQ30" s="708"/>
      <c r="ER30" s="708"/>
      <c r="ES30" s="708"/>
      <c r="ET30" s="708"/>
      <c r="EU30" s="708"/>
      <c r="EV30" s="708"/>
      <c r="EW30" s="708"/>
      <c r="EX30" s="708"/>
      <c r="EY30" s="708"/>
      <c r="EZ30" s="708"/>
      <c r="FA30" s="708"/>
      <c r="FB30" s="708"/>
      <c r="FC30" s="708"/>
      <c r="FD30" s="708"/>
      <c r="FE30" s="708"/>
      <c r="FF30" s="708"/>
      <c r="FG30" s="708"/>
      <c r="FH30" s="708"/>
      <c r="FI30" s="708"/>
      <c r="FJ30" s="708"/>
      <c r="FK30" s="708"/>
      <c r="FL30" s="708"/>
      <c r="FM30" s="708"/>
      <c r="FN30" s="708"/>
      <c r="FO30" s="708"/>
      <c r="FP30" s="708"/>
      <c r="FQ30" s="708"/>
      <c r="FR30" s="708"/>
      <c r="FS30" s="708"/>
      <c r="FT30" s="708"/>
      <c r="FU30" s="708"/>
      <c r="FV30" s="708"/>
      <c r="FW30" s="708"/>
      <c r="FX30" s="708"/>
      <c r="FY30" s="708"/>
      <c r="FZ30" s="708"/>
      <c r="GA30" s="708"/>
      <c r="GB30" s="708"/>
      <c r="GC30" s="708"/>
      <c r="GD30" s="708"/>
      <c r="GE30" s="708"/>
      <c r="GF30" s="708"/>
      <c r="GG30" s="708"/>
      <c r="GH30" s="708"/>
      <c r="GI30" s="708"/>
      <c r="GJ30" s="708"/>
      <c r="GK30" s="708"/>
      <c r="GL30" s="708"/>
      <c r="GM30" s="708"/>
      <c r="GN30" s="708"/>
      <c r="GO30" s="708"/>
      <c r="GP30" s="708"/>
      <c r="GQ30" s="708"/>
      <c r="GR30" s="708"/>
      <c r="GS30" s="708"/>
      <c r="GT30" s="708"/>
      <c r="GU30" s="708"/>
      <c r="GV30" s="708"/>
      <c r="GW30" s="708"/>
      <c r="GX30" s="708"/>
      <c r="GY30" s="708"/>
      <c r="GZ30" s="708"/>
      <c r="HA30" s="708"/>
      <c r="HB30" s="708"/>
      <c r="HC30" s="708"/>
      <c r="HD30" s="708"/>
      <c r="HE30" s="708"/>
      <c r="HF30" s="708"/>
      <c r="HG30" s="708"/>
      <c r="HH30" s="708"/>
      <c r="HI30" s="708"/>
      <c r="HJ30" s="708"/>
      <c r="HK30" s="708"/>
      <c r="HL30" s="708"/>
      <c r="HM30" s="708"/>
      <c r="HN30" s="708"/>
      <c r="HO30" s="708"/>
      <c r="HP30" s="708"/>
      <c r="HQ30" s="708"/>
      <c r="HR30" s="708"/>
      <c r="HS30" s="708"/>
      <c r="HT30" s="708"/>
      <c r="HU30" s="708"/>
      <c r="HV30" s="708"/>
      <c r="HW30" s="708"/>
      <c r="HX30" s="708"/>
      <c r="HY30" s="708"/>
      <c r="HZ30" s="708"/>
      <c r="IA30" s="708"/>
      <c r="IB30" s="708"/>
      <c r="IC30" s="708"/>
      <c r="ID30" s="708"/>
      <c r="IE30" s="708"/>
      <c r="IF30" s="708"/>
      <c r="IG30" s="708"/>
      <c r="IH30" s="708"/>
      <c r="II30" s="708"/>
      <c r="IJ30" s="708"/>
      <c r="IK30" s="708"/>
      <c r="IL30" s="708"/>
      <c r="IM30" s="708"/>
      <c r="IN30" s="708"/>
      <c r="IO30" s="708"/>
      <c r="IP30" s="708"/>
      <c r="IQ30" s="708"/>
    </row>
    <row r="31" spans="1:251" ht="22.15" customHeight="1" x14ac:dyDescent="0.35">
      <c r="A31" s="687">
        <v>23</v>
      </c>
      <c r="B31" s="697"/>
      <c r="C31" s="705">
        <v>37</v>
      </c>
      <c r="D31" s="710" t="s">
        <v>373</v>
      </c>
      <c r="E31" s="698">
        <f>F31+G31+L32+M32</f>
        <v>18840</v>
      </c>
      <c r="F31" s="699">
        <f>850+5112</f>
        <v>5962</v>
      </c>
      <c r="G31" s="1111">
        <v>7785</v>
      </c>
      <c r="H31" s="711" t="s">
        <v>24</v>
      </c>
      <c r="I31" s="698"/>
      <c r="J31" s="698"/>
      <c r="K31" s="698"/>
      <c r="L31" s="712"/>
      <c r="M31" s="709"/>
    </row>
    <row r="32" spans="1:251" ht="18" customHeight="1" x14ac:dyDescent="0.3">
      <c r="A32" s="687">
        <v>24</v>
      </c>
      <c r="B32" s="697"/>
      <c r="C32" s="675"/>
      <c r="D32" s="713" t="s">
        <v>238</v>
      </c>
      <c r="E32" s="698"/>
      <c r="F32" s="699"/>
      <c r="G32" s="1111"/>
      <c r="H32" s="711"/>
      <c r="I32" s="698"/>
      <c r="J32" s="714">
        <f>J34+J36+J38+J40+J42</f>
        <v>4943</v>
      </c>
      <c r="K32" s="714">
        <f>K34+K36+K38+K40+K42</f>
        <v>150</v>
      </c>
      <c r="L32" s="715">
        <f t="shared" ref="L32:L50" si="2">SUM(I32:K32)</f>
        <v>5093</v>
      </c>
      <c r="M32" s="709"/>
    </row>
    <row r="33" spans="1:13" ht="33.75" customHeight="1" x14ac:dyDescent="0.3">
      <c r="A33" s="687">
        <v>25</v>
      </c>
      <c r="B33" s="697"/>
      <c r="C33" s="675"/>
      <c r="D33" s="164" t="s">
        <v>473</v>
      </c>
      <c r="E33" s="716">
        <f>F33+G33+L34</f>
        <v>150</v>
      </c>
      <c r="F33" s="699"/>
      <c r="G33" s="1111"/>
      <c r="H33" s="711"/>
      <c r="I33" s="698"/>
      <c r="J33" s="717"/>
      <c r="K33" s="717"/>
      <c r="L33" s="718"/>
      <c r="M33" s="709"/>
    </row>
    <row r="34" spans="1:13" ht="18" customHeight="1" x14ac:dyDescent="0.3">
      <c r="A34" s="687">
        <v>26</v>
      </c>
      <c r="B34" s="697"/>
      <c r="C34" s="675"/>
      <c r="D34" s="322" t="s">
        <v>238</v>
      </c>
      <c r="E34" s="698"/>
      <c r="F34" s="699"/>
      <c r="G34" s="1111"/>
      <c r="H34" s="711"/>
      <c r="I34" s="698"/>
      <c r="J34" s="717"/>
      <c r="K34" s="716">
        <v>150</v>
      </c>
      <c r="L34" s="719">
        <f t="shared" si="2"/>
        <v>150</v>
      </c>
      <c r="M34" s="709"/>
    </row>
    <row r="35" spans="1:13" ht="18" customHeight="1" x14ac:dyDescent="0.3">
      <c r="A35" s="687">
        <v>27</v>
      </c>
      <c r="B35" s="697"/>
      <c r="C35" s="675"/>
      <c r="D35" s="164" t="s">
        <v>579</v>
      </c>
      <c r="E35" s="716">
        <f>F35+G35+L36</f>
        <v>300</v>
      </c>
      <c r="F35" s="699"/>
      <c r="G35" s="1111"/>
      <c r="H35" s="711"/>
      <c r="I35" s="698"/>
      <c r="J35" s="716"/>
      <c r="K35" s="716"/>
      <c r="L35" s="719"/>
      <c r="M35" s="709"/>
    </row>
    <row r="36" spans="1:13" ht="18" customHeight="1" x14ac:dyDescent="0.3">
      <c r="A36" s="687">
        <v>28</v>
      </c>
      <c r="B36" s="697"/>
      <c r="C36" s="675"/>
      <c r="D36" s="322" t="s">
        <v>238</v>
      </c>
      <c r="E36" s="698"/>
      <c r="F36" s="699"/>
      <c r="G36" s="1111"/>
      <c r="H36" s="711"/>
      <c r="I36" s="698"/>
      <c r="J36" s="716">
        <v>300</v>
      </c>
      <c r="K36" s="716"/>
      <c r="L36" s="719">
        <f t="shared" si="2"/>
        <v>300</v>
      </c>
      <c r="M36" s="709"/>
    </row>
    <row r="37" spans="1:13" ht="18" customHeight="1" x14ac:dyDescent="0.3">
      <c r="A37" s="687">
        <v>29</v>
      </c>
      <c r="B37" s="697"/>
      <c r="C37" s="675"/>
      <c r="D37" s="164" t="s">
        <v>580</v>
      </c>
      <c r="E37" s="716">
        <f>F37+G37+L38</f>
        <v>1200</v>
      </c>
      <c r="F37" s="699"/>
      <c r="G37" s="1111"/>
      <c r="H37" s="711"/>
      <c r="I37" s="698"/>
      <c r="J37" s="716"/>
      <c r="K37" s="716"/>
      <c r="L37" s="719"/>
      <c r="M37" s="709"/>
    </row>
    <row r="38" spans="1:13" ht="18" customHeight="1" x14ac:dyDescent="0.3">
      <c r="A38" s="687">
        <v>30</v>
      </c>
      <c r="B38" s="697"/>
      <c r="C38" s="675"/>
      <c r="D38" s="322" t="s">
        <v>238</v>
      </c>
      <c r="E38" s="698"/>
      <c r="F38" s="699"/>
      <c r="G38" s="1111"/>
      <c r="H38" s="711"/>
      <c r="I38" s="698"/>
      <c r="J38" s="716">
        <v>1200</v>
      </c>
      <c r="K38" s="716"/>
      <c r="L38" s="719">
        <f t="shared" si="2"/>
        <v>1200</v>
      </c>
      <c r="M38" s="709"/>
    </row>
    <row r="39" spans="1:13" ht="32.25" customHeight="1" x14ac:dyDescent="0.3">
      <c r="A39" s="687">
        <v>31</v>
      </c>
      <c r="B39" s="697"/>
      <c r="C39" s="675"/>
      <c r="D39" s="164" t="s">
        <v>662</v>
      </c>
      <c r="E39" s="716">
        <f>F39+G39+L40</f>
        <v>3333</v>
      </c>
      <c r="F39" s="699"/>
      <c r="G39" s="1111"/>
      <c r="H39" s="711"/>
      <c r="I39" s="698"/>
      <c r="J39" s="716"/>
      <c r="K39" s="716"/>
      <c r="L39" s="719"/>
      <c r="M39" s="709"/>
    </row>
    <row r="40" spans="1:13" ht="18" customHeight="1" x14ac:dyDescent="0.3">
      <c r="A40" s="687">
        <v>32</v>
      </c>
      <c r="B40" s="697"/>
      <c r="C40" s="675"/>
      <c r="D40" s="322" t="s">
        <v>238</v>
      </c>
      <c r="E40" s="698"/>
      <c r="F40" s="699"/>
      <c r="G40" s="1111"/>
      <c r="H40" s="711"/>
      <c r="I40" s="698"/>
      <c r="J40" s="716">
        <v>3333</v>
      </c>
      <c r="K40" s="716"/>
      <c r="L40" s="719">
        <f t="shared" si="2"/>
        <v>3333</v>
      </c>
      <c r="M40" s="709"/>
    </row>
    <row r="41" spans="1:13" ht="18" customHeight="1" x14ac:dyDescent="0.3">
      <c r="A41" s="687">
        <v>33</v>
      </c>
      <c r="B41" s="697"/>
      <c r="C41" s="675"/>
      <c r="D41" s="164" t="s">
        <v>663</v>
      </c>
      <c r="E41" s="716">
        <f>F41+G41+L42</f>
        <v>110</v>
      </c>
      <c r="F41" s="699"/>
      <c r="G41" s="1111"/>
      <c r="H41" s="711"/>
      <c r="I41" s="698"/>
      <c r="J41" s="716"/>
      <c r="K41" s="716"/>
      <c r="L41" s="719"/>
      <c r="M41" s="709"/>
    </row>
    <row r="42" spans="1:13" ht="18" customHeight="1" x14ac:dyDescent="0.3">
      <c r="A42" s="687">
        <v>34</v>
      </c>
      <c r="B42" s="697"/>
      <c r="C42" s="675"/>
      <c r="D42" s="322" t="s">
        <v>238</v>
      </c>
      <c r="E42" s="698"/>
      <c r="F42" s="699"/>
      <c r="G42" s="1111"/>
      <c r="H42" s="711"/>
      <c r="I42" s="698"/>
      <c r="J42" s="716">
        <v>110</v>
      </c>
      <c r="K42" s="716"/>
      <c r="L42" s="719">
        <f t="shared" si="2"/>
        <v>110</v>
      </c>
      <c r="M42" s="709"/>
    </row>
    <row r="43" spans="1:13" ht="22.15" customHeight="1" x14ac:dyDescent="0.3">
      <c r="A43" s="687">
        <v>35</v>
      </c>
      <c r="B43" s="697"/>
      <c r="C43" s="705">
        <v>42</v>
      </c>
      <c r="D43" s="155" t="s">
        <v>700</v>
      </c>
      <c r="E43" s="698">
        <f>F43+G43+L44</f>
        <v>7000</v>
      </c>
      <c r="F43" s="699"/>
      <c r="G43" s="1111"/>
      <c r="H43" s="711" t="s">
        <v>23</v>
      </c>
      <c r="I43" s="698"/>
      <c r="J43" s="698"/>
      <c r="K43" s="698"/>
      <c r="L43" s="712"/>
      <c r="M43" s="709"/>
    </row>
    <row r="44" spans="1:13" ht="18" customHeight="1" x14ac:dyDescent="0.3">
      <c r="A44" s="687">
        <v>36</v>
      </c>
      <c r="B44" s="697"/>
      <c r="C44" s="705"/>
      <c r="D44" s="720" t="s">
        <v>238</v>
      </c>
      <c r="E44" s="698"/>
      <c r="F44" s="699"/>
      <c r="G44" s="1111"/>
      <c r="H44" s="711"/>
      <c r="I44" s="698"/>
      <c r="J44" s="698">
        <v>7000</v>
      </c>
      <c r="K44" s="698"/>
      <c r="L44" s="712">
        <f t="shared" si="2"/>
        <v>7000</v>
      </c>
      <c r="M44" s="709"/>
    </row>
    <row r="45" spans="1:13" ht="22.15" customHeight="1" x14ac:dyDescent="0.3">
      <c r="A45" s="687">
        <v>37</v>
      </c>
      <c r="B45" s="697"/>
      <c r="C45" s="705">
        <v>43</v>
      </c>
      <c r="D45" s="155" t="s">
        <v>383</v>
      </c>
      <c r="E45" s="698">
        <f>F45+G45+L46+M46</f>
        <v>3840000</v>
      </c>
      <c r="F45" s="699">
        <f>354544+354544</f>
        <v>709088</v>
      </c>
      <c r="G45" s="1111">
        <v>354544</v>
      </c>
      <c r="H45" s="711" t="s">
        <v>23</v>
      </c>
      <c r="I45" s="698"/>
      <c r="J45" s="698"/>
      <c r="K45" s="698"/>
      <c r="L45" s="712"/>
      <c r="M45" s="709"/>
    </row>
    <row r="46" spans="1:13" ht="18" customHeight="1" x14ac:dyDescent="0.3">
      <c r="A46" s="687">
        <v>38</v>
      </c>
      <c r="B46" s="697"/>
      <c r="C46" s="675"/>
      <c r="D46" s="720" t="s">
        <v>238</v>
      </c>
      <c r="E46" s="698"/>
      <c r="F46" s="699"/>
      <c r="G46" s="1111"/>
      <c r="H46" s="711"/>
      <c r="I46" s="698"/>
      <c r="J46" s="698"/>
      <c r="K46" s="698">
        <v>354544</v>
      </c>
      <c r="L46" s="712">
        <f t="shared" si="2"/>
        <v>354544</v>
      </c>
      <c r="M46" s="709">
        <f>2776368-354544</f>
        <v>2421824</v>
      </c>
    </row>
    <row r="47" spans="1:13" ht="22.15" customHeight="1" x14ac:dyDescent="0.3">
      <c r="A47" s="687">
        <v>39</v>
      </c>
      <c r="B47" s="722"/>
      <c r="C47" s="705">
        <v>88</v>
      </c>
      <c r="D47" s="725" t="s">
        <v>472</v>
      </c>
      <c r="E47" s="698">
        <f>F47+G47+L48</f>
        <v>4700</v>
      </c>
      <c r="F47" s="699"/>
      <c r="G47" s="1256"/>
      <c r="H47" s="700" t="s">
        <v>24</v>
      </c>
      <c r="I47" s="698"/>
      <c r="J47" s="698"/>
      <c r="K47" s="698"/>
      <c r="L47" s="703"/>
      <c r="M47" s="709"/>
    </row>
    <row r="48" spans="1:13" ht="18" customHeight="1" x14ac:dyDescent="0.3">
      <c r="A48" s="687">
        <v>40</v>
      </c>
      <c r="B48" s="722"/>
      <c r="C48" s="675"/>
      <c r="D48" s="723" t="s">
        <v>238</v>
      </c>
      <c r="E48" s="698"/>
      <c r="F48" s="699"/>
      <c r="G48" s="1256"/>
      <c r="H48" s="700"/>
      <c r="I48" s="698">
        <v>700</v>
      </c>
      <c r="J48" s="698">
        <v>4000</v>
      </c>
      <c r="K48" s="698"/>
      <c r="L48" s="703">
        <f t="shared" si="2"/>
        <v>4700</v>
      </c>
      <c r="M48" s="709"/>
    </row>
    <row r="49" spans="1:13" ht="22.5" customHeight="1" x14ac:dyDescent="0.3">
      <c r="A49" s="687">
        <v>41</v>
      </c>
      <c r="B49" s="722"/>
      <c r="C49" s="705">
        <v>90</v>
      </c>
      <c r="D49" s="725" t="s">
        <v>454</v>
      </c>
      <c r="E49" s="698">
        <f>F49+G49+L50</f>
        <v>2500</v>
      </c>
      <c r="F49" s="699"/>
      <c r="G49" s="1256"/>
      <c r="H49" s="700" t="s">
        <v>24</v>
      </c>
      <c r="I49" s="698"/>
      <c r="J49" s="698"/>
      <c r="K49" s="698"/>
      <c r="L49" s="703"/>
      <c r="M49" s="709"/>
    </row>
    <row r="50" spans="1:13" ht="18" customHeight="1" x14ac:dyDescent="0.3">
      <c r="A50" s="687">
        <v>42</v>
      </c>
      <c r="B50" s="722"/>
      <c r="C50" s="675"/>
      <c r="D50" s="723" t="s">
        <v>238</v>
      </c>
      <c r="E50" s="698"/>
      <c r="F50" s="699"/>
      <c r="G50" s="1256"/>
      <c r="H50" s="700"/>
      <c r="I50" s="698"/>
      <c r="J50" s="698"/>
      <c r="K50" s="698">
        <v>2500</v>
      </c>
      <c r="L50" s="703">
        <f t="shared" si="2"/>
        <v>2500</v>
      </c>
      <c r="M50" s="709"/>
    </row>
    <row r="51" spans="1:13" ht="33" x14ac:dyDescent="0.3">
      <c r="A51" s="687">
        <v>43</v>
      </c>
      <c r="B51" s="722"/>
      <c r="C51" s="675">
        <v>103</v>
      </c>
      <c r="D51" s="724" t="s">
        <v>470</v>
      </c>
      <c r="E51" s="698">
        <f>F51+G51+L52</f>
        <v>5589</v>
      </c>
      <c r="F51" s="699"/>
      <c r="G51" s="1256">
        <v>1207</v>
      </c>
      <c r="H51" s="700" t="s">
        <v>24</v>
      </c>
      <c r="I51" s="698"/>
      <c r="J51" s="698"/>
      <c r="K51" s="698"/>
      <c r="L51" s="703"/>
      <c r="M51" s="709"/>
    </row>
    <row r="52" spans="1:13" ht="18" customHeight="1" x14ac:dyDescent="0.3">
      <c r="A52" s="687">
        <v>44</v>
      </c>
      <c r="B52" s="722"/>
      <c r="C52" s="675"/>
      <c r="D52" s="723" t="s">
        <v>238</v>
      </c>
      <c r="E52" s="698"/>
      <c r="F52" s="699"/>
      <c r="G52" s="1256"/>
      <c r="H52" s="700"/>
      <c r="I52" s="698"/>
      <c r="J52" s="698">
        <f>24409-5198-14829</f>
        <v>4382</v>
      </c>
      <c r="K52" s="698"/>
      <c r="L52" s="703">
        <f>SUM(I52:K52)</f>
        <v>4382</v>
      </c>
      <c r="M52" s="709"/>
    </row>
    <row r="53" spans="1:13" ht="47.25" customHeight="1" x14ac:dyDescent="0.3">
      <c r="A53" s="687">
        <v>45</v>
      </c>
      <c r="B53" s="722"/>
      <c r="C53" s="675">
        <v>111</v>
      </c>
      <c r="D53" s="724" t="s">
        <v>471</v>
      </c>
      <c r="E53" s="698">
        <f>F53+G53+L54</f>
        <v>4600</v>
      </c>
      <c r="F53" s="699"/>
      <c r="G53" s="1256">
        <v>620</v>
      </c>
      <c r="H53" s="700" t="s">
        <v>24</v>
      </c>
      <c r="I53" s="698"/>
      <c r="J53" s="698"/>
      <c r="K53" s="698"/>
      <c r="L53" s="703"/>
      <c r="M53" s="709"/>
    </row>
    <row r="54" spans="1:13" ht="18" customHeight="1" x14ac:dyDescent="0.3">
      <c r="A54" s="687">
        <v>46</v>
      </c>
      <c r="B54" s="722"/>
      <c r="C54" s="675"/>
      <c r="D54" s="723" t="s">
        <v>238</v>
      </c>
      <c r="E54" s="698"/>
      <c r="F54" s="699"/>
      <c r="G54" s="1256"/>
      <c r="H54" s="700"/>
      <c r="I54" s="698"/>
      <c r="J54" s="698">
        <v>3980</v>
      </c>
      <c r="K54" s="698"/>
      <c r="L54" s="703">
        <f>SUM(I54:K54)</f>
        <v>3980</v>
      </c>
      <c r="M54" s="709"/>
    </row>
    <row r="55" spans="1:13" ht="33" x14ac:dyDescent="0.3">
      <c r="A55" s="687">
        <v>47</v>
      </c>
      <c r="B55" s="722"/>
      <c r="C55" s="675">
        <v>113</v>
      </c>
      <c r="D55" s="724" t="s">
        <v>488</v>
      </c>
      <c r="E55" s="698">
        <f>F55+G55+L56</f>
        <v>90000</v>
      </c>
      <c r="F55" s="699">
        <v>15938</v>
      </c>
      <c r="G55" s="1256">
        <v>58735</v>
      </c>
      <c r="H55" s="700" t="s">
        <v>24</v>
      </c>
      <c r="I55" s="698"/>
      <c r="J55" s="698"/>
      <c r="K55" s="698"/>
      <c r="L55" s="703"/>
      <c r="M55" s="709"/>
    </row>
    <row r="56" spans="1:13" ht="18" customHeight="1" x14ac:dyDescent="0.3">
      <c r="A56" s="687">
        <v>48</v>
      </c>
      <c r="B56" s="722"/>
      <c r="C56" s="675"/>
      <c r="D56" s="723" t="s">
        <v>238</v>
      </c>
      <c r="E56" s="698"/>
      <c r="F56" s="699"/>
      <c r="G56" s="1256"/>
      <c r="H56" s="700"/>
      <c r="I56" s="698"/>
      <c r="J56" s="698">
        <v>15327</v>
      </c>
      <c r="K56" s="698"/>
      <c r="L56" s="703">
        <f>SUM(I56:K56)</f>
        <v>15327</v>
      </c>
      <c r="M56" s="709"/>
    </row>
    <row r="57" spans="1:13" ht="22.35" customHeight="1" x14ac:dyDescent="0.3">
      <c r="A57" s="687">
        <v>49</v>
      </c>
      <c r="B57" s="731"/>
      <c r="C57" s="705">
        <v>167</v>
      </c>
      <c r="D57" s="793" t="s">
        <v>510</v>
      </c>
      <c r="E57" s="698">
        <f>F57+G57+L58</f>
        <v>855</v>
      </c>
      <c r="F57" s="699"/>
      <c r="G57" s="1253"/>
      <c r="H57" s="692" t="s">
        <v>23</v>
      </c>
      <c r="I57" s="690"/>
      <c r="J57" s="690"/>
      <c r="K57" s="690"/>
      <c r="L57" s="732"/>
      <c r="M57" s="733"/>
    </row>
    <row r="58" spans="1:13" ht="18" customHeight="1" x14ac:dyDescent="0.3">
      <c r="A58" s="687">
        <v>50</v>
      </c>
      <c r="B58" s="731"/>
      <c r="C58" s="675"/>
      <c r="D58" s="723" t="s">
        <v>238</v>
      </c>
      <c r="E58" s="698"/>
      <c r="F58" s="699"/>
      <c r="G58" s="1253"/>
      <c r="H58" s="692"/>
      <c r="I58" s="690"/>
      <c r="J58" s="690">
        <v>855</v>
      </c>
      <c r="K58" s="690"/>
      <c r="L58" s="703">
        <f>SUM(I58:K58)</f>
        <v>855</v>
      </c>
      <c r="M58" s="733"/>
    </row>
    <row r="59" spans="1:13" ht="22.35" customHeight="1" x14ac:dyDescent="0.35">
      <c r="A59" s="687">
        <v>51</v>
      </c>
      <c r="B59" s="731"/>
      <c r="C59" s="705">
        <v>168</v>
      </c>
      <c r="D59" s="792" t="s">
        <v>511</v>
      </c>
      <c r="E59" s="698">
        <f>F59+G59+L60</f>
        <v>30139</v>
      </c>
      <c r="F59" s="699"/>
      <c r="G59" s="1253"/>
      <c r="H59" s="692" t="s">
        <v>23</v>
      </c>
      <c r="I59" s="690"/>
      <c r="J59" s="690"/>
      <c r="K59" s="690"/>
      <c r="L59" s="732"/>
      <c r="M59" s="733"/>
    </row>
    <row r="60" spans="1:13" ht="18" customHeight="1" x14ac:dyDescent="0.3">
      <c r="A60" s="687">
        <v>52</v>
      </c>
      <c r="B60" s="731"/>
      <c r="C60" s="675"/>
      <c r="D60" s="723" t="s">
        <v>238</v>
      </c>
      <c r="E60" s="698"/>
      <c r="F60" s="699"/>
      <c r="G60" s="1253"/>
      <c r="H60" s="692"/>
      <c r="I60" s="690"/>
      <c r="J60" s="690">
        <v>30139</v>
      </c>
      <c r="K60" s="690"/>
      <c r="L60" s="703">
        <f>SUM(I60:K60)</f>
        <v>30139</v>
      </c>
      <c r="M60" s="733"/>
    </row>
    <row r="61" spans="1:13" ht="33.75" customHeight="1" x14ac:dyDescent="0.3">
      <c r="A61" s="687">
        <v>53</v>
      </c>
      <c r="B61" s="731"/>
      <c r="C61" s="675">
        <v>169</v>
      </c>
      <c r="D61" s="155" t="s">
        <v>512</v>
      </c>
      <c r="E61" s="698">
        <f>F61+G61+L62</f>
        <v>1905</v>
      </c>
      <c r="F61" s="699"/>
      <c r="G61" s="1253"/>
      <c r="H61" s="692" t="s">
        <v>24</v>
      </c>
      <c r="I61" s="690"/>
      <c r="J61" s="690"/>
      <c r="K61" s="690"/>
      <c r="L61" s="732"/>
      <c r="M61" s="733"/>
    </row>
    <row r="62" spans="1:13" ht="18" customHeight="1" x14ac:dyDescent="0.3">
      <c r="A62" s="687">
        <v>54</v>
      </c>
      <c r="B62" s="731"/>
      <c r="C62" s="675"/>
      <c r="D62" s="723" t="s">
        <v>238</v>
      </c>
      <c r="E62" s="698"/>
      <c r="F62" s="699"/>
      <c r="G62" s="1253"/>
      <c r="H62" s="692"/>
      <c r="I62" s="690">
        <v>1905</v>
      </c>
      <c r="J62" s="690"/>
      <c r="K62" s="690"/>
      <c r="L62" s="703">
        <f>SUM(I62:K62)</f>
        <v>1905</v>
      </c>
      <c r="M62" s="733"/>
    </row>
    <row r="63" spans="1:13" ht="22.5" customHeight="1" x14ac:dyDescent="0.3">
      <c r="A63" s="687">
        <v>55</v>
      </c>
      <c r="B63" s="731"/>
      <c r="C63" s="675">
        <v>175</v>
      </c>
      <c r="D63" s="1097" t="s">
        <v>724</v>
      </c>
      <c r="E63" s="698">
        <f>F63+G63+L64</f>
        <v>1724</v>
      </c>
      <c r="F63" s="699"/>
      <c r="G63" s="1253">
        <v>157</v>
      </c>
      <c r="H63" s="692" t="s">
        <v>24</v>
      </c>
      <c r="I63" s="690"/>
      <c r="J63" s="690"/>
      <c r="K63" s="690"/>
      <c r="L63" s="732"/>
      <c r="M63" s="733"/>
    </row>
    <row r="64" spans="1:13" ht="18" customHeight="1" x14ac:dyDescent="0.3">
      <c r="A64" s="687">
        <v>56</v>
      </c>
      <c r="B64" s="731"/>
      <c r="C64" s="675"/>
      <c r="D64" s="723" t="s">
        <v>238</v>
      </c>
      <c r="E64" s="698"/>
      <c r="F64" s="699"/>
      <c r="G64" s="1253"/>
      <c r="H64" s="692"/>
      <c r="I64" s="690"/>
      <c r="J64" s="690">
        <v>1567</v>
      </c>
      <c r="K64" s="690"/>
      <c r="L64" s="703">
        <f>SUM(I64:K64)</f>
        <v>1567</v>
      </c>
      <c r="M64" s="733"/>
    </row>
    <row r="65" spans="1:13" ht="31.5" customHeight="1" x14ac:dyDescent="0.3">
      <c r="A65" s="687">
        <v>57</v>
      </c>
      <c r="B65" s="731"/>
      <c r="C65" s="1096">
        <v>177</v>
      </c>
      <c r="D65" s="1097" t="s">
        <v>664</v>
      </c>
      <c r="E65" s="698">
        <f>F65+G65+L66</f>
        <v>6174</v>
      </c>
      <c r="F65" s="699"/>
      <c r="G65" s="1253">
        <v>5080</v>
      </c>
      <c r="H65" s="692" t="s">
        <v>23</v>
      </c>
      <c r="I65" s="690"/>
      <c r="J65" s="690"/>
      <c r="K65" s="690"/>
      <c r="L65" s="732"/>
      <c r="M65" s="733"/>
    </row>
    <row r="66" spans="1:13" ht="18" customHeight="1" x14ac:dyDescent="0.3">
      <c r="A66" s="687">
        <v>58</v>
      </c>
      <c r="B66" s="731"/>
      <c r="C66" s="1096"/>
      <c r="D66" s="723" t="s">
        <v>238</v>
      </c>
      <c r="E66" s="698"/>
      <c r="F66" s="699"/>
      <c r="G66" s="1253"/>
      <c r="H66" s="692"/>
      <c r="I66" s="690"/>
      <c r="J66" s="690">
        <v>1094</v>
      </c>
      <c r="K66" s="690"/>
      <c r="L66" s="703">
        <f>SUM(I66:K66)</f>
        <v>1094</v>
      </c>
      <c r="M66" s="733"/>
    </row>
    <row r="67" spans="1:13" ht="22.35" customHeight="1" x14ac:dyDescent="0.3">
      <c r="A67" s="687">
        <v>59</v>
      </c>
      <c r="B67" s="731"/>
      <c r="C67" s="1096">
        <v>181</v>
      </c>
      <c r="D67" s="1098" t="s">
        <v>665</v>
      </c>
      <c r="E67" s="698">
        <f>F67+G67+L68</f>
        <v>22597</v>
      </c>
      <c r="F67" s="699"/>
      <c r="G67" s="1253"/>
      <c r="H67" s="692" t="s">
        <v>23</v>
      </c>
      <c r="I67" s="690"/>
      <c r="J67" s="690"/>
      <c r="K67" s="690"/>
      <c r="L67" s="732"/>
      <c r="M67" s="733"/>
    </row>
    <row r="68" spans="1:13" ht="18" customHeight="1" x14ac:dyDescent="0.3">
      <c r="A68" s="687">
        <v>60</v>
      </c>
      <c r="B68" s="731"/>
      <c r="C68" s="1096"/>
      <c r="D68" s="723" t="s">
        <v>238</v>
      </c>
      <c r="E68" s="698"/>
      <c r="F68" s="699"/>
      <c r="G68" s="1253"/>
      <c r="H68" s="692"/>
      <c r="I68" s="690"/>
      <c r="J68" s="690">
        <v>22597</v>
      </c>
      <c r="K68" s="690"/>
      <c r="L68" s="703">
        <f>SUM(I68:K68)</f>
        <v>22597</v>
      </c>
      <c r="M68" s="733"/>
    </row>
    <row r="69" spans="1:13" ht="22.35" customHeight="1" x14ac:dyDescent="0.3">
      <c r="A69" s="687">
        <v>61</v>
      </c>
      <c r="B69" s="731"/>
      <c r="C69" s="1096">
        <v>190</v>
      </c>
      <c r="D69" s="1098" t="s">
        <v>666</v>
      </c>
      <c r="E69" s="698">
        <f>F69+G69+L70</f>
        <v>400</v>
      </c>
      <c r="F69" s="699"/>
      <c r="G69" s="1253">
        <v>234</v>
      </c>
      <c r="H69" s="692" t="s">
        <v>23</v>
      </c>
      <c r="I69" s="690"/>
      <c r="J69" s="690"/>
      <c r="K69" s="690"/>
      <c r="L69" s="732"/>
      <c r="M69" s="733"/>
    </row>
    <row r="70" spans="1:13" ht="18" customHeight="1" x14ac:dyDescent="0.3">
      <c r="A70" s="687">
        <v>62</v>
      </c>
      <c r="B70" s="731"/>
      <c r="C70" s="1096"/>
      <c r="D70" s="723" t="s">
        <v>238</v>
      </c>
      <c r="E70" s="698"/>
      <c r="F70" s="699"/>
      <c r="G70" s="1253"/>
      <c r="H70" s="692"/>
      <c r="I70" s="690"/>
      <c r="J70" s="690">
        <v>166</v>
      </c>
      <c r="K70" s="690"/>
      <c r="L70" s="703">
        <f>SUM(I70:K70)</f>
        <v>166</v>
      </c>
      <c r="M70" s="733"/>
    </row>
    <row r="71" spans="1:13" ht="34.5" customHeight="1" x14ac:dyDescent="0.3">
      <c r="A71" s="687">
        <v>63</v>
      </c>
      <c r="B71" s="731"/>
      <c r="C71" s="1096">
        <v>196</v>
      </c>
      <c r="D71" s="1098" t="s">
        <v>667</v>
      </c>
      <c r="E71" s="698">
        <f>F71+G71+L72</f>
        <v>3875</v>
      </c>
      <c r="F71" s="699"/>
      <c r="G71" s="1253"/>
      <c r="H71" s="692" t="s">
        <v>24</v>
      </c>
      <c r="I71" s="690"/>
      <c r="J71" s="690"/>
      <c r="K71" s="690"/>
      <c r="L71" s="732"/>
      <c r="M71" s="733"/>
    </row>
    <row r="72" spans="1:13" ht="18" customHeight="1" x14ac:dyDescent="0.3">
      <c r="A72" s="687">
        <v>64</v>
      </c>
      <c r="B72" s="731"/>
      <c r="C72" s="1096"/>
      <c r="D72" s="723" t="s">
        <v>238</v>
      </c>
      <c r="E72" s="698"/>
      <c r="F72" s="699"/>
      <c r="G72" s="1253"/>
      <c r="H72" s="692"/>
      <c r="I72" s="690"/>
      <c r="J72" s="690">
        <v>3875</v>
      </c>
      <c r="K72" s="690"/>
      <c r="L72" s="703">
        <f>SUM(I72:K72)</f>
        <v>3875</v>
      </c>
      <c r="M72" s="733"/>
    </row>
    <row r="73" spans="1:13" ht="22.35" customHeight="1" x14ac:dyDescent="0.3">
      <c r="A73" s="687">
        <v>65</v>
      </c>
      <c r="B73" s="731"/>
      <c r="C73" s="1096">
        <v>197</v>
      </c>
      <c r="D73" s="1098" t="s">
        <v>668</v>
      </c>
      <c r="E73" s="698">
        <f>F73+G73+L74</f>
        <v>222000</v>
      </c>
      <c r="F73" s="699"/>
      <c r="G73" s="1253"/>
      <c r="H73" s="692" t="s">
        <v>24</v>
      </c>
      <c r="I73" s="690"/>
      <c r="J73" s="690"/>
      <c r="K73" s="690"/>
      <c r="L73" s="732"/>
      <c r="M73" s="733"/>
    </row>
    <row r="74" spans="1:13" ht="18" customHeight="1" x14ac:dyDescent="0.3">
      <c r="A74" s="687">
        <v>66</v>
      </c>
      <c r="B74" s="731"/>
      <c r="C74" s="1096"/>
      <c r="D74" s="723" t="s">
        <v>238</v>
      </c>
      <c r="E74" s="698"/>
      <c r="F74" s="699"/>
      <c r="G74" s="1253"/>
      <c r="H74" s="692"/>
      <c r="I74" s="690"/>
      <c r="J74" s="690">
        <v>222000</v>
      </c>
      <c r="K74" s="690"/>
      <c r="L74" s="703">
        <f>SUM(I74:K74)</f>
        <v>222000</v>
      </c>
      <c r="M74" s="733"/>
    </row>
    <row r="75" spans="1:13" ht="35.25" customHeight="1" x14ac:dyDescent="0.3">
      <c r="A75" s="687">
        <v>67</v>
      </c>
      <c r="B75" s="731"/>
      <c r="C75" s="675">
        <v>198</v>
      </c>
      <c r="D75" s="791" t="s">
        <v>682</v>
      </c>
      <c r="E75" s="698">
        <f>F75+G75+L76</f>
        <v>2233</v>
      </c>
      <c r="F75" s="699"/>
      <c r="G75" s="1253"/>
      <c r="H75" s="692" t="s">
        <v>24</v>
      </c>
      <c r="I75" s="690"/>
      <c r="J75" s="690"/>
      <c r="K75" s="690"/>
      <c r="L75" s="703"/>
      <c r="M75" s="733"/>
    </row>
    <row r="76" spans="1:13" ht="18" customHeight="1" x14ac:dyDescent="0.3">
      <c r="A76" s="687">
        <v>68</v>
      </c>
      <c r="B76" s="731"/>
      <c r="C76" s="675"/>
      <c r="D76" s="669" t="s">
        <v>238</v>
      </c>
      <c r="E76" s="698"/>
      <c r="F76" s="699"/>
      <c r="G76" s="1253"/>
      <c r="H76" s="692"/>
      <c r="I76" s="690"/>
      <c r="J76" s="690">
        <v>2233</v>
      </c>
      <c r="K76" s="690"/>
      <c r="L76" s="703">
        <f>SUM(I76:K76)</f>
        <v>2233</v>
      </c>
      <c r="M76" s="733"/>
    </row>
    <row r="77" spans="1:13" ht="35.25" customHeight="1" x14ac:dyDescent="0.3">
      <c r="A77" s="687">
        <v>69</v>
      </c>
      <c r="B77" s="731"/>
      <c r="C77" s="1096">
        <v>200</v>
      </c>
      <c r="D77" s="1098" t="s">
        <v>669</v>
      </c>
      <c r="E77" s="698">
        <f>F77+G77+L78</f>
        <v>1900</v>
      </c>
      <c r="F77" s="699"/>
      <c r="G77" s="1253"/>
      <c r="H77" s="692" t="s">
        <v>24</v>
      </c>
      <c r="I77" s="690"/>
      <c r="J77" s="690"/>
      <c r="K77" s="690"/>
      <c r="L77" s="703"/>
      <c r="M77" s="733"/>
    </row>
    <row r="78" spans="1:13" ht="18" customHeight="1" x14ac:dyDescent="0.3">
      <c r="A78" s="687">
        <v>70</v>
      </c>
      <c r="B78" s="731"/>
      <c r="C78" s="1096"/>
      <c r="D78" s="723" t="s">
        <v>238</v>
      </c>
      <c r="E78" s="698"/>
      <c r="F78" s="699"/>
      <c r="G78" s="1253"/>
      <c r="H78" s="692"/>
      <c r="I78" s="690">
        <v>1900</v>
      </c>
      <c r="J78" s="690"/>
      <c r="K78" s="690"/>
      <c r="L78" s="703">
        <f>SUM(I78:K78)</f>
        <v>1900</v>
      </c>
      <c r="M78" s="733"/>
    </row>
    <row r="79" spans="1:13" ht="54" customHeight="1" x14ac:dyDescent="0.3">
      <c r="A79" s="687">
        <v>71</v>
      </c>
      <c r="B79" s="731"/>
      <c r="C79" s="1096">
        <v>208</v>
      </c>
      <c r="D79" s="791" t="s">
        <v>745</v>
      </c>
      <c r="E79" s="698">
        <f>F79+G79+L80</f>
        <v>12535</v>
      </c>
      <c r="F79" s="1286"/>
      <c r="G79" s="1253"/>
      <c r="H79" s="692" t="s">
        <v>24</v>
      </c>
      <c r="I79" s="690"/>
      <c r="J79" s="690"/>
      <c r="K79" s="690"/>
      <c r="L79" s="732"/>
      <c r="M79" s="733"/>
    </row>
    <row r="80" spans="1:13" ht="18" customHeight="1" thickBot="1" x14ac:dyDescent="0.35">
      <c r="A80" s="687">
        <v>72</v>
      </c>
      <c r="B80" s="731"/>
      <c r="C80" s="1096"/>
      <c r="D80" s="723" t="s">
        <v>238</v>
      </c>
      <c r="E80" s="1285"/>
      <c r="F80" s="1286"/>
      <c r="G80" s="1253"/>
      <c r="H80" s="692"/>
      <c r="I80" s="690"/>
      <c r="J80" s="690">
        <v>12535</v>
      </c>
      <c r="K80" s="690"/>
      <c r="L80" s="703">
        <f>SUM(I80:K80)</f>
        <v>12535</v>
      </c>
      <c r="M80" s="733"/>
    </row>
    <row r="81" spans="1:13" ht="27" customHeight="1" thickTop="1" x14ac:dyDescent="0.3">
      <c r="A81" s="687">
        <v>73</v>
      </c>
      <c r="B81" s="752"/>
      <c r="C81" s="753"/>
      <c r="D81" s="1463" t="s">
        <v>13</v>
      </c>
      <c r="E81" s="1463"/>
      <c r="F81" s="1463"/>
      <c r="G81" s="1464"/>
      <c r="H81" s="754"/>
      <c r="I81" s="755"/>
      <c r="J81" s="755"/>
      <c r="K81" s="755"/>
      <c r="L81" s="756"/>
      <c r="M81" s="757"/>
    </row>
    <row r="82" spans="1:13" ht="20.100000000000001" customHeight="1" thickBot="1" x14ac:dyDescent="0.35">
      <c r="A82" s="687">
        <v>74</v>
      </c>
      <c r="B82" s="758"/>
      <c r="C82" s="759"/>
      <c r="D82" s="788" t="s">
        <v>238</v>
      </c>
      <c r="E82" s="973"/>
      <c r="F82" s="973"/>
      <c r="G82" s="1257"/>
      <c r="H82" s="760"/>
      <c r="I82" s="761">
        <f>SUM(I10:I80)-I32</f>
        <v>31478</v>
      </c>
      <c r="J82" s="761">
        <f>SUM(J10:J80)-J32</f>
        <v>474243</v>
      </c>
      <c r="K82" s="761">
        <f>SUM(K10:K80)-K32</f>
        <v>357194</v>
      </c>
      <c r="L82" s="761">
        <f>SUM(I82:K82)</f>
        <v>862915</v>
      </c>
      <c r="M82" s="762">
        <f>SUM(M11:M81)</f>
        <v>2447224</v>
      </c>
    </row>
    <row r="83" spans="1:13" ht="20.100000000000001" customHeight="1" thickTop="1" x14ac:dyDescent="0.3">
      <c r="A83" s="687">
        <v>75</v>
      </c>
      <c r="B83" s="763"/>
      <c r="C83" s="753"/>
      <c r="D83" s="1392" t="s">
        <v>88</v>
      </c>
      <c r="E83" s="1393"/>
      <c r="F83" s="1393"/>
      <c r="G83" s="1394"/>
      <c r="H83" s="766"/>
      <c r="I83" s="767"/>
      <c r="J83" s="767"/>
      <c r="K83" s="767"/>
      <c r="L83" s="774"/>
      <c r="M83" s="771"/>
    </row>
    <row r="84" spans="1:13" ht="20.100000000000001" customHeight="1" x14ac:dyDescent="0.3">
      <c r="A84" s="687">
        <v>76</v>
      </c>
      <c r="B84" s="764"/>
      <c r="C84" s="765"/>
      <c r="D84" s="1415" t="s">
        <v>238</v>
      </c>
      <c r="E84" s="1416"/>
      <c r="F84" s="1416"/>
      <c r="G84" s="1417"/>
      <c r="H84" s="768"/>
      <c r="I84" s="698">
        <f>I58+I46+I16+I14+I11+I60+I70+I68+I66+I44</f>
        <v>0</v>
      </c>
      <c r="J84" s="698">
        <f>J58+J46+J16+J14+J11+J60+J70+J68+J66+J44</f>
        <v>80495</v>
      </c>
      <c r="K84" s="698">
        <f>K58+K46+K16+K14+K11+K60+K70+K68+K66+K44</f>
        <v>354544</v>
      </c>
      <c r="L84" s="775">
        <f>SUM(I84:K84)</f>
        <v>435039</v>
      </c>
      <c r="M84" s="772"/>
    </row>
    <row r="85" spans="1:13" ht="20.100000000000001" customHeight="1" x14ac:dyDescent="0.3">
      <c r="A85" s="687">
        <v>77</v>
      </c>
      <c r="B85" s="764"/>
      <c r="C85" s="765"/>
      <c r="D85" s="1418" t="s">
        <v>89</v>
      </c>
      <c r="E85" s="1419"/>
      <c r="F85" s="1419"/>
      <c r="G85" s="1420"/>
      <c r="H85" s="768"/>
      <c r="I85" s="769"/>
      <c r="J85" s="769"/>
      <c r="K85" s="769"/>
      <c r="L85" s="777"/>
      <c r="M85" s="772"/>
    </row>
    <row r="86" spans="1:13" ht="20.100000000000001" customHeight="1" thickBot="1" x14ac:dyDescent="0.35">
      <c r="A86" s="687">
        <v>78</v>
      </c>
      <c r="B86" s="729"/>
      <c r="C86" s="730"/>
      <c r="D86" s="1460" t="s">
        <v>238</v>
      </c>
      <c r="E86" s="1461"/>
      <c r="F86" s="1461"/>
      <c r="G86" s="1462"/>
      <c r="H86" s="770"/>
      <c r="I86" s="778">
        <f>I78+I74+I72+I64+I62++I56+I54+I52+I48+I32+I30+I28+I26+I24+I50+I76+I80</f>
        <v>31478</v>
      </c>
      <c r="J86" s="778">
        <f t="shared" ref="J86:K86" si="3">J78+J74+J72+J64+J62++J56+J54+J52+J48+J32+J30+J28+J26+J24+J50+J76+J80</f>
        <v>393748</v>
      </c>
      <c r="K86" s="778">
        <f t="shared" si="3"/>
        <v>2650</v>
      </c>
      <c r="L86" s="776">
        <f>SUM(I86:K86)</f>
        <v>427876</v>
      </c>
      <c r="M86" s="773"/>
    </row>
    <row r="87" spans="1:13" ht="18" customHeight="1" x14ac:dyDescent="0.3">
      <c r="B87" s="726" t="s">
        <v>25</v>
      </c>
      <c r="C87" s="726"/>
      <c r="D87" s="726"/>
      <c r="E87" s="974"/>
      <c r="F87" s="976"/>
      <c r="G87" s="974"/>
      <c r="H87" s="728"/>
      <c r="I87" s="974"/>
      <c r="J87" s="974"/>
      <c r="K87" s="974"/>
      <c r="L87" s="974"/>
    </row>
    <row r="88" spans="1:13" ht="18" customHeight="1" x14ac:dyDescent="0.3">
      <c r="B88" s="726" t="s">
        <v>26</v>
      </c>
      <c r="C88" s="726"/>
      <c r="D88" s="726"/>
      <c r="E88" s="975"/>
      <c r="F88" s="976"/>
      <c r="G88" s="974"/>
      <c r="H88" s="728"/>
      <c r="I88" s="974"/>
      <c r="J88" s="974"/>
      <c r="K88" s="974"/>
      <c r="L88" s="974"/>
    </row>
    <row r="89" spans="1:13" ht="18" customHeight="1" x14ac:dyDescent="0.3">
      <c r="B89" s="726" t="s">
        <v>27</v>
      </c>
      <c r="C89" s="726"/>
      <c r="D89" s="726"/>
      <c r="E89" s="975"/>
      <c r="F89" s="976"/>
      <c r="G89" s="974"/>
      <c r="H89" s="728"/>
      <c r="I89" s="974"/>
      <c r="J89" s="974"/>
      <c r="K89" s="974"/>
      <c r="L89" s="974"/>
    </row>
  </sheetData>
  <mergeCells count="20">
    <mergeCell ref="D83:G83"/>
    <mergeCell ref="D84:G84"/>
    <mergeCell ref="D85:G85"/>
    <mergeCell ref="D86:G86"/>
    <mergeCell ref="D81:G81"/>
    <mergeCell ref="B1:D1"/>
    <mergeCell ref="I1:M1"/>
    <mergeCell ref="B2:M2"/>
    <mergeCell ref="B3:M3"/>
    <mergeCell ref="I6:L6"/>
    <mergeCell ref="M6:M8"/>
    <mergeCell ref="E6:E8"/>
    <mergeCell ref="B6:B8"/>
    <mergeCell ref="C6:C8"/>
    <mergeCell ref="D6:D8"/>
    <mergeCell ref="J7:K7"/>
    <mergeCell ref="L7:L8"/>
    <mergeCell ref="H6:H8"/>
    <mergeCell ref="G6:G8"/>
    <mergeCell ref="F6:F8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54" fitToHeight="0" orientation="portrait" r:id="rId1"/>
  <headerFooter>
    <oddFooter>&amp;C- &amp;P 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36"/>
  <sheetViews>
    <sheetView view="pageBreakPreview" topLeftCell="B1" zoomScaleNormal="100" zoomScaleSheetLayoutView="100" workbookViewId="0">
      <pane ySplit="8" topLeftCell="A9" activePane="bottomLeft" state="frozen"/>
      <selection activeCell="N9" sqref="N9"/>
      <selection pane="bottomLeft" activeCell="B1" sqref="B1:D1"/>
    </sheetView>
  </sheetViews>
  <sheetFormatPr defaultColWidth="9.28515625" defaultRowHeight="15" x14ac:dyDescent="0.3"/>
  <cols>
    <col min="1" max="1" width="3.5703125" style="678" customWidth="1"/>
    <col min="2" max="2" width="5.7109375" style="679" customWidth="1"/>
    <col min="3" max="3" width="5.7109375" style="680" customWidth="1"/>
    <col min="4" max="4" width="59.7109375" style="681" customWidth="1"/>
    <col min="5" max="7" width="10.7109375" style="220" customWidth="1"/>
    <col min="8" max="8" width="6.7109375" style="682" customWidth="1"/>
    <col min="9" max="10" width="14.7109375" style="220" customWidth="1"/>
    <col min="11" max="11" width="15.7109375" style="220" customWidth="1"/>
    <col min="12" max="12" width="13.7109375" style="721" customWidth="1"/>
    <col min="13" max="16384" width="9.28515625" style="221"/>
  </cols>
  <sheetData>
    <row r="1" spans="1:250" s="153" customFormat="1" ht="18" customHeight="1" x14ac:dyDescent="0.3">
      <c r="A1" s="676"/>
      <c r="B1" s="1429" t="s">
        <v>768</v>
      </c>
      <c r="C1" s="1429"/>
      <c r="D1" s="1429"/>
      <c r="E1" s="212"/>
      <c r="F1" s="212"/>
      <c r="G1" s="212"/>
      <c r="H1" s="677"/>
      <c r="I1" s="1465"/>
      <c r="J1" s="1465"/>
      <c r="K1" s="1465"/>
      <c r="L1" s="1465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3"/>
      <c r="AJ1" s="213"/>
      <c r="AK1" s="213"/>
      <c r="AL1" s="213"/>
      <c r="AM1" s="213"/>
      <c r="AN1" s="213"/>
      <c r="AO1" s="213"/>
      <c r="AP1" s="213"/>
      <c r="AQ1" s="213"/>
      <c r="AR1" s="213"/>
      <c r="AS1" s="213"/>
      <c r="AT1" s="213"/>
      <c r="AU1" s="213"/>
      <c r="AV1" s="213"/>
      <c r="AW1" s="213"/>
      <c r="AX1" s="213"/>
      <c r="AY1" s="213"/>
      <c r="AZ1" s="213"/>
      <c r="BA1" s="213"/>
      <c r="BB1" s="213"/>
      <c r="BC1" s="213"/>
      <c r="BD1" s="213"/>
      <c r="BE1" s="213"/>
      <c r="BF1" s="213"/>
      <c r="BG1" s="213"/>
      <c r="BH1" s="213"/>
      <c r="BI1" s="213"/>
      <c r="BJ1" s="213"/>
      <c r="BK1" s="213"/>
      <c r="BL1" s="213"/>
      <c r="BM1" s="213"/>
      <c r="BN1" s="213"/>
      <c r="BO1" s="213"/>
      <c r="BP1" s="213"/>
      <c r="BQ1" s="213"/>
      <c r="BR1" s="213"/>
      <c r="BS1" s="213"/>
      <c r="BT1" s="213"/>
      <c r="BU1" s="213"/>
      <c r="BV1" s="213"/>
      <c r="BW1" s="213"/>
      <c r="BX1" s="213"/>
      <c r="BY1" s="213"/>
      <c r="BZ1" s="213"/>
      <c r="CA1" s="213"/>
      <c r="CB1" s="213"/>
      <c r="CC1" s="213"/>
      <c r="CD1" s="213"/>
      <c r="CE1" s="213"/>
      <c r="CF1" s="213"/>
      <c r="CG1" s="213"/>
      <c r="CH1" s="213"/>
      <c r="CI1" s="213"/>
      <c r="CJ1" s="213"/>
      <c r="CK1" s="213"/>
      <c r="CL1" s="213"/>
      <c r="CM1" s="213"/>
      <c r="CN1" s="213"/>
      <c r="CO1" s="213"/>
      <c r="CP1" s="213"/>
      <c r="CQ1" s="213"/>
      <c r="CR1" s="213"/>
      <c r="CS1" s="213"/>
      <c r="CT1" s="213"/>
      <c r="CU1" s="213"/>
      <c r="CV1" s="213"/>
      <c r="CW1" s="213"/>
      <c r="CX1" s="213"/>
      <c r="CY1" s="213"/>
      <c r="CZ1" s="213"/>
      <c r="DA1" s="213"/>
      <c r="DB1" s="213"/>
      <c r="DC1" s="213"/>
      <c r="DD1" s="213"/>
      <c r="DE1" s="213"/>
      <c r="DF1" s="213"/>
      <c r="DG1" s="213"/>
      <c r="DH1" s="213"/>
      <c r="DI1" s="213"/>
      <c r="DJ1" s="213"/>
      <c r="DK1" s="213"/>
      <c r="DL1" s="213"/>
      <c r="DM1" s="213"/>
      <c r="DN1" s="213"/>
      <c r="DO1" s="213"/>
      <c r="DP1" s="213"/>
      <c r="DQ1" s="213"/>
      <c r="DR1" s="213"/>
      <c r="DS1" s="213"/>
      <c r="DT1" s="213"/>
      <c r="DU1" s="213"/>
      <c r="DV1" s="213"/>
      <c r="DW1" s="213"/>
      <c r="DX1" s="213"/>
      <c r="DY1" s="213"/>
      <c r="DZ1" s="213"/>
      <c r="EA1" s="213"/>
      <c r="EB1" s="213"/>
      <c r="EC1" s="213"/>
      <c r="ED1" s="213"/>
      <c r="EE1" s="213"/>
      <c r="EF1" s="213"/>
      <c r="EG1" s="213"/>
      <c r="EH1" s="213"/>
      <c r="EI1" s="213"/>
      <c r="EJ1" s="213"/>
      <c r="EK1" s="213"/>
      <c r="EL1" s="213"/>
      <c r="EM1" s="213"/>
      <c r="EN1" s="213"/>
      <c r="EO1" s="213"/>
      <c r="EP1" s="213"/>
      <c r="EQ1" s="213"/>
      <c r="ER1" s="213"/>
      <c r="ES1" s="213"/>
      <c r="ET1" s="213"/>
      <c r="EU1" s="213"/>
      <c r="EV1" s="213"/>
      <c r="EW1" s="213"/>
      <c r="EX1" s="213"/>
      <c r="EY1" s="213"/>
      <c r="EZ1" s="213"/>
      <c r="FA1" s="213"/>
      <c r="FB1" s="213"/>
      <c r="FC1" s="213"/>
      <c r="FD1" s="213"/>
      <c r="FE1" s="213"/>
      <c r="FF1" s="213"/>
      <c r="FG1" s="213"/>
      <c r="FH1" s="213"/>
      <c r="FI1" s="213"/>
      <c r="FJ1" s="213"/>
      <c r="FK1" s="213"/>
      <c r="FL1" s="213"/>
      <c r="FM1" s="213"/>
      <c r="FN1" s="213"/>
      <c r="FO1" s="213"/>
      <c r="FP1" s="213"/>
      <c r="FQ1" s="213"/>
      <c r="FR1" s="213"/>
      <c r="FS1" s="213"/>
      <c r="FT1" s="213"/>
      <c r="FU1" s="213"/>
      <c r="FV1" s="213"/>
      <c r="FW1" s="213"/>
      <c r="FX1" s="213"/>
      <c r="FY1" s="213"/>
      <c r="FZ1" s="213"/>
      <c r="GA1" s="213"/>
      <c r="GB1" s="213"/>
      <c r="GC1" s="213"/>
      <c r="GD1" s="213"/>
      <c r="GE1" s="213"/>
      <c r="GF1" s="213"/>
      <c r="GG1" s="213"/>
      <c r="GH1" s="213"/>
      <c r="GI1" s="213"/>
      <c r="GJ1" s="213"/>
      <c r="GK1" s="213"/>
      <c r="GL1" s="213"/>
      <c r="GM1" s="213"/>
      <c r="GN1" s="213"/>
      <c r="GO1" s="213"/>
      <c r="GP1" s="213"/>
      <c r="GQ1" s="213"/>
      <c r="GR1" s="213"/>
      <c r="GS1" s="213"/>
      <c r="GT1" s="213"/>
      <c r="GU1" s="213"/>
      <c r="GV1" s="213"/>
      <c r="GW1" s="213"/>
      <c r="GX1" s="213"/>
      <c r="GY1" s="213"/>
      <c r="GZ1" s="213"/>
      <c r="HA1" s="213"/>
      <c r="HB1" s="213"/>
      <c r="HC1" s="213"/>
      <c r="HD1" s="213"/>
      <c r="HE1" s="213"/>
      <c r="HF1" s="213"/>
      <c r="HG1" s="213"/>
      <c r="HH1" s="213"/>
      <c r="HI1" s="213"/>
      <c r="HJ1" s="213"/>
      <c r="HK1" s="213"/>
      <c r="HL1" s="213"/>
      <c r="HM1" s="213"/>
      <c r="HN1" s="213"/>
      <c r="HO1" s="213"/>
      <c r="HP1" s="213"/>
      <c r="HQ1" s="213"/>
      <c r="HR1" s="213"/>
      <c r="HS1" s="213"/>
      <c r="HT1" s="213"/>
      <c r="HU1" s="213"/>
      <c r="HV1" s="213"/>
      <c r="HW1" s="213"/>
      <c r="HX1" s="213"/>
      <c r="HY1" s="213"/>
      <c r="HZ1" s="213"/>
      <c r="IA1" s="213"/>
      <c r="IB1" s="213"/>
      <c r="IC1" s="213"/>
      <c r="ID1" s="213"/>
      <c r="IE1" s="213"/>
      <c r="IF1" s="213"/>
      <c r="IG1" s="213"/>
      <c r="IH1" s="213"/>
      <c r="II1" s="213"/>
      <c r="IJ1" s="213"/>
      <c r="IK1" s="213"/>
      <c r="IL1" s="213"/>
      <c r="IM1" s="213"/>
      <c r="IN1" s="213"/>
      <c r="IO1" s="213"/>
      <c r="IP1" s="213"/>
    </row>
    <row r="2" spans="1:250" s="153" customFormat="1" ht="18" customHeight="1" x14ac:dyDescent="0.35">
      <c r="A2" s="678"/>
      <c r="B2" s="1431" t="s">
        <v>14</v>
      </c>
      <c r="C2" s="1431"/>
      <c r="D2" s="1431"/>
      <c r="E2" s="1431"/>
      <c r="F2" s="1431"/>
      <c r="G2" s="1431"/>
      <c r="H2" s="1431"/>
      <c r="I2" s="1431"/>
      <c r="J2" s="1431"/>
      <c r="K2" s="1431"/>
      <c r="L2" s="1431"/>
    </row>
    <row r="3" spans="1:250" s="153" customFormat="1" ht="18" customHeight="1" x14ac:dyDescent="0.3">
      <c r="A3" s="678"/>
      <c r="B3" s="1432" t="s">
        <v>670</v>
      </c>
      <c r="C3" s="1432"/>
      <c r="D3" s="1432"/>
      <c r="E3" s="1432"/>
      <c r="F3" s="1432"/>
      <c r="G3" s="1432"/>
      <c r="H3" s="1432"/>
      <c r="I3" s="1432"/>
      <c r="J3" s="1432"/>
      <c r="K3" s="1432"/>
      <c r="L3" s="1432"/>
    </row>
    <row r="4" spans="1:250" ht="18" customHeight="1" x14ac:dyDescent="0.3">
      <c r="L4" s="222" t="s">
        <v>0</v>
      </c>
    </row>
    <row r="5" spans="1:250" s="62" customFormat="1" ht="18" customHeight="1" thickBot="1" x14ac:dyDescent="0.25">
      <c r="A5" s="678"/>
      <c r="B5" s="683" t="s">
        <v>1</v>
      </c>
      <c r="C5" s="684" t="s">
        <v>3</v>
      </c>
      <c r="D5" s="684" t="s">
        <v>2</v>
      </c>
      <c r="E5" s="684" t="s">
        <v>4</v>
      </c>
      <c r="F5" s="684" t="s">
        <v>5</v>
      </c>
      <c r="G5" s="684" t="s">
        <v>15</v>
      </c>
      <c r="H5" s="684" t="s">
        <v>16</v>
      </c>
      <c r="I5" s="684" t="s">
        <v>28</v>
      </c>
      <c r="J5" s="684" t="s">
        <v>23</v>
      </c>
      <c r="K5" s="684" t="s">
        <v>33</v>
      </c>
      <c r="L5" s="684" t="s">
        <v>34</v>
      </c>
      <c r="M5" s="678"/>
      <c r="N5" s="678"/>
      <c r="O5" s="678"/>
      <c r="P5" s="678"/>
      <c r="Q5" s="678"/>
      <c r="R5" s="678"/>
      <c r="S5" s="678"/>
      <c r="T5" s="678"/>
      <c r="U5" s="678"/>
      <c r="V5" s="678"/>
      <c r="W5" s="678"/>
      <c r="X5" s="678"/>
      <c r="Y5" s="678"/>
      <c r="Z5" s="678"/>
      <c r="AA5" s="678"/>
      <c r="AB5" s="678"/>
      <c r="AC5" s="678"/>
      <c r="AD5" s="678"/>
      <c r="AE5" s="678"/>
      <c r="AF5" s="678"/>
      <c r="AG5" s="678"/>
      <c r="AH5" s="678"/>
      <c r="AI5" s="678"/>
      <c r="AJ5" s="678"/>
      <c r="AK5" s="678"/>
      <c r="AL5" s="678"/>
      <c r="AM5" s="678"/>
      <c r="AN5" s="678"/>
      <c r="AO5" s="678"/>
      <c r="AP5" s="678"/>
      <c r="AQ5" s="678"/>
      <c r="AR5" s="678"/>
      <c r="AS5" s="678"/>
      <c r="AT5" s="678"/>
      <c r="AU5" s="678"/>
      <c r="AV5" s="678"/>
      <c r="AW5" s="678"/>
      <c r="AX5" s="678"/>
      <c r="AY5" s="678"/>
      <c r="AZ5" s="678"/>
      <c r="BA5" s="678"/>
      <c r="BB5" s="678"/>
      <c r="BC5" s="678"/>
      <c r="BD5" s="678"/>
      <c r="BE5" s="678"/>
      <c r="BF5" s="678"/>
      <c r="BG5" s="678"/>
      <c r="BH5" s="678"/>
      <c r="BI5" s="678"/>
      <c r="BJ5" s="678"/>
      <c r="BK5" s="678"/>
      <c r="BL5" s="678"/>
      <c r="BM5" s="678"/>
      <c r="BN5" s="678"/>
      <c r="BO5" s="678"/>
      <c r="BP5" s="678"/>
      <c r="BQ5" s="678"/>
      <c r="BR5" s="678"/>
      <c r="BS5" s="678"/>
      <c r="BT5" s="678"/>
      <c r="BU5" s="678"/>
      <c r="BV5" s="678"/>
      <c r="BW5" s="678"/>
      <c r="BX5" s="678"/>
      <c r="BY5" s="678"/>
      <c r="BZ5" s="678"/>
      <c r="CA5" s="678"/>
      <c r="CB5" s="678"/>
      <c r="CC5" s="678"/>
      <c r="CD5" s="678"/>
      <c r="CE5" s="678"/>
      <c r="CF5" s="678"/>
      <c r="CG5" s="678"/>
      <c r="CH5" s="678"/>
      <c r="CI5" s="678"/>
      <c r="CJ5" s="678"/>
      <c r="CK5" s="678"/>
      <c r="CL5" s="678"/>
      <c r="CM5" s="678"/>
      <c r="CN5" s="678"/>
      <c r="CO5" s="678"/>
      <c r="CP5" s="678"/>
      <c r="CQ5" s="678"/>
      <c r="CR5" s="678"/>
      <c r="CS5" s="678"/>
      <c r="CT5" s="678"/>
      <c r="CU5" s="678"/>
      <c r="CV5" s="678"/>
      <c r="CW5" s="678"/>
      <c r="CX5" s="678"/>
      <c r="CY5" s="678"/>
      <c r="CZ5" s="678"/>
      <c r="DA5" s="678"/>
      <c r="DB5" s="678"/>
      <c r="DC5" s="678"/>
      <c r="DD5" s="678"/>
      <c r="DE5" s="678"/>
      <c r="DF5" s="678"/>
      <c r="DG5" s="678"/>
      <c r="DH5" s="678"/>
      <c r="DI5" s="678"/>
      <c r="DJ5" s="678"/>
      <c r="DK5" s="678"/>
      <c r="DL5" s="678"/>
      <c r="DM5" s="678"/>
      <c r="DN5" s="678"/>
      <c r="DO5" s="678"/>
      <c r="DP5" s="678"/>
      <c r="DQ5" s="678"/>
      <c r="DR5" s="678"/>
      <c r="DS5" s="678"/>
      <c r="DT5" s="678"/>
      <c r="DU5" s="678"/>
      <c r="DV5" s="678"/>
      <c r="DW5" s="678"/>
      <c r="DX5" s="678"/>
      <c r="DY5" s="678"/>
      <c r="DZ5" s="678"/>
      <c r="EA5" s="678"/>
      <c r="EB5" s="678"/>
      <c r="EC5" s="678"/>
      <c r="ED5" s="678"/>
      <c r="EE5" s="678"/>
      <c r="EF5" s="678"/>
      <c r="EG5" s="678"/>
      <c r="EH5" s="678"/>
      <c r="EI5" s="678"/>
      <c r="EJ5" s="678"/>
      <c r="EK5" s="678"/>
      <c r="EL5" s="678"/>
      <c r="EM5" s="678"/>
      <c r="EN5" s="678"/>
      <c r="EO5" s="678"/>
      <c r="EP5" s="678"/>
      <c r="EQ5" s="678"/>
      <c r="ER5" s="678"/>
      <c r="ES5" s="678"/>
      <c r="ET5" s="678"/>
      <c r="EU5" s="678"/>
      <c r="EV5" s="678"/>
      <c r="EW5" s="678"/>
      <c r="EX5" s="678"/>
      <c r="EY5" s="678"/>
      <c r="EZ5" s="678"/>
      <c r="FA5" s="678"/>
      <c r="FB5" s="678"/>
      <c r="FC5" s="678"/>
      <c r="FD5" s="678"/>
      <c r="FE5" s="678"/>
      <c r="FF5" s="678"/>
      <c r="FG5" s="678"/>
      <c r="FH5" s="678"/>
      <c r="FI5" s="678"/>
      <c r="FJ5" s="678"/>
      <c r="FK5" s="678"/>
      <c r="FL5" s="678"/>
      <c r="FM5" s="678"/>
      <c r="FN5" s="678"/>
      <c r="FO5" s="678"/>
      <c r="FP5" s="678"/>
      <c r="FQ5" s="678"/>
      <c r="FR5" s="678"/>
      <c r="FS5" s="678"/>
      <c r="FT5" s="678"/>
      <c r="FU5" s="678"/>
      <c r="FV5" s="678"/>
      <c r="FW5" s="678"/>
      <c r="FX5" s="678"/>
      <c r="FY5" s="678"/>
      <c r="FZ5" s="678"/>
      <c r="GA5" s="678"/>
      <c r="GB5" s="678"/>
      <c r="GC5" s="678"/>
      <c r="GD5" s="678"/>
      <c r="GE5" s="678"/>
      <c r="GF5" s="678"/>
      <c r="GG5" s="678"/>
      <c r="GH5" s="678"/>
      <c r="GI5" s="678"/>
      <c r="GJ5" s="678"/>
      <c r="GK5" s="678"/>
      <c r="GL5" s="678"/>
      <c r="GM5" s="678"/>
      <c r="GN5" s="678"/>
      <c r="GO5" s="678"/>
      <c r="GP5" s="678"/>
      <c r="GQ5" s="678"/>
      <c r="GR5" s="678"/>
      <c r="GS5" s="678"/>
      <c r="GT5" s="678"/>
      <c r="GU5" s="678"/>
      <c r="GV5" s="678"/>
      <c r="GW5" s="678"/>
      <c r="GX5" s="678"/>
      <c r="GY5" s="678"/>
      <c r="GZ5" s="678"/>
      <c r="HA5" s="678"/>
      <c r="HB5" s="678"/>
      <c r="HC5" s="678"/>
      <c r="HD5" s="678"/>
      <c r="HE5" s="678"/>
      <c r="HF5" s="678"/>
      <c r="HG5" s="678"/>
      <c r="HH5" s="678"/>
      <c r="HI5" s="678"/>
      <c r="HJ5" s="678"/>
      <c r="HK5" s="678"/>
      <c r="HL5" s="678"/>
      <c r="HM5" s="678"/>
      <c r="HN5" s="678"/>
      <c r="HO5" s="678"/>
      <c r="HP5" s="678"/>
      <c r="HQ5" s="678"/>
      <c r="HR5" s="678"/>
      <c r="HS5" s="678"/>
      <c r="HT5" s="678"/>
      <c r="HU5" s="678"/>
      <c r="HV5" s="678"/>
      <c r="HW5" s="678"/>
      <c r="HX5" s="678"/>
      <c r="HY5" s="678"/>
      <c r="HZ5" s="678"/>
      <c r="IA5" s="678"/>
      <c r="IB5" s="678"/>
      <c r="IC5" s="678"/>
      <c r="ID5" s="678"/>
      <c r="IE5" s="678"/>
      <c r="IF5" s="678"/>
      <c r="IG5" s="678"/>
      <c r="IH5" s="678"/>
      <c r="II5" s="678"/>
      <c r="IJ5" s="678"/>
      <c r="IK5" s="678"/>
      <c r="IL5" s="678"/>
      <c r="IM5" s="678"/>
      <c r="IN5" s="678"/>
      <c r="IO5" s="678"/>
      <c r="IP5" s="678"/>
    </row>
    <row r="6" spans="1:250" ht="30" customHeight="1" x14ac:dyDescent="0.3">
      <c r="B6" s="1442" t="s">
        <v>18</v>
      </c>
      <c r="C6" s="1445" t="s">
        <v>19</v>
      </c>
      <c r="D6" s="1448" t="s">
        <v>6</v>
      </c>
      <c r="E6" s="1439" t="s">
        <v>21</v>
      </c>
      <c r="F6" s="1439" t="s">
        <v>671</v>
      </c>
      <c r="G6" s="1457" t="s">
        <v>619</v>
      </c>
      <c r="H6" s="1454" t="s">
        <v>231</v>
      </c>
      <c r="I6" s="1466" t="s">
        <v>581</v>
      </c>
      <c r="J6" s="1466"/>
      <c r="K6" s="1467"/>
      <c r="L6" s="1436" t="s">
        <v>620</v>
      </c>
    </row>
    <row r="7" spans="1:250" ht="45" customHeight="1" x14ac:dyDescent="0.3">
      <c r="B7" s="1443"/>
      <c r="C7" s="1446"/>
      <c r="D7" s="1449"/>
      <c r="E7" s="1440"/>
      <c r="F7" s="1440"/>
      <c r="G7" s="1458"/>
      <c r="H7" s="1455"/>
      <c r="I7" s="682" t="s">
        <v>35</v>
      </c>
      <c r="J7" s="751" t="s">
        <v>120</v>
      </c>
      <c r="K7" s="1452" t="s">
        <v>97</v>
      </c>
      <c r="L7" s="1437"/>
    </row>
    <row r="8" spans="1:250" ht="53.25" customHeight="1" thickBot="1" x14ac:dyDescent="0.35">
      <c r="B8" s="1444"/>
      <c r="C8" s="1447"/>
      <c r="D8" s="1450"/>
      <c r="E8" s="1441"/>
      <c r="F8" s="1441"/>
      <c r="G8" s="1459"/>
      <c r="H8" s="1456"/>
      <c r="I8" s="685" t="s">
        <v>38</v>
      </c>
      <c r="J8" s="686" t="s">
        <v>182</v>
      </c>
      <c r="K8" s="1453"/>
      <c r="L8" s="1438"/>
    </row>
    <row r="9" spans="1:250" ht="23.25" customHeight="1" x14ac:dyDescent="0.3">
      <c r="A9" s="687">
        <v>1</v>
      </c>
      <c r="B9" s="688">
        <v>18</v>
      </c>
      <c r="C9" s="251" t="s">
        <v>22</v>
      </c>
      <c r="D9" s="689"/>
      <c r="E9" s="690"/>
      <c r="F9" s="691"/>
      <c r="G9" s="1254"/>
      <c r="H9" s="692"/>
      <c r="I9" s="693"/>
      <c r="J9" s="694"/>
      <c r="K9" s="695"/>
      <c r="L9" s="696"/>
    </row>
    <row r="10" spans="1:250" ht="20.100000000000001" customHeight="1" x14ac:dyDescent="0.3">
      <c r="A10" s="687">
        <v>2</v>
      </c>
      <c r="B10" s="697"/>
      <c r="C10" s="705">
        <v>1</v>
      </c>
      <c r="D10" s="706" t="s">
        <v>297</v>
      </c>
      <c r="E10" s="698"/>
      <c r="F10" s="699"/>
      <c r="G10" s="1111"/>
      <c r="H10" s="711" t="s">
        <v>24</v>
      </c>
      <c r="I10" s="701"/>
      <c r="J10" s="702"/>
      <c r="K10" s="703"/>
      <c r="L10" s="704"/>
    </row>
    <row r="11" spans="1:250" ht="20.100000000000001" customHeight="1" x14ac:dyDescent="0.3">
      <c r="A11" s="687">
        <v>3</v>
      </c>
      <c r="B11" s="697"/>
      <c r="C11" s="705">
        <v>2</v>
      </c>
      <c r="D11" s="706" t="s">
        <v>436</v>
      </c>
      <c r="E11" s="698">
        <f>F11+G11</f>
        <v>20980</v>
      </c>
      <c r="F11" s="699">
        <v>3354</v>
      </c>
      <c r="G11" s="1111">
        <v>17626</v>
      </c>
      <c r="H11" s="711" t="s">
        <v>23</v>
      </c>
      <c r="I11" s="701"/>
      <c r="J11" s="702"/>
      <c r="K11" s="703"/>
      <c r="L11" s="704"/>
    </row>
    <row r="12" spans="1:250" ht="20.100000000000001" customHeight="1" x14ac:dyDescent="0.3">
      <c r="A12" s="687">
        <v>4</v>
      </c>
      <c r="B12" s="697"/>
      <c r="C12" s="705">
        <v>3</v>
      </c>
      <c r="D12" s="706" t="s">
        <v>349</v>
      </c>
      <c r="E12" s="698">
        <f>F12+G12</f>
        <v>20000</v>
      </c>
      <c r="F12" s="699">
        <f>1336+18664</f>
        <v>20000</v>
      </c>
      <c r="G12" s="1111"/>
      <c r="H12" s="711" t="s">
        <v>23</v>
      </c>
      <c r="I12" s="701"/>
      <c r="J12" s="702"/>
      <c r="K12" s="703"/>
      <c r="L12" s="704"/>
    </row>
    <row r="13" spans="1:250" ht="20.100000000000001" customHeight="1" x14ac:dyDescent="0.3">
      <c r="A13" s="687">
        <v>5</v>
      </c>
      <c r="B13" s="697"/>
      <c r="C13" s="705">
        <v>4</v>
      </c>
      <c r="D13" s="706" t="s">
        <v>348</v>
      </c>
      <c r="E13" s="698">
        <f>F13+G13</f>
        <v>25000</v>
      </c>
      <c r="F13" s="699">
        <f>15000+10000</f>
        <v>25000</v>
      </c>
      <c r="G13" s="1111"/>
      <c r="H13" s="711" t="s">
        <v>23</v>
      </c>
      <c r="I13" s="701"/>
      <c r="J13" s="702"/>
      <c r="K13" s="703"/>
      <c r="L13" s="704"/>
    </row>
    <row r="14" spans="1:250" ht="20.100000000000001" customHeight="1" x14ac:dyDescent="0.3">
      <c r="A14" s="687">
        <v>6</v>
      </c>
      <c r="B14" s="697"/>
      <c r="C14" s="705">
        <v>5</v>
      </c>
      <c r="D14" s="706" t="s">
        <v>324</v>
      </c>
      <c r="E14" s="698">
        <f>F14+G14</f>
        <v>60846</v>
      </c>
      <c r="F14" s="699">
        <f>12665+27420</f>
        <v>40085</v>
      </c>
      <c r="G14" s="1111">
        <v>20761</v>
      </c>
      <c r="H14" s="711" t="s">
        <v>23</v>
      </c>
      <c r="I14" s="701"/>
      <c r="J14" s="702"/>
      <c r="K14" s="703"/>
      <c r="L14" s="704"/>
    </row>
    <row r="15" spans="1:250" ht="21.75" customHeight="1" x14ac:dyDescent="0.3">
      <c r="A15" s="687">
        <v>7</v>
      </c>
      <c r="B15" s="697"/>
      <c r="C15" s="705">
        <v>6</v>
      </c>
      <c r="D15" s="706" t="s">
        <v>350</v>
      </c>
      <c r="E15" s="698">
        <f t="shared" ref="E15:E20" si="0">F15+G15</f>
        <v>0</v>
      </c>
      <c r="F15" s="699"/>
      <c r="G15" s="1111"/>
      <c r="H15" s="711" t="s">
        <v>24</v>
      </c>
      <c r="I15" s="701"/>
      <c r="J15" s="702"/>
      <c r="K15" s="703"/>
      <c r="L15" s="704"/>
    </row>
    <row r="16" spans="1:250" ht="20.100000000000001" customHeight="1" x14ac:dyDescent="0.3">
      <c r="A16" s="687">
        <v>8</v>
      </c>
      <c r="B16" s="697"/>
      <c r="C16" s="705">
        <v>7</v>
      </c>
      <c r="D16" s="706" t="s">
        <v>351</v>
      </c>
      <c r="E16" s="698">
        <f t="shared" si="0"/>
        <v>7000</v>
      </c>
      <c r="F16" s="699">
        <f>4000+3000</f>
        <v>7000</v>
      </c>
      <c r="G16" s="1111"/>
      <c r="H16" s="711" t="s">
        <v>23</v>
      </c>
      <c r="I16" s="701"/>
      <c r="J16" s="702"/>
      <c r="K16" s="703"/>
      <c r="L16" s="704"/>
    </row>
    <row r="17" spans="1:12" ht="22.15" customHeight="1" x14ac:dyDescent="0.3">
      <c r="A17" s="687">
        <v>9</v>
      </c>
      <c r="B17" s="697"/>
      <c r="C17" s="705">
        <v>16</v>
      </c>
      <c r="D17" s="706" t="s">
        <v>433</v>
      </c>
      <c r="E17" s="698">
        <f t="shared" si="0"/>
        <v>2285</v>
      </c>
      <c r="F17" s="699">
        <v>2285</v>
      </c>
      <c r="G17" s="1111"/>
      <c r="H17" s="711" t="s">
        <v>24</v>
      </c>
      <c r="I17" s="702"/>
      <c r="J17" s="702"/>
      <c r="K17" s="703"/>
      <c r="L17" s="709"/>
    </row>
    <row r="18" spans="1:12" ht="22.15" customHeight="1" x14ac:dyDescent="0.3">
      <c r="A18" s="687">
        <v>10</v>
      </c>
      <c r="B18" s="697"/>
      <c r="C18" s="705">
        <v>18</v>
      </c>
      <c r="D18" s="706" t="s">
        <v>489</v>
      </c>
      <c r="E18" s="698">
        <f t="shared" si="0"/>
        <v>379722</v>
      </c>
      <c r="F18" s="699">
        <v>209999</v>
      </c>
      <c r="G18" s="1111">
        <v>169723</v>
      </c>
      <c r="H18" s="711" t="s">
        <v>24</v>
      </c>
      <c r="I18" s="701"/>
      <c r="J18" s="702"/>
      <c r="K18" s="703"/>
      <c r="L18" s="704"/>
    </row>
    <row r="19" spans="1:12" ht="20.100000000000001" customHeight="1" x14ac:dyDescent="0.3">
      <c r="A19" s="687">
        <v>11</v>
      </c>
      <c r="B19" s="697"/>
      <c r="C19" s="705">
        <v>52</v>
      </c>
      <c r="D19" s="706" t="s">
        <v>434</v>
      </c>
      <c r="E19" s="698">
        <f t="shared" si="0"/>
        <v>35614</v>
      </c>
      <c r="F19" s="699">
        <v>6149</v>
      </c>
      <c r="G19" s="1111">
        <v>29465</v>
      </c>
      <c r="H19" s="711" t="s">
        <v>24</v>
      </c>
      <c r="I19" s="701"/>
      <c r="J19" s="702"/>
      <c r="K19" s="703"/>
      <c r="L19" s="704"/>
    </row>
    <row r="20" spans="1:12" ht="20.100000000000001" customHeight="1" x14ac:dyDescent="0.3">
      <c r="A20" s="687">
        <v>12</v>
      </c>
      <c r="B20" s="697"/>
      <c r="C20" s="705">
        <v>53</v>
      </c>
      <c r="D20" s="706" t="s">
        <v>435</v>
      </c>
      <c r="E20" s="698">
        <f t="shared" si="0"/>
        <v>0</v>
      </c>
      <c r="F20" s="699"/>
      <c r="G20" s="1111"/>
      <c r="H20" s="711" t="s">
        <v>24</v>
      </c>
      <c r="I20" s="701"/>
      <c r="J20" s="702"/>
      <c r="K20" s="703"/>
      <c r="L20" s="704"/>
    </row>
    <row r="21" spans="1:12" ht="22.5" customHeight="1" x14ac:dyDescent="0.3">
      <c r="A21" s="687">
        <v>13</v>
      </c>
      <c r="B21" s="697"/>
      <c r="C21" s="705">
        <v>78</v>
      </c>
      <c r="D21" s="706" t="s">
        <v>508</v>
      </c>
      <c r="E21" s="698">
        <f>F21+G21+K22+L22</f>
        <v>270000</v>
      </c>
      <c r="F21" s="699">
        <v>7430</v>
      </c>
      <c r="G21" s="1111">
        <v>253963</v>
      </c>
      <c r="H21" s="711" t="s">
        <v>23</v>
      </c>
      <c r="I21" s="701"/>
      <c r="J21" s="702"/>
      <c r="K21" s="703"/>
      <c r="L21" s="704"/>
    </row>
    <row r="22" spans="1:12" ht="20.100000000000001" customHeight="1" x14ac:dyDescent="0.3">
      <c r="A22" s="687">
        <v>14</v>
      </c>
      <c r="B22" s="697"/>
      <c r="C22" s="705"/>
      <c r="D22" s="292" t="s">
        <v>372</v>
      </c>
      <c r="E22" s="698"/>
      <c r="F22" s="699"/>
      <c r="G22" s="1111"/>
      <c r="H22" s="711"/>
      <c r="I22" s="701"/>
      <c r="J22" s="702">
        <v>8607</v>
      </c>
      <c r="K22" s="703">
        <f t="shared" ref="K22:K24" si="1">SUM(I22:J22)</f>
        <v>8607</v>
      </c>
      <c r="L22" s="704"/>
    </row>
    <row r="23" spans="1:12" ht="20.100000000000001" customHeight="1" x14ac:dyDescent="0.3">
      <c r="A23" s="687">
        <v>15</v>
      </c>
      <c r="B23" s="731"/>
      <c r="C23" s="705">
        <v>83</v>
      </c>
      <c r="D23" s="791" t="s">
        <v>685</v>
      </c>
      <c r="E23" s="698"/>
      <c r="F23" s="699"/>
      <c r="G23" s="1111"/>
      <c r="H23" s="711" t="s">
        <v>23</v>
      </c>
      <c r="I23" s="701"/>
      <c r="J23" s="702"/>
      <c r="K23" s="703"/>
      <c r="L23" s="704"/>
    </row>
    <row r="24" spans="1:12" ht="20.100000000000001" customHeight="1" x14ac:dyDescent="0.3">
      <c r="A24" s="687">
        <v>16</v>
      </c>
      <c r="B24" s="731"/>
      <c r="C24" s="705"/>
      <c r="D24" s="292" t="s">
        <v>238</v>
      </c>
      <c r="E24" s="698"/>
      <c r="F24" s="699"/>
      <c r="G24" s="1111"/>
      <c r="H24" s="711"/>
      <c r="I24" s="701"/>
      <c r="J24" s="702">
        <v>3000</v>
      </c>
      <c r="K24" s="703">
        <f t="shared" si="1"/>
        <v>3000</v>
      </c>
      <c r="L24" s="704"/>
    </row>
    <row r="25" spans="1:12" ht="36.75" customHeight="1" x14ac:dyDescent="0.3">
      <c r="A25" s="687">
        <v>17</v>
      </c>
      <c r="B25" s="731"/>
      <c r="C25" s="675">
        <v>84</v>
      </c>
      <c r="D25" s="1102" t="s">
        <v>672</v>
      </c>
      <c r="E25" s="698">
        <f>F25+G25+K26+L26</f>
        <v>14064</v>
      </c>
      <c r="F25" s="699"/>
      <c r="G25" s="1111"/>
      <c r="H25" s="711" t="s">
        <v>23</v>
      </c>
      <c r="I25" s="701"/>
      <c r="J25" s="702"/>
      <c r="K25" s="703"/>
      <c r="L25" s="704"/>
    </row>
    <row r="26" spans="1:12" ht="20.100000000000001" customHeight="1" thickBot="1" x14ac:dyDescent="0.35">
      <c r="A26" s="687">
        <v>18</v>
      </c>
      <c r="B26" s="731"/>
      <c r="C26" s="705"/>
      <c r="D26" s="292" t="s">
        <v>372</v>
      </c>
      <c r="E26" s="698"/>
      <c r="F26" s="699"/>
      <c r="G26" s="1111"/>
      <c r="H26" s="711"/>
      <c r="I26" s="701"/>
      <c r="J26" s="702">
        <v>14064</v>
      </c>
      <c r="K26" s="703">
        <f t="shared" ref="K26" si="2">SUM(I26:J26)</f>
        <v>14064</v>
      </c>
      <c r="L26" s="704"/>
    </row>
    <row r="27" spans="1:12" ht="25.15" customHeight="1" thickTop="1" x14ac:dyDescent="0.3">
      <c r="A27" s="687">
        <v>19</v>
      </c>
      <c r="B27" s="752"/>
      <c r="C27" s="753"/>
      <c r="D27" s="1463" t="s">
        <v>13</v>
      </c>
      <c r="E27" s="1463"/>
      <c r="F27" s="1463"/>
      <c r="G27" s="1464"/>
      <c r="H27" s="754"/>
      <c r="I27" s="781"/>
      <c r="J27" s="782"/>
      <c r="K27" s="756"/>
      <c r="L27" s="783"/>
    </row>
    <row r="28" spans="1:12" ht="20.100000000000001" customHeight="1" thickBot="1" x14ac:dyDescent="0.35">
      <c r="A28" s="687">
        <v>20</v>
      </c>
      <c r="B28" s="784"/>
      <c r="C28" s="785"/>
      <c r="D28" s="786" t="s">
        <v>372</v>
      </c>
      <c r="E28" s="1105"/>
      <c r="F28" s="1105"/>
      <c r="G28" s="1258"/>
      <c r="H28" s="760"/>
      <c r="I28" s="761">
        <f>SUM(I10:I26)</f>
        <v>0</v>
      </c>
      <c r="J28" s="761">
        <f>SUM(J10:J26)</f>
        <v>25671</v>
      </c>
      <c r="K28" s="787">
        <f>SUM(I28:J28)</f>
        <v>25671</v>
      </c>
      <c r="L28" s="762"/>
    </row>
    <row r="29" spans="1:12" ht="20.100000000000001" customHeight="1" thickTop="1" x14ac:dyDescent="0.3">
      <c r="A29" s="687">
        <v>21</v>
      </c>
      <c r="B29" s="779"/>
      <c r="C29" s="780"/>
      <c r="D29" s="1468" t="s">
        <v>88</v>
      </c>
      <c r="E29" s="1469"/>
      <c r="F29" s="1469"/>
      <c r="G29" s="1470"/>
      <c r="H29" s="766"/>
      <c r="I29" s="767"/>
      <c r="J29" s="767"/>
      <c r="K29" s="774"/>
      <c r="L29" s="771"/>
    </row>
    <row r="30" spans="1:12" ht="20.100000000000001" customHeight="1" x14ac:dyDescent="0.3">
      <c r="A30" s="687">
        <v>22</v>
      </c>
      <c r="B30" s="764"/>
      <c r="C30" s="765"/>
      <c r="D30" s="1415" t="s">
        <v>238</v>
      </c>
      <c r="E30" s="1416"/>
      <c r="F30" s="1416"/>
      <c r="G30" s="1417"/>
      <c r="H30" s="768"/>
      <c r="I30" s="702">
        <f>I26+I22+I24</f>
        <v>0</v>
      </c>
      <c r="J30" s="702">
        <f>J26+J22+J24</f>
        <v>25671</v>
      </c>
      <c r="K30" s="775">
        <f>SUM(I30:J30)</f>
        <v>25671</v>
      </c>
      <c r="L30" s="772"/>
    </row>
    <row r="31" spans="1:12" ht="20.100000000000001" customHeight="1" x14ac:dyDescent="0.3">
      <c r="A31" s="687">
        <v>23</v>
      </c>
      <c r="B31" s="764"/>
      <c r="C31" s="765"/>
      <c r="D31" s="1418" t="s">
        <v>89</v>
      </c>
      <c r="E31" s="1419"/>
      <c r="F31" s="1419"/>
      <c r="G31" s="1420"/>
      <c r="H31" s="768"/>
      <c r="I31" s="702"/>
      <c r="J31" s="702"/>
      <c r="K31" s="775"/>
      <c r="L31" s="772"/>
    </row>
    <row r="32" spans="1:12" ht="20.100000000000001" customHeight="1" thickBot="1" x14ac:dyDescent="0.35">
      <c r="A32" s="687">
        <v>24</v>
      </c>
      <c r="B32" s="729"/>
      <c r="C32" s="730"/>
      <c r="D32" s="1460" t="s">
        <v>238</v>
      </c>
      <c r="E32" s="1461"/>
      <c r="F32" s="1461"/>
      <c r="G32" s="1462"/>
      <c r="H32" s="770"/>
      <c r="I32" s="778">
        <v>0</v>
      </c>
      <c r="J32" s="778">
        <v>0</v>
      </c>
      <c r="K32" s="776">
        <f>SUM(I32:J32)</f>
        <v>0</v>
      </c>
      <c r="L32" s="773"/>
    </row>
    <row r="33" spans="1:252" ht="18" customHeight="1" x14ac:dyDescent="0.3">
      <c r="A33" s="687"/>
      <c r="B33" s="726" t="s">
        <v>25</v>
      </c>
      <c r="C33" s="726"/>
      <c r="D33" s="726"/>
      <c r="E33" s="727"/>
      <c r="F33" s="1259"/>
      <c r="G33" s="727"/>
      <c r="H33" s="728"/>
      <c r="I33" s="727"/>
      <c r="J33" s="727"/>
      <c r="K33" s="727"/>
    </row>
    <row r="34" spans="1:252" ht="18" customHeight="1" x14ac:dyDescent="0.3">
      <c r="A34" s="687"/>
      <c r="B34" s="726" t="s">
        <v>26</v>
      </c>
      <c r="C34" s="726"/>
      <c r="D34" s="726"/>
      <c r="E34" s="1260"/>
      <c r="F34" s="1259"/>
      <c r="G34" s="727"/>
      <c r="H34" s="728"/>
      <c r="I34" s="727"/>
      <c r="J34" s="727"/>
      <c r="K34" s="727"/>
    </row>
    <row r="35" spans="1:252" ht="18" customHeight="1" x14ac:dyDescent="0.3">
      <c r="A35" s="687"/>
      <c r="B35" s="726" t="s">
        <v>27</v>
      </c>
      <c r="C35" s="726"/>
      <c r="D35" s="726"/>
      <c r="E35" s="1260"/>
      <c r="F35" s="1259"/>
      <c r="G35" s="727"/>
      <c r="H35" s="728"/>
      <c r="I35" s="727"/>
      <c r="J35" s="727"/>
      <c r="K35" s="727"/>
    </row>
    <row r="36" spans="1:252" s="220" customFormat="1" x14ac:dyDescent="0.3">
      <c r="A36" s="678"/>
      <c r="B36" s="679"/>
      <c r="C36" s="680"/>
      <c r="D36" s="681"/>
      <c r="H36" s="682"/>
      <c r="L36" s="7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1"/>
      <c r="AJ36" s="221"/>
      <c r="AK36" s="221"/>
      <c r="AL36" s="221"/>
      <c r="AM36" s="221"/>
      <c r="AN36" s="221"/>
      <c r="AO36" s="221"/>
      <c r="AP36" s="221"/>
      <c r="AQ36" s="221"/>
      <c r="AR36" s="221"/>
      <c r="AS36" s="221"/>
      <c r="AT36" s="221"/>
      <c r="AU36" s="221"/>
      <c r="AV36" s="221"/>
      <c r="AW36" s="221"/>
      <c r="AX36" s="221"/>
      <c r="AY36" s="221"/>
      <c r="AZ36" s="221"/>
      <c r="BA36" s="221"/>
      <c r="BB36" s="221"/>
      <c r="BC36" s="221"/>
      <c r="BD36" s="221"/>
      <c r="BE36" s="221"/>
      <c r="BF36" s="221"/>
      <c r="BG36" s="221"/>
      <c r="BH36" s="221"/>
      <c r="BI36" s="221"/>
      <c r="BJ36" s="221"/>
      <c r="BK36" s="221"/>
      <c r="BL36" s="221"/>
      <c r="BM36" s="221"/>
      <c r="BN36" s="221"/>
      <c r="BO36" s="221"/>
      <c r="BP36" s="221"/>
      <c r="BQ36" s="221"/>
      <c r="BR36" s="221"/>
      <c r="BS36" s="221"/>
      <c r="BT36" s="221"/>
      <c r="BU36" s="221"/>
      <c r="BV36" s="221"/>
      <c r="BW36" s="221"/>
      <c r="BX36" s="221"/>
      <c r="BY36" s="221"/>
      <c r="BZ36" s="221"/>
      <c r="CA36" s="221"/>
      <c r="CB36" s="221"/>
      <c r="CC36" s="221"/>
      <c r="CD36" s="221"/>
      <c r="CE36" s="221"/>
      <c r="CF36" s="221"/>
      <c r="CG36" s="221"/>
      <c r="CH36" s="221"/>
      <c r="CI36" s="221"/>
      <c r="CJ36" s="221"/>
      <c r="CK36" s="221"/>
      <c r="CL36" s="221"/>
      <c r="CM36" s="221"/>
      <c r="CN36" s="221"/>
      <c r="CO36" s="221"/>
      <c r="CP36" s="221"/>
      <c r="CQ36" s="221"/>
      <c r="CR36" s="221"/>
      <c r="CS36" s="221"/>
      <c r="CT36" s="221"/>
      <c r="CU36" s="221"/>
      <c r="CV36" s="221"/>
      <c r="CW36" s="221"/>
      <c r="CX36" s="221"/>
      <c r="CY36" s="221"/>
      <c r="CZ36" s="221"/>
      <c r="DA36" s="221"/>
      <c r="DB36" s="221"/>
      <c r="DC36" s="221"/>
      <c r="DD36" s="221"/>
      <c r="DE36" s="221"/>
      <c r="DF36" s="221"/>
      <c r="DG36" s="221"/>
      <c r="DH36" s="221"/>
      <c r="DI36" s="221"/>
      <c r="DJ36" s="221"/>
      <c r="DK36" s="221"/>
      <c r="DL36" s="221"/>
      <c r="DM36" s="221"/>
      <c r="DN36" s="221"/>
      <c r="DO36" s="221"/>
      <c r="DP36" s="221"/>
      <c r="DQ36" s="221"/>
      <c r="DR36" s="221"/>
      <c r="DS36" s="221"/>
      <c r="DT36" s="221"/>
      <c r="DU36" s="221"/>
      <c r="DV36" s="221"/>
      <c r="DW36" s="221"/>
      <c r="DX36" s="221"/>
      <c r="DY36" s="221"/>
      <c r="DZ36" s="221"/>
      <c r="EA36" s="221"/>
      <c r="EB36" s="221"/>
      <c r="EC36" s="221"/>
      <c r="ED36" s="221"/>
      <c r="EE36" s="221"/>
      <c r="EF36" s="221"/>
      <c r="EG36" s="221"/>
      <c r="EH36" s="221"/>
      <c r="EI36" s="221"/>
      <c r="EJ36" s="221"/>
      <c r="EK36" s="221"/>
      <c r="EL36" s="221"/>
      <c r="EM36" s="221"/>
      <c r="EN36" s="221"/>
      <c r="EO36" s="221"/>
      <c r="EP36" s="221"/>
      <c r="EQ36" s="221"/>
      <c r="ER36" s="221"/>
      <c r="ES36" s="221"/>
      <c r="ET36" s="221"/>
      <c r="EU36" s="221"/>
      <c r="EV36" s="221"/>
      <c r="EW36" s="221"/>
      <c r="EX36" s="221"/>
      <c r="EY36" s="221"/>
      <c r="EZ36" s="221"/>
      <c r="FA36" s="221"/>
      <c r="FB36" s="221"/>
      <c r="FC36" s="221"/>
      <c r="FD36" s="221"/>
      <c r="FE36" s="221"/>
      <c r="FF36" s="221"/>
      <c r="FG36" s="221"/>
      <c r="FH36" s="221"/>
      <c r="FI36" s="221"/>
      <c r="FJ36" s="221"/>
      <c r="FK36" s="221"/>
      <c r="FL36" s="221"/>
      <c r="FM36" s="221"/>
      <c r="FN36" s="221"/>
      <c r="FO36" s="221"/>
      <c r="FP36" s="221"/>
      <c r="FQ36" s="221"/>
      <c r="FR36" s="221"/>
      <c r="FS36" s="221"/>
      <c r="FT36" s="221"/>
      <c r="FU36" s="221"/>
      <c r="FV36" s="221"/>
      <c r="FW36" s="221"/>
      <c r="FX36" s="221"/>
      <c r="FY36" s="221"/>
      <c r="FZ36" s="221"/>
      <c r="GA36" s="221"/>
      <c r="GB36" s="221"/>
      <c r="GC36" s="221"/>
      <c r="GD36" s="221"/>
      <c r="GE36" s="221"/>
      <c r="GF36" s="221"/>
      <c r="GG36" s="221"/>
      <c r="GH36" s="221"/>
      <c r="GI36" s="221"/>
      <c r="GJ36" s="221"/>
      <c r="GK36" s="221"/>
      <c r="GL36" s="221"/>
      <c r="GM36" s="221"/>
      <c r="GN36" s="221"/>
      <c r="GO36" s="221"/>
      <c r="GP36" s="221"/>
      <c r="GQ36" s="221"/>
      <c r="GR36" s="221"/>
      <c r="GS36" s="221"/>
      <c r="GT36" s="221"/>
      <c r="GU36" s="221"/>
      <c r="GV36" s="221"/>
      <c r="GW36" s="221"/>
      <c r="GX36" s="221"/>
      <c r="GY36" s="221"/>
      <c r="GZ36" s="221"/>
      <c r="HA36" s="221"/>
      <c r="HB36" s="221"/>
      <c r="HC36" s="221"/>
      <c r="HD36" s="221"/>
      <c r="HE36" s="221"/>
      <c r="HF36" s="221"/>
      <c r="HG36" s="221"/>
      <c r="HH36" s="221"/>
      <c r="HI36" s="221"/>
      <c r="HJ36" s="221"/>
      <c r="HK36" s="221"/>
      <c r="HL36" s="221"/>
      <c r="HM36" s="221"/>
      <c r="HN36" s="221"/>
      <c r="HO36" s="221"/>
      <c r="HP36" s="221"/>
      <c r="HQ36" s="221"/>
      <c r="HR36" s="221"/>
      <c r="HS36" s="221"/>
      <c r="HT36" s="221"/>
      <c r="HU36" s="221"/>
      <c r="HV36" s="221"/>
      <c r="HW36" s="221"/>
      <c r="HX36" s="221"/>
      <c r="HY36" s="221"/>
      <c r="HZ36" s="221"/>
      <c r="IA36" s="221"/>
      <c r="IB36" s="221"/>
      <c r="IC36" s="221"/>
      <c r="ID36" s="221"/>
      <c r="IE36" s="221"/>
      <c r="IF36" s="221"/>
      <c r="IG36" s="221"/>
      <c r="IH36" s="221"/>
      <c r="II36" s="221"/>
      <c r="IJ36" s="221"/>
      <c r="IK36" s="221"/>
      <c r="IL36" s="221"/>
      <c r="IM36" s="221"/>
      <c r="IN36" s="221"/>
      <c r="IO36" s="221"/>
      <c r="IP36" s="221"/>
      <c r="IQ36" s="221"/>
      <c r="IR36" s="221"/>
    </row>
  </sheetData>
  <mergeCells count="19">
    <mergeCell ref="D29:G29"/>
    <mergeCell ref="D30:G30"/>
    <mergeCell ref="D31:G31"/>
    <mergeCell ref="D32:G32"/>
    <mergeCell ref="D27:G27"/>
    <mergeCell ref="B1:D1"/>
    <mergeCell ref="I1:L1"/>
    <mergeCell ref="B2:L2"/>
    <mergeCell ref="B3:L3"/>
    <mergeCell ref="B6:B8"/>
    <mergeCell ref="C6:C8"/>
    <mergeCell ref="D6:D8"/>
    <mergeCell ref="E6:E8"/>
    <mergeCell ref="F6:F8"/>
    <mergeCell ref="G6:G8"/>
    <mergeCell ref="I6:K6"/>
    <mergeCell ref="H6:H8"/>
    <mergeCell ref="L6:L8"/>
    <mergeCell ref="K7:K8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58" fitToHeight="0" orientation="portrait" r:id="rId1"/>
  <headerFooter>
    <oddFooter>&amp;C- &amp;P -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69"/>
  <sheetViews>
    <sheetView view="pageBreakPreview" topLeftCell="B1" zoomScaleNormal="100" zoomScaleSheetLayoutView="100" workbookViewId="0">
      <pane ySplit="9" topLeftCell="A10" activePane="bottomLeft" state="frozen"/>
      <selection activeCell="N9" sqref="N9"/>
      <selection pane="bottomLeft" activeCell="B1" sqref="B1:D1"/>
    </sheetView>
  </sheetViews>
  <sheetFormatPr defaultColWidth="9.28515625" defaultRowHeight="15" x14ac:dyDescent="0.3"/>
  <cols>
    <col min="1" max="1" width="3.7109375" style="678" customWidth="1"/>
    <col min="2" max="2" width="5.7109375" style="679" customWidth="1"/>
    <col min="3" max="3" width="5.7109375" style="680" customWidth="1"/>
    <col min="4" max="4" width="59.7109375" style="681" customWidth="1"/>
    <col min="5" max="6" width="10.7109375" style="721" customWidth="1"/>
    <col min="7" max="7" width="6.7109375" style="682" customWidth="1"/>
    <col min="8" max="10" width="14.7109375" style="721" customWidth="1"/>
    <col min="11" max="11" width="15.7109375" style="721" customWidth="1"/>
    <col min="12" max="12" width="13.7109375" style="721" customWidth="1"/>
    <col min="13" max="16384" width="9.28515625" style="221"/>
  </cols>
  <sheetData>
    <row r="1" spans="1:250" s="153" customFormat="1" ht="18" customHeight="1" x14ac:dyDescent="0.3">
      <c r="A1" s="676"/>
      <c r="B1" s="1429" t="s">
        <v>769</v>
      </c>
      <c r="C1" s="1429"/>
      <c r="D1" s="1429"/>
      <c r="E1" s="972"/>
      <c r="F1" s="972"/>
      <c r="G1" s="677"/>
      <c r="H1" s="1430"/>
      <c r="I1" s="1430"/>
      <c r="J1" s="1430"/>
      <c r="K1" s="1430"/>
      <c r="L1" s="1430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3"/>
      <c r="AJ1" s="213"/>
      <c r="AK1" s="213"/>
      <c r="AL1" s="213"/>
      <c r="AM1" s="213"/>
      <c r="AN1" s="213"/>
      <c r="AO1" s="213"/>
      <c r="AP1" s="213"/>
      <c r="AQ1" s="213"/>
      <c r="AR1" s="213"/>
      <c r="AS1" s="213"/>
      <c r="AT1" s="213"/>
      <c r="AU1" s="213"/>
      <c r="AV1" s="213"/>
      <c r="AW1" s="213"/>
      <c r="AX1" s="213"/>
      <c r="AY1" s="213"/>
      <c r="AZ1" s="213"/>
      <c r="BA1" s="213"/>
      <c r="BB1" s="213"/>
      <c r="BC1" s="213"/>
      <c r="BD1" s="213"/>
      <c r="BE1" s="213"/>
      <c r="BF1" s="213"/>
      <c r="BG1" s="213"/>
      <c r="BH1" s="213"/>
      <c r="BI1" s="213"/>
      <c r="BJ1" s="213"/>
      <c r="BK1" s="213"/>
      <c r="BL1" s="213"/>
      <c r="BM1" s="213"/>
      <c r="BN1" s="213"/>
      <c r="BO1" s="213"/>
      <c r="BP1" s="213"/>
      <c r="BQ1" s="213"/>
      <c r="BR1" s="213"/>
      <c r="BS1" s="213"/>
      <c r="BT1" s="213"/>
      <c r="BU1" s="213"/>
      <c r="BV1" s="213"/>
      <c r="BW1" s="213"/>
      <c r="BX1" s="213"/>
      <c r="BY1" s="213"/>
      <c r="BZ1" s="213"/>
      <c r="CA1" s="213"/>
      <c r="CB1" s="213"/>
      <c r="CC1" s="213"/>
      <c r="CD1" s="213"/>
      <c r="CE1" s="213"/>
      <c r="CF1" s="213"/>
      <c r="CG1" s="213"/>
      <c r="CH1" s="213"/>
      <c r="CI1" s="213"/>
      <c r="CJ1" s="213"/>
      <c r="CK1" s="213"/>
      <c r="CL1" s="213"/>
      <c r="CM1" s="213"/>
      <c r="CN1" s="213"/>
      <c r="CO1" s="213"/>
      <c r="CP1" s="213"/>
      <c r="CQ1" s="213"/>
      <c r="CR1" s="213"/>
      <c r="CS1" s="213"/>
      <c r="CT1" s="213"/>
      <c r="CU1" s="213"/>
      <c r="CV1" s="213"/>
      <c r="CW1" s="213"/>
      <c r="CX1" s="213"/>
      <c r="CY1" s="213"/>
      <c r="CZ1" s="213"/>
      <c r="DA1" s="213"/>
      <c r="DB1" s="213"/>
      <c r="DC1" s="213"/>
      <c r="DD1" s="213"/>
      <c r="DE1" s="213"/>
      <c r="DF1" s="213"/>
      <c r="DG1" s="213"/>
      <c r="DH1" s="213"/>
      <c r="DI1" s="213"/>
      <c r="DJ1" s="213"/>
      <c r="DK1" s="213"/>
      <c r="DL1" s="213"/>
      <c r="DM1" s="213"/>
      <c r="DN1" s="213"/>
      <c r="DO1" s="213"/>
      <c r="DP1" s="213"/>
      <c r="DQ1" s="213"/>
      <c r="DR1" s="213"/>
      <c r="DS1" s="213"/>
      <c r="DT1" s="213"/>
      <c r="DU1" s="213"/>
      <c r="DV1" s="213"/>
      <c r="DW1" s="213"/>
      <c r="DX1" s="213"/>
      <c r="DY1" s="213"/>
      <c r="DZ1" s="213"/>
      <c r="EA1" s="213"/>
      <c r="EB1" s="213"/>
      <c r="EC1" s="213"/>
      <c r="ED1" s="213"/>
      <c r="EE1" s="213"/>
      <c r="EF1" s="213"/>
      <c r="EG1" s="213"/>
      <c r="EH1" s="213"/>
      <c r="EI1" s="213"/>
      <c r="EJ1" s="213"/>
      <c r="EK1" s="213"/>
      <c r="EL1" s="213"/>
      <c r="EM1" s="213"/>
      <c r="EN1" s="213"/>
      <c r="EO1" s="213"/>
      <c r="EP1" s="213"/>
      <c r="EQ1" s="213"/>
      <c r="ER1" s="213"/>
      <c r="ES1" s="213"/>
      <c r="ET1" s="213"/>
      <c r="EU1" s="213"/>
      <c r="EV1" s="213"/>
      <c r="EW1" s="213"/>
      <c r="EX1" s="213"/>
      <c r="EY1" s="213"/>
      <c r="EZ1" s="213"/>
      <c r="FA1" s="213"/>
      <c r="FB1" s="213"/>
      <c r="FC1" s="213"/>
      <c r="FD1" s="213"/>
      <c r="FE1" s="213"/>
      <c r="FF1" s="213"/>
      <c r="FG1" s="213"/>
      <c r="FH1" s="213"/>
      <c r="FI1" s="213"/>
      <c r="FJ1" s="213"/>
      <c r="FK1" s="213"/>
      <c r="FL1" s="213"/>
      <c r="FM1" s="213"/>
      <c r="FN1" s="213"/>
      <c r="FO1" s="213"/>
      <c r="FP1" s="213"/>
      <c r="FQ1" s="213"/>
      <c r="FR1" s="213"/>
      <c r="FS1" s="213"/>
      <c r="FT1" s="213"/>
      <c r="FU1" s="213"/>
      <c r="FV1" s="213"/>
      <c r="FW1" s="213"/>
      <c r="FX1" s="213"/>
      <c r="FY1" s="213"/>
      <c r="FZ1" s="213"/>
      <c r="GA1" s="213"/>
      <c r="GB1" s="213"/>
      <c r="GC1" s="213"/>
      <c r="GD1" s="213"/>
      <c r="GE1" s="213"/>
      <c r="GF1" s="213"/>
      <c r="GG1" s="213"/>
      <c r="GH1" s="213"/>
      <c r="GI1" s="213"/>
      <c r="GJ1" s="213"/>
      <c r="GK1" s="213"/>
      <c r="GL1" s="213"/>
      <c r="GM1" s="213"/>
      <c r="GN1" s="213"/>
      <c r="GO1" s="213"/>
      <c r="GP1" s="213"/>
      <c r="GQ1" s="213"/>
      <c r="GR1" s="213"/>
      <c r="GS1" s="213"/>
      <c r="GT1" s="213"/>
      <c r="GU1" s="213"/>
      <c r="GV1" s="213"/>
      <c r="GW1" s="213"/>
      <c r="GX1" s="213"/>
      <c r="GY1" s="213"/>
      <c r="GZ1" s="213"/>
      <c r="HA1" s="213"/>
      <c r="HB1" s="213"/>
      <c r="HC1" s="213"/>
      <c r="HD1" s="213"/>
      <c r="HE1" s="213"/>
      <c r="HF1" s="213"/>
      <c r="HG1" s="213"/>
      <c r="HH1" s="213"/>
      <c r="HI1" s="213"/>
      <c r="HJ1" s="213"/>
      <c r="HK1" s="213"/>
      <c r="HL1" s="213"/>
      <c r="HM1" s="213"/>
      <c r="HN1" s="213"/>
      <c r="HO1" s="213"/>
      <c r="HP1" s="213"/>
      <c r="HQ1" s="213"/>
      <c r="HR1" s="213"/>
      <c r="HS1" s="213"/>
      <c r="HT1" s="213"/>
      <c r="HU1" s="213"/>
      <c r="HV1" s="213"/>
      <c r="HW1" s="213"/>
      <c r="HX1" s="213"/>
      <c r="HY1" s="213"/>
      <c r="HZ1" s="213"/>
      <c r="IA1" s="213"/>
      <c r="IB1" s="213"/>
      <c r="IC1" s="213"/>
      <c r="ID1" s="213"/>
      <c r="IE1" s="213"/>
      <c r="IF1" s="213"/>
      <c r="IG1" s="213"/>
      <c r="IH1" s="213"/>
      <c r="II1" s="213"/>
      <c r="IJ1" s="213"/>
      <c r="IK1" s="213"/>
      <c r="IL1" s="213"/>
      <c r="IM1" s="213"/>
      <c r="IN1" s="213"/>
      <c r="IO1" s="213"/>
      <c r="IP1" s="213"/>
    </row>
    <row r="2" spans="1:250" s="153" customFormat="1" ht="18" customHeight="1" x14ac:dyDescent="0.35">
      <c r="A2" s="678"/>
      <c r="B2" s="1431" t="s">
        <v>756</v>
      </c>
      <c r="C2" s="1431"/>
      <c r="D2" s="1431"/>
      <c r="E2" s="1431"/>
      <c r="F2" s="1431"/>
      <c r="G2" s="1431"/>
      <c r="H2" s="1431"/>
      <c r="I2" s="1431"/>
      <c r="J2" s="1431"/>
      <c r="K2" s="1431"/>
      <c r="L2" s="1431"/>
    </row>
    <row r="3" spans="1:250" s="153" customFormat="1" ht="21.95" customHeight="1" x14ac:dyDescent="0.35">
      <c r="A3" s="678"/>
      <c r="B3" s="1471" t="s">
        <v>757</v>
      </c>
      <c r="C3" s="1471"/>
      <c r="D3" s="1471"/>
      <c r="E3" s="1471"/>
      <c r="F3" s="1471"/>
      <c r="G3" s="1471"/>
      <c r="H3" s="1471"/>
      <c r="I3" s="1471"/>
      <c r="J3" s="1471"/>
      <c r="K3" s="1471"/>
      <c r="L3" s="1471"/>
    </row>
    <row r="4" spans="1:250" s="153" customFormat="1" ht="21.95" customHeight="1" x14ac:dyDescent="0.35">
      <c r="A4" s="678"/>
      <c r="B4" s="1471" t="s">
        <v>752</v>
      </c>
      <c r="C4" s="1471"/>
      <c r="D4" s="1471"/>
      <c r="E4" s="1471"/>
      <c r="F4" s="1471"/>
      <c r="G4" s="1471"/>
      <c r="H4" s="1471"/>
      <c r="I4" s="1471"/>
      <c r="J4" s="1471"/>
      <c r="K4" s="1471"/>
      <c r="L4" s="1471"/>
    </row>
    <row r="5" spans="1:250" ht="18" customHeight="1" x14ac:dyDescent="0.3">
      <c r="L5" s="977" t="s">
        <v>0</v>
      </c>
    </row>
    <row r="6" spans="1:250" s="62" customFormat="1" ht="18" customHeight="1" thickBot="1" x14ac:dyDescent="0.25">
      <c r="A6" s="678"/>
      <c r="B6" s="683" t="s">
        <v>1</v>
      </c>
      <c r="C6" s="684" t="s">
        <v>3</v>
      </c>
      <c r="D6" s="684" t="s">
        <v>2</v>
      </c>
      <c r="E6" s="684" t="s">
        <v>4</v>
      </c>
      <c r="F6" s="684"/>
      <c r="G6" s="684" t="s">
        <v>16</v>
      </c>
      <c r="H6" s="684" t="s">
        <v>17</v>
      </c>
      <c r="I6" s="684" t="s">
        <v>32</v>
      </c>
      <c r="J6" s="684" t="s">
        <v>28</v>
      </c>
      <c r="K6" s="684" t="s">
        <v>23</v>
      </c>
      <c r="L6" s="684" t="s">
        <v>33</v>
      </c>
      <c r="M6" s="678"/>
      <c r="N6" s="678"/>
      <c r="O6" s="678"/>
      <c r="P6" s="678"/>
      <c r="Q6" s="678"/>
      <c r="R6" s="678"/>
      <c r="S6" s="678"/>
      <c r="T6" s="678"/>
      <c r="U6" s="678"/>
      <c r="V6" s="678"/>
      <c r="W6" s="678"/>
      <c r="X6" s="678"/>
      <c r="Y6" s="678"/>
      <c r="Z6" s="678"/>
      <c r="AA6" s="678"/>
      <c r="AB6" s="678"/>
      <c r="AC6" s="678"/>
      <c r="AD6" s="678"/>
      <c r="AE6" s="678"/>
      <c r="AF6" s="678"/>
      <c r="AG6" s="678"/>
      <c r="AH6" s="678"/>
      <c r="AI6" s="678"/>
      <c r="AJ6" s="678"/>
      <c r="AK6" s="678"/>
      <c r="AL6" s="678"/>
      <c r="AM6" s="678"/>
      <c r="AN6" s="678"/>
      <c r="AO6" s="678"/>
      <c r="AP6" s="678"/>
      <c r="AQ6" s="678"/>
      <c r="AR6" s="678"/>
      <c r="AS6" s="678"/>
      <c r="AT6" s="678"/>
      <c r="AU6" s="678"/>
      <c r="AV6" s="678"/>
      <c r="AW6" s="678"/>
      <c r="AX6" s="678"/>
      <c r="AY6" s="678"/>
      <c r="AZ6" s="678"/>
      <c r="BA6" s="678"/>
      <c r="BB6" s="678"/>
      <c r="BC6" s="678"/>
      <c r="BD6" s="678"/>
      <c r="BE6" s="678"/>
      <c r="BF6" s="678"/>
      <c r="BG6" s="678"/>
      <c r="BH6" s="678"/>
      <c r="BI6" s="678"/>
      <c r="BJ6" s="678"/>
      <c r="BK6" s="678"/>
      <c r="BL6" s="678"/>
      <c r="BM6" s="678"/>
      <c r="BN6" s="678"/>
      <c r="BO6" s="678"/>
      <c r="BP6" s="678"/>
      <c r="BQ6" s="678"/>
      <c r="BR6" s="678"/>
      <c r="BS6" s="678"/>
      <c r="BT6" s="678"/>
      <c r="BU6" s="678"/>
      <c r="BV6" s="678"/>
      <c r="BW6" s="678"/>
      <c r="BX6" s="678"/>
      <c r="BY6" s="678"/>
      <c r="BZ6" s="678"/>
      <c r="CA6" s="678"/>
      <c r="CB6" s="678"/>
      <c r="CC6" s="678"/>
      <c r="CD6" s="678"/>
      <c r="CE6" s="678"/>
      <c r="CF6" s="678"/>
      <c r="CG6" s="678"/>
      <c r="CH6" s="678"/>
      <c r="CI6" s="678"/>
      <c r="CJ6" s="678"/>
      <c r="CK6" s="678"/>
      <c r="CL6" s="678"/>
      <c r="CM6" s="678"/>
      <c r="CN6" s="678"/>
      <c r="CO6" s="678"/>
      <c r="CP6" s="678"/>
      <c r="CQ6" s="678"/>
      <c r="CR6" s="678"/>
      <c r="CS6" s="678"/>
      <c r="CT6" s="678"/>
      <c r="CU6" s="678"/>
      <c r="CV6" s="678"/>
      <c r="CW6" s="678"/>
      <c r="CX6" s="678"/>
      <c r="CY6" s="678"/>
      <c r="CZ6" s="678"/>
      <c r="DA6" s="678"/>
      <c r="DB6" s="678"/>
      <c r="DC6" s="678"/>
      <c r="DD6" s="678"/>
      <c r="DE6" s="678"/>
      <c r="DF6" s="678"/>
      <c r="DG6" s="678"/>
      <c r="DH6" s="678"/>
      <c r="DI6" s="678"/>
      <c r="DJ6" s="678"/>
      <c r="DK6" s="678"/>
      <c r="DL6" s="678"/>
      <c r="DM6" s="678"/>
      <c r="DN6" s="678"/>
      <c r="DO6" s="678"/>
      <c r="DP6" s="678"/>
      <c r="DQ6" s="678"/>
      <c r="DR6" s="678"/>
      <c r="DS6" s="678"/>
      <c r="DT6" s="678"/>
      <c r="DU6" s="678"/>
      <c r="DV6" s="678"/>
      <c r="DW6" s="678"/>
      <c r="DX6" s="678"/>
      <c r="DY6" s="678"/>
      <c r="DZ6" s="678"/>
      <c r="EA6" s="678"/>
      <c r="EB6" s="678"/>
      <c r="EC6" s="678"/>
      <c r="ED6" s="678"/>
      <c r="EE6" s="678"/>
      <c r="EF6" s="678"/>
      <c r="EG6" s="678"/>
      <c r="EH6" s="678"/>
      <c r="EI6" s="678"/>
      <c r="EJ6" s="678"/>
      <c r="EK6" s="678"/>
      <c r="EL6" s="678"/>
      <c r="EM6" s="678"/>
      <c r="EN6" s="678"/>
      <c r="EO6" s="678"/>
      <c r="EP6" s="678"/>
      <c r="EQ6" s="678"/>
      <c r="ER6" s="678"/>
      <c r="ES6" s="678"/>
      <c r="ET6" s="678"/>
      <c r="EU6" s="678"/>
      <c r="EV6" s="678"/>
      <c r="EW6" s="678"/>
      <c r="EX6" s="678"/>
      <c r="EY6" s="678"/>
      <c r="EZ6" s="678"/>
      <c r="FA6" s="678"/>
      <c r="FB6" s="678"/>
      <c r="FC6" s="678"/>
      <c r="FD6" s="678"/>
      <c r="FE6" s="678"/>
      <c r="FF6" s="678"/>
      <c r="FG6" s="678"/>
      <c r="FH6" s="678"/>
      <c r="FI6" s="678"/>
      <c r="FJ6" s="678"/>
      <c r="FK6" s="678"/>
      <c r="FL6" s="678"/>
      <c r="FM6" s="678"/>
      <c r="FN6" s="678"/>
      <c r="FO6" s="678"/>
      <c r="FP6" s="678"/>
      <c r="FQ6" s="678"/>
      <c r="FR6" s="678"/>
      <c r="FS6" s="678"/>
      <c r="FT6" s="678"/>
      <c r="FU6" s="678"/>
      <c r="FV6" s="678"/>
      <c r="FW6" s="678"/>
      <c r="FX6" s="678"/>
      <c r="FY6" s="678"/>
      <c r="FZ6" s="678"/>
      <c r="GA6" s="678"/>
      <c r="GB6" s="678"/>
      <c r="GC6" s="678"/>
      <c r="GD6" s="678"/>
      <c r="GE6" s="678"/>
      <c r="GF6" s="678"/>
      <c r="GG6" s="678"/>
      <c r="GH6" s="678"/>
      <c r="GI6" s="678"/>
      <c r="GJ6" s="678"/>
      <c r="GK6" s="678"/>
      <c r="GL6" s="678"/>
      <c r="GM6" s="678"/>
      <c r="GN6" s="678"/>
      <c r="GO6" s="678"/>
      <c r="GP6" s="678"/>
      <c r="GQ6" s="678"/>
      <c r="GR6" s="678"/>
      <c r="GS6" s="678"/>
      <c r="GT6" s="678"/>
      <c r="GU6" s="678"/>
      <c r="GV6" s="678"/>
      <c r="GW6" s="678"/>
      <c r="GX6" s="678"/>
      <c r="GY6" s="678"/>
      <c r="GZ6" s="678"/>
      <c r="HA6" s="678"/>
      <c r="HB6" s="678"/>
      <c r="HC6" s="678"/>
      <c r="HD6" s="678"/>
      <c r="HE6" s="678"/>
      <c r="HF6" s="678"/>
      <c r="HG6" s="678"/>
      <c r="HH6" s="678"/>
      <c r="HI6" s="678"/>
      <c r="HJ6" s="678"/>
      <c r="HK6" s="678"/>
      <c r="HL6" s="678"/>
      <c r="HM6" s="678"/>
      <c r="HN6" s="678"/>
      <c r="HO6" s="678"/>
      <c r="HP6" s="678"/>
      <c r="HQ6" s="678"/>
      <c r="HR6" s="678"/>
      <c r="HS6" s="678"/>
      <c r="HT6" s="678"/>
      <c r="HU6" s="678"/>
      <c r="HV6" s="678"/>
      <c r="HW6" s="678"/>
      <c r="HX6" s="678"/>
      <c r="HY6" s="678"/>
      <c r="HZ6" s="678"/>
      <c r="IA6" s="678"/>
      <c r="IB6" s="678"/>
      <c r="IC6" s="678"/>
      <c r="ID6" s="678"/>
      <c r="IE6" s="678"/>
      <c r="IF6" s="678"/>
      <c r="IG6" s="678"/>
      <c r="IH6" s="678"/>
      <c r="II6" s="678"/>
      <c r="IJ6" s="678"/>
      <c r="IK6" s="678"/>
      <c r="IL6" s="678"/>
      <c r="IM6" s="678"/>
      <c r="IN6" s="678"/>
      <c r="IO6" s="678"/>
      <c r="IP6" s="678"/>
    </row>
    <row r="7" spans="1:250" ht="30" customHeight="1" x14ac:dyDescent="0.3">
      <c r="B7" s="1442" t="s">
        <v>18</v>
      </c>
      <c r="C7" s="1445" t="s">
        <v>19</v>
      </c>
      <c r="D7" s="1448" t="s">
        <v>6</v>
      </c>
      <c r="E7" s="1457" t="s">
        <v>21</v>
      </c>
      <c r="F7" s="1475" t="s">
        <v>619</v>
      </c>
      <c r="G7" s="1472" t="s">
        <v>231</v>
      </c>
      <c r="H7" s="1433" t="s">
        <v>581</v>
      </c>
      <c r="I7" s="1434"/>
      <c r="J7" s="1434"/>
      <c r="K7" s="1435"/>
      <c r="L7" s="1436" t="s">
        <v>620</v>
      </c>
    </row>
    <row r="8" spans="1:250" ht="45.75" customHeight="1" x14ac:dyDescent="0.3">
      <c r="B8" s="1443"/>
      <c r="C8" s="1446"/>
      <c r="D8" s="1449"/>
      <c r="E8" s="1458"/>
      <c r="F8" s="1476"/>
      <c r="G8" s="1473"/>
      <c r="H8" s="682" t="s">
        <v>35</v>
      </c>
      <c r="I8" s="1451" t="s">
        <v>120</v>
      </c>
      <c r="J8" s="1451"/>
      <c r="K8" s="1452" t="s">
        <v>97</v>
      </c>
      <c r="L8" s="1437"/>
    </row>
    <row r="9" spans="1:250" ht="53.25" customHeight="1" thickBot="1" x14ac:dyDescent="0.35">
      <c r="B9" s="1444"/>
      <c r="C9" s="1447"/>
      <c r="D9" s="1450"/>
      <c r="E9" s="1459"/>
      <c r="F9" s="1477"/>
      <c r="G9" s="1474"/>
      <c r="H9" s="685" t="s">
        <v>38</v>
      </c>
      <c r="I9" s="686" t="s">
        <v>181</v>
      </c>
      <c r="J9" s="686" t="s">
        <v>182</v>
      </c>
      <c r="K9" s="1453"/>
      <c r="L9" s="1438"/>
    </row>
    <row r="10" spans="1:250" ht="23.25" customHeight="1" x14ac:dyDescent="0.3">
      <c r="A10" s="687">
        <v>1</v>
      </c>
      <c r="B10" s="688">
        <v>18</v>
      </c>
      <c r="C10" s="251" t="s">
        <v>29</v>
      </c>
      <c r="D10" s="689"/>
      <c r="E10" s="1275"/>
      <c r="F10" s="1277"/>
      <c r="G10" s="1101"/>
      <c r="H10" s="693"/>
      <c r="I10" s="694"/>
      <c r="J10" s="694"/>
      <c r="K10" s="695"/>
      <c r="L10" s="696"/>
    </row>
    <row r="11" spans="1:250" ht="32.25" customHeight="1" x14ac:dyDescent="0.3">
      <c r="A11" s="687">
        <v>2</v>
      </c>
      <c r="B11" s="697"/>
      <c r="C11" s="675">
        <v>114</v>
      </c>
      <c r="D11" s="791" t="s">
        <v>673</v>
      </c>
      <c r="E11" s="1255"/>
      <c r="F11" s="1111"/>
      <c r="G11" s="711" t="s">
        <v>24</v>
      </c>
      <c r="H11" s="701"/>
      <c r="I11" s="702"/>
      <c r="J11" s="702"/>
      <c r="K11" s="703"/>
      <c r="L11" s="704"/>
    </row>
    <row r="12" spans="1:250" ht="18" customHeight="1" x14ac:dyDescent="0.3">
      <c r="A12" s="687">
        <v>3</v>
      </c>
      <c r="B12" s="697"/>
      <c r="C12" s="675"/>
      <c r="D12" s="292" t="s">
        <v>238</v>
      </c>
      <c r="E12" s="1255">
        <f>K12+L12+F12</f>
        <v>13343</v>
      </c>
      <c r="F12" s="1111">
        <v>9340</v>
      </c>
      <c r="G12" s="711"/>
      <c r="H12" s="701"/>
      <c r="I12" s="702">
        <v>4003</v>
      </c>
      <c r="J12" s="702"/>
      <c r="K12" s="703">
        <f t="shared" ref="K12:K60" si="0">SUM(H12:J12)</f>
        <v>4003</v>
      </c>
      <c r="L12" s="704"/>
    </row>
    <row r="13" spans="1:250" ht="34.5" customHeight="1" x14ac:dyDescent="0.3">
      <c r="A13" s="687">
        <v>4</v>
      </c>
      <c r="B13" s="697"/>
      <c r="C13" s="675">
        <v>103</v>
      </c>
      <c r="D13" s="791" t="s">
        <v>674</v>
      </c>
      <c r="E13" s="1255"/>
      <c r="F13" s="1111"/>
      <c r="G13" s="711" t="s">
        <v>24</v>
      </c>
      <c r="H13" s="701"/>
      <c r="I13" s="702"/>
      <c r="J13" s="702"/>
      <c r="K13" s="703"/>
      <c r="L13" s="704"/>
    </row>
    <row r="14" spans="1:250" ht="18" customHeight="1" x14ac:dyDescent="0.3">
      <c r="A14" s="687">
        <v>5</v>
      </c>
      <c r="B14" s="697"/>
      <c r="C14" s="705"/>
      <c r="D14" s="292" t="s">
        <v>238</v>
      </c>
      <c r="E14" s="1255">
        <f>K14+L14+F14</f>
        <v>29061</v>
      </c>
      <c r="F14" s="1111"/>
      <c r="G14" s="711"/>
      <c r="H14" s="701"/>
      <c r="I14" s="702">
        <f>9034+5198+14829</f>
        <v>29061</v>
      </c>
      <c r="J14" s="702"/>
      <c r="K14" s="703">
        <f t="shared" si="0"/>
        <v>29061</v>
      </c>
      <c r="L14" s="704"/>
    </row>
    <row r="15" spans="1:250" ht="22.5" customHeight="1" x14ac:dyDescent="0.3">
      <c r="A15" s="687">
        <v>6</v>
      </c>
      <c r="B15" s="697"/>
      <c r="C15" s="705">
        <v>178</v>
      </c>
      <c r="D15" s="791" t="s">
        <v>675</v>
      </c>
      <c r="E15" s="1255"/>
      <c r="F15" s="1111"/>
      <c r="G15" s="711" t="s">
        <v>24</v>
      </c>
      <c r="H15" s="701"/>
      <c r="I15" s="702"/>
      <c r="J15" s="702"/>
      <c r="K15" s="703"/>
      <c r="L15" s="704"/>
    </row>
    <row r="16" spans="1:250" ht="18" customHeight="1" x14ac:dyDescent="0.3">
      <c r="A16" s="687">
        <v>7</v>
      </c>
      <c r="B16" s="697"/>
      <c r="C16" s="705"/>
      <c r="D16" s="292" t="s">
        <v>238</v>
      </c>
      <c r="E16" s="1255">
        <f>K16+L16+F16</f>
        <v>8637</v>
      </c>
      <c r="F16" s="1111">
        <v>4509</v>
      </c>
      <c r="G16" s="711"/>
      <c r="H16" s="701"/>
      <c r="I16" s="702">
        <v>4128</v>
      </c>
      <c r="J16" s="702"/>
      <c r="K16" s="703">
        <f t="shared" si="0"/>
        <v>4128</v>
      </c>
      <c r="L16" s="704"/>
    </row>
    <row r="17" spans="1:250" ht="22.35" customHeight="1" x14ac:dyDescent="0.3">
      <c r="A17" s="687">
        <v>8</v>
      </c>
      <c r="B17" s="697"/>
      <c r="C17" s="705">
        <v>183</v>
      </c>
      <c r="D17" s="791" t="s">
        <v>676</v>
      </c>
      <c r="E17" s="1255"/>
      <c r="F17" s="1111"/>
      <c r="G17" s="711" t="s">
        <v>24</v>
      </c>
      <c r="H17" s="701"/>
      <c r="I17" s="702"/>
      <c r="J17" s="702"/>
      <c r="K17" s="703"/>
      <c r="L17" s="704"/>
    </row>
    <row r="18" spans="1:250" ht="18" customHeight="1" x14ac:dyDescent="0.3">
      <c r="A18" s="687">
        <v>9</v>
      </c>
      <c r="B18" s="697"/>
      <c r="C18" s="705"/>
      <c r="D18" s="292" t="s">
        <v>238</v>
      </c>
      <c r="E18" s="1255">
        <f>K18+L18+F18</f>
        <v>5080</v>
      </c>
      <c r="F18" s="1111"/>
      <c r="G18" s="711"/>
      <c r="H18" s="701"/>
      <c r="I18" s="702">
        <v>5080</v>
      </c>
      <c r="J18" s="702"/>
      <c r="K18" s="703">
        <f t="shared" si="0"/>
        <v>5080</v>
      </c>
      <c r="L18" s="704"/>
    </row>
    <row r="19" spans="1:250" ht="22.5" customHeight="1" x14ac:dyDescent="0.3">
      <c r="A19" s="687">
        <v>10</v>
      </c>
      <c r="B19" s="697"/>
      <c r="C19" s="705">
        <v>7</v>
      </c>
      <c r="D19" s="1289" t="s">
        <v>296</v>
      </c>
      <c r="E19" s="1255"/>
      <c r="F19" s="1111"/>
      <c r="G19" s="711"/>
      <c r="H19" s="701"/>
      <c r="I19" s="702"/>
      <c r="J19" s="702"/>
      <c r="K19" s="703"/>
      <c r="L19" s="704"/>
    </row>
    <row r="20" spans="1:250" ht="34.5" customHeight="1" x14ac:dyDescent="0.35">
      <c r="A20" s="687">
        <v>11</v>
      </c>
      <c r="B20" s="697"/>
      <c r="C20" s="675"/>
      <c r="D20" s="1288" t="s">
        <v>741</v>
      </c>
      <c r="E20" s="1255"/>
      <c r="F20" s="1111"/>
      <c r="G20" s="711" t="s">
        <v>24</v>
      </c>
      <c r="H20" s="701"/>
      <c r="I20" s="702"/>
      <c r="J20" s="702"/>
      <c r="K20" s="703"/>
      <c r="L20" s="704"/>
    </row>
    <row r="21" spans="1:250" ht="18" customHeight="1" x14ac:dyDescent="0.3">
      <c r="A21" s="687">
        <v>12</v>
      </c>
      <c r="B21" s="697"/>
      <c r="C21" s="705"/>
      <c r="D21" s="292" t="s">
        <v>238</v>
      </c>
      <c r="E21" s="1255">
        <f>K21+L21+F21</f>
        <v>21717</v>
      </c>
      <c r="F21" s="1111"/>
      <c r="G21" s="711"/>
      <c r="H21" s="701"/>
      <c r="I21" s="702">
        <f>34217-12500</f>
        <v>21717</v>
      </c>
      <c r="J21" s="702"/>
      <c r="K21" s="703">
        <f t="shared" si="0"/>
        <v>21717</v>
      </c>
      <c r="L21" s="704"/>
    </row>
    <row r="22" spans="1:250" ht="35.25" customHeight="1" x14ac:dyDescent="0.3">
      <c r="A22" s="687">
        <v>13</v>
      </c>
      <c r="B22" s="697"/>
      <c r="C22" s="675">
        <v>193</v>
      </c>
      <c r="D22" s="791" t="s">
        <v>677</v>
      </c>
      <c r="E22" s="1255"/>
      <c r="F22" s="1111"/>
      <c r="G22" s="711" t="s">
        <v>23</v>
      </c>
      <c r="H22" s="701"/>
      <c r="I22" s="702"/>
      <c r="J22" s="702"/>
      <c r="K22" s="703"/>
      <c r="L22" s="704"/>
    </row>
    <row r="23" spans="1:250" ht="18" customHeight="1" x14ac:dyDescent="0.3">
      <c r="A23" s="687">
        <v>14</v>
      </c>
      <c r="B23" s="697"/>
      <c r="C23" s="705"/>
      <c r="D23" s="292" t="s">
        <v>238</v>
      </c>
      <c r="E23" s="1255">
        <f>K23+L23+F23</f>
        <v>3785</v>
      </c>
      <c r="F23" s="1111"/>
      <c r="G23" s="711"/>
      <c r="H23" s="701"/>
      <c r="I23" s="702">
        <v>3785</v>
      </c>
      <c r="J23" s="702"/>
      <c r="K23" s="703">
        <f t="shared" si="0"/>
        <v>3785</v>
      </c>
      <c r="L23" s="704"/>
    </row>
    <row r="24" spans="1:250" ht="36" customHeight="1" x14ac:dyDescent="0.3">
      <c r="A24" s="687">
        <v>15</v>
      </c>
      <c r="B24" s="697"/>
      <c r="C24" s="675">
        <v>169</v>
      </c>
      <c r="D24" s="791" t="s">
        <v>678</v>
      </c>
      <c r="E24" s="1255"/>
      <c r="F24" s="1111"/>
      <c r="G24" s="711" t="s">
        <v>24</v>
      </c>
      <c r="H24" s="701"/>
      <c r="I24" s="702"/>
      <c r="J24" s="702"/>
      <c r="K24" s="703"/>
      <c r="L24" s="704"/>
    </row>
    <row r="25" spans="1:250" ht="18" customHeight="1" x14ac:dyDescent="0.3">
      <c r="A25" s="687">
        <v>16</v>
      </c>
      <c r="B25" s="697"/>
      <c r="C25" s="705"/>
      <c r="D25" s="292" t="s">
        <v>238</v>
      </c>
      <c r="E25" s="1255">
        <f>K25+L25+F25</f>
        <v>63500</v>
      </c>
      <c r="F25" s="1111"/>
      <c r="G25" s="711"/>
      <c r="H25" s="701"/>
      <c r="I25" s="702">
        <v>63500</v>
      </c>
      <c r="J25" s="702"/>
      <c r="K25" s="703">
        <f t="shared" si="0"/>
        <v>63500</v>
      </c>
      <c r="L25" s="704"/>
    </row>
    <row r="26" spans="1:250" ht="20.100000000000001" customHeight="1" x14ac:dyDescent="0.3">
      <c r="A26" s="687">
        <v>17</v>
      </c>
      <c r="B26" s="697"/>
      <c r="C26" s="675">
        <v>184</v>
      </c>
      <c r="D26" s="791" t="s">
        <v>679</v>
      </c>
      <c r="E26" s="1255"/>
      <c r="F26" s="1111"/>
      <c r="G26" s="711" t="s">
        <v>24</v>
      </c>
      <c r="H26" s="701"/>
      <c r="I26" s="702"/>
      <c r="J26" s="702"/>
      <c r="K26" s="703"/>
      <c r="L26" s="704"/>
    </row>
    <row r="27" spans="1:250" ht="18" customHeight="1" x14ac:dyDescent="0.3">
      <c r="A27" s="687">
        <v>18</v>
      </c>
      <c r="B27" s="697"/>
      <c r="C27" s="675"/>
      <c r="D27" s="292" t="s">
        <v>238</v>
      </c>
      <c r="E27" s="1255">
        <f>K27+L27+F27</f>
        <v>4000</v>
      </c>
      <c r="F27" s="1111"/>
      <c r="G27" s="711"/>
      <c r="H27" s="701"/>
      <c r="I27" s="702">
        <v>4000</v>
      </c>
      <c r="J27" s="702"/>
      <c r="K27" s="703">
        <f t="shared" si="0"/>
        <v>4000</v>
      </c>
      <c r="L27" s="704"/>
    </row>
    <row r="28" spans="1:250" ht="20.100000000000001" customHeight="1" x14ac:dyDescent="0.3">
      <c r="A28" s="687">
        <v>19</v>
      </c>
      <c r="B28" s="697"/>
      <c r="C28" s="705">
        <v>192</v>
      </c>
      <c r="D28" s="791" t="s">
        <v>680</v>
      </c>
      <c r="E28" s="1255"/>
      <c r="F28" s="1111"/>
      <c r="G28" s="711" t="s">
        <v>23</v>
      </c>
      <c r="H28" s="701"/>
      <c r="I28" s="702"/>
      <c r="J28" s="702"/>
      <c r="K28" s="703"/>
      <c r="L28" s="704"/>
    </row>
    <row r="29" spans="1:250" ht="18" customHeight="1" x14ac:dyDescent="0.3">
      <c r="A29" s="687">
        <v>20</v>
      </c>
      <c r="B29" s="697"/>
      <c r="C29" s="705"/>
      <c r="D29" s="292" t="s">
        <v>238</v>
      </c>
      <c r="E29" s="1255">
        <f>K29+L29+F29</f>
        <v>4700</v>
      </c>
      <c r="F29" s="1111"/>
      <c r="G29" s="711"/>
      <c r="H29" s="701"/>
      <c r="I29" s="702">
        <v>4700</v>
      </c>
      <c r="J29" s="702"/>
      <c r="K29" s="703">
        <f t="shared" si="0"/>
        <v>4700</v>
      </c>
      <c r="L29" s="704"/>
    </row>
    <row r="30" spans="1:250" ht="31.5" customHeight="1" x14ac:dyDescent="0.3">
      <c r="A30" s="687">
        <v>21</v>
      </c>
      <c r="B30" s="697"/>
      <c r="C30" s="675">
        <v>199</v>
      </c>
      <c r="D30" s="791" t="s">
        <v>681</v>
      </c>
      <c r="E30" s="1255"/>
      <c r="F30" s="1111"/>
      <c r="G30" s="711" t="s">
        <v>24</v>
      </c>
      <c r="H30" s="707"/>
      <c r="I30" s="698"/>
      <c r="J30" s="698"/>
      <c r="K30" s="703"/>
      <c r="L30" s="704"/>
      <c r="M30" s="708"/>
      <c r="N30" s="708"/>
      <c r="O30" s="708"/>
      <c r="P30" s="708"/>
      <c r="Q30" s="708"/>
      <c r="R30" s="708"/>
      <c r="S30" s="708"/>
      <c r="T30" s="708"/>
      <c r="U30" s="708"/>
      <c r="V30" s="708"/>
      <c r="W30" s="708"/>
      <c r="X30" s="708"/>
      <c r="Y30" s="708"/>
      <c r="Z30" s="708"/>
      <c r="AA30" s="708"/>
      <c r="AB30" s="708"/>
      <c r="AC30" s="708"/>
      <c r="AD30" s="708"/>
      <c r="AE30" s="708"/>
      <c r="AF30" s="708"/>
      <c r="AG30" s="708"/>
      <c r="AH30" s="708"/>
      <c r="AI30" s="708"/>
      <c r="AJ30" s="708"/>
      <c r="AK30" s="708"/>
      <c r="AL30" s="708"/>
      <c r="AM30" s="708"/>
      <c r="AN30" s="708"/>
      <c r="AO30" s="708"/>
      <c r="AP30" s="708"/>
      <c r="AQ30" s="708"/>
      <c r="AR30" s="708"/>
      <c r="AS30" s="708"/>
      <c r="AT30" s="708"/>
      <c r="AU30" s="708"/>
      <c r="AV30" s="708"/>
      <c r="AW30" s="708"/>
      <c r="AX30" s="708"/>
      <c r="AY30" s="708"/>
      <c r="AZ30" s="708"/>
      <c r="BA30" s="708"/>
      <c r="BB30" s="708"/>
      <c r="BC30" s="708"/>
      <c r="BD30" s="708"/>
      <c r="BE30" s="708"/>
      <c r="BF30" s="708"/>
      <c r="BG30" s="708"/>
      <c r="BH30" s="708"/>
      <c r="BI30" s="708"/>
      <c r="BJ30" s="708"/>
      <c r="BK30" s="708"/>
      <c r="BL30" s="708"/>
      <c r="BM30" s="708"/>
      <c r="BN30" s="708"/>
      <c r="BO30" s="708"/>
      <c r="BP30" s="708"/>
      <c r="BQ30" s="708"/>
      <c r="BR30" s="708"/>
      <c r="BS30" s="708"/>
      <c r="BT30" s="708"/>
      <c r="BU30" s="708"/>
      <c r="BV30" s="708"/>
      <c r="BW30" s="708"/>
      <c r="BX30" s="708"/>
      <c r="BY30" s="708"/>
      <c r="BZ30" s="708"/>
      <c r="CA30" s="708"/>
      <c r="CB30" s="708"/>
      <c r="CC30" s="708"/>
      <c r="CD30" s="708"/>
      <c r="CE30" s="708"/>
      <c r="CF30" s="708"/>
      <c r="CG30" s="708"/>
      <c r="CH30" s="708"/>
      <c r="CI30" s="708"/>
      <c r="CJ30" s="708"/>
      <c r="CK30" s="708"/>
      <c r="CL30" s="708"/>
      <c r="CM30" s="708"/>
      <c r="CN30" s="708"/>
      <c r="CO30" s="708"/>
      <c r="CP30" s="708"/>
      <c r="CQ30" s="708"/>
      <c r="CR30" s="708"/>
      <c r="CS30" s="708"/>
      <c r="CT30" s="708"/>
      <c r="CU30" s="708"/>
      <c r="CV30" s="708"/>
      <c r="CW30" s="708"/>
      <c r="CX30" s="708"/>
      <c r="CY30" s="708"/>
      <c r="CZ30" s="708"/>
      <c r="DA30" s="708"/>
      <c r="DB30" s="708"/>
      <c r="DC30" s="708"/>
      <c r="DD30" s="708"/>
      <c r="DE30" s="708"/>
      <c r="DF30" s="708"/>
      <c r="DG30" s="708"/>
      <c r="DH30" s="708"/>
      <c r="DI30" s="708"/>
      <c r="DJ30" s="708"/>
      <c r="DK30" s="708"/>
      <c r="DL30" s="708"/>
      <c r="DM30" s="708"/>
      <c r="DN30" s="708"/>
      <c r="DO30" s="708"/>
      <c r="DP30" s="708"/>
      <c r="DQ30" s="708"/>
      <c r="DR30" s="708"/>
      <c r="DS30" s="708"/>
      <c r="DT30" s="708"/>
      <c r="DU30" s="708"/>
      <c r="DV30" s="708"/>
      <c r="DW30" s="708"/>
      <c r="DX30" s="708"/>
      <c r="DY30" s="708"/>
      <c r="DZ30" s="708"/>
      <c r="EA30" s="708"/>
      <c r="EB30" s="708"/>
      <c r="EC30" s="708"/>
      <c r="ED30" s="708"/>
      <c r="EE30" s="708"/>
      <c r="EF30" s="708"/>
      <c r="EG30" s="708"/>
      <c r="EH30" s="708"/>
      <c r="EI30" s="708"/>
      <c r="EJ30" s="708"/>
      <c r="EK30" s="708"/>
      <c r="EL30" s="708"/>
      <c r="EM30" s="708"/>
      <c r="EN30" s="708"/>
      <c r="EO30" s="708"/>
      <c r="EP30" s="708"/>
      <c r="EQ30" s="708"/>
      <c r="ER30" s="708"/>
      <c r="ES30" s="708"/>
      <c r="ET30" s="708"/>
      <c r="EU30" s="708"/>
      <c r="EV30" s="708"/>
      <c r="EW30" s="708"/>
      <c r="EX30" s="708"/>
      <c r="EY30" s="708"/>
      <c r="EZ30" s="708"/>
      <c r="FA30" s="708"/>
      <c r="FB30" s="708"/>
      <c r="FC30" s="708"/>
      <c r="FD30" s="708"/>
      <c r="FE30" s="708"/>
      <c r="FF30" s="708"/>
      <c r="FG30" s="708"/>
      <c r="FH30" s="708"/>
      <c r="FI30" s="708"/>
      <c r="FJ30" s="708"/>
      <c r="FK30" s="708"/>
      <c r="FL30" s="708"/>
      <c r="FM30" s="708"/>
      <c r="FN30" s="708"/>
      <c r="FO30" s="708"/>
      <c r="FP30" s="708"/>
      <c r="FQ30" s="708"/>
      <c r="FR30" s="708"/>
      <c r="FS30" s="708"/>
      <c r="FT30" s="708"/>
      <c r="FU30" s="708"/>
      <c r="FV30" s="708"/>
      <c r="FW30" s="708"/>
      <c r="FX30" s="708"/>
      <c r="FY30" s="708"/>
      <c r="FZ30" s="708"/>
      <c r="GA30" s="708"/>
      <c r="GB30" s="708"/>
      <c r="GC30" s="708"/>
      <c r="GD30" s="708"/>
      <c r="GE30" s="708"/>
      <c r="GF30" s="708"/>
      <c r="GG30" s="708"/>
      <c r="GH30" s="708"/>
      <c r="GI30" s="708"/>
      <c r="GJ30" s="708"/>
      <c r="GK30" s="708"/>
      <c r="GL30" s="708"/>
      <c r="GM30" s="708"/>
      <c r="GN30" s="708"/>
      <c r="GO30" s="708"/>
      <c r="GP30" s="708"/>
      <c r="GQ30" s="708"/>
      <c r="GR30" s="708"/>
      <c r="GS30" s="708"/>
      <c r="GT30" s="708"/>
      <c r="GU30" s="708"/>
      <c r="GV30" s="708"/>
      <c r="GW30" s="708"/>
      <c r="GX30" s="708"/>
      <c r="GY30" s="708"/>
      <c r="GZ30" s="708"/>
      <c r="HA30" s="708"/>
      <c r="HB30" s="708"/>
      <c r="HC30" s="708"/>
      <c r="HD30" s="708"/>
      <c r="HE30" s="708"/>
      <c r="HF30" s="708"/>
      <c r="HG30" s="708"/>
      <c r="HH30" s="708"/>
      <c r="HI30" s="708"/>
      <c r="HJ30" s="708"/>
      <c r="HK30" s="708"/>
      <c r="HL30" s="708"/>
      <c r="HM30" s="708"/>
      <c r="HN30" s="708"/>
      <c r="HO30" s="708"/>
      <c r="HP30" s="708"/>
      <c r="HQ30" s="708"/>
      <c r="HR30" s="708"/>
      <c r="HS30" s="708"/>
      <c r="HT30" s="708"/>
      <c r="HU30" s="708"/>
      <c r="HV30" s="708"/>
      <c r="HW30" s="708"/>
      <c r="HX30" s="708"/>
      <c r="HY30" s="708"/>
      <c r="HZ30" s="708"/>
      <c r="IA30" s="708"/>
      <c r="IB30" s="708"/>
      <c r="IC30" s="708"/>
      <c r="ID30" s="708"/>
      <c r="IE30" s="708"/>
      <c r="IF30" s="708"/>
      <c r="IG30" s="708"/>
      <c r="IH30" s="708"/>
      <c r="II30" s="708"/>
      <c r="IJ30" s="708"/>
      <c r="IK30" s="708"/>
      <c r="IL30" s="708"/>
      <c r="IM30" s="708"/>
      <c r="IN30" s="708"/>
      <c r="IO30" s="708"/>
      <c r="IP30" s="708"/>
    </row>
    <row r="31" spans="1:250" ht="18" customHeight="1" x14ac:dyDescent="0.3">
      <c r="A31" s="687">
        <v>22</v>
      </c>
      <c r="B31" s="697"/>
      <c r="C31" s="675"/>
      <c r="D31" s="292" t="s">
        <v>238</v>
      </c>
      <c r="E31" s="1255">
        <f>K31+L31+F31</f>
        <v>1300</v>
      </c>
      <c r="F31" s="1111"/>
      <c r="G31" s="711"/>
      <c r="H31" s="707"/>
      <c r="I31" s="698">
        <v>1300</v>
      </c>
      <c r="J31" s="698"/>
      <c r="K31" s="703">
        <f t="shared" si="0"/>
        <v>1300</v>
      </c>
      <c r="L31" s="704"/>
      <c r="M31" s="708"/>
      <c r="N31" s="708"/>
      <c r="O31" s="708"/>
      <c r="P31" s="708"/>
      <c r="Q31" s="708"/>
      <c r="R31" s="708"/>
      <c r="S31" s="708"/>
      <c r="T31" s="708"/>
      <c r="U31" s="708"/>
      <c r="V31" s="708"/>
      <c r="W31" s="708"/>
      <c r="X31" s="708"/>
      <c r="Y31" s="708"/>
      <c r="Z31" s="708"/>
      <c r="AA31" s="708"/>
      <c r="AB31" s="708"/>
      <c r="AC31" s="708"/>
      <c r="AD31" s="708"/>
      <c r="AE31" s="708"/>
      <c r="AF31" s="708"/>
      <c r="AG31" s="708"/>
      <c r="AH31" s="708"/>
      <c r="AI31" s="708"/>
      <c r="AJ31" s="708"/>
      <c r="AK31" s="708"/>
      <c r="AL31" s="708"/>
      <c r="AM31" s="708"/>
      <c r="AN31" s="708"/>
      <c r="AO31" s="708"/>
      <c r="AP31" s="708"/>
      <c r="AQ31" s="708"/>
      <c r="AR31" s="708"/>
      <c r="AS31" s="708"/>
      <c r="AT31" s="708"/>
      <c r="AU31" s="708"/>
      <c r="AV31" s="708"/>
      <c r="AW31" s="708"/>
      <c r="AX31" s="708"/>
      <c r="AY31" s="708"/>
      <c r="AZ31" s="708"/>
      <c r="BA31" s="708"/>
      <c r="BB31" s="708"/>
      <c r="BC31" s="708"/>
      <c r="BD31" s="708"/>
      <c r="BE31" s="708"/>
      <c r="BF31" s="708"/>
      <c r="BG31" s="708"/>
      <c r="BH31" s="708"/>
      <c r="BI31" s="708"/>
      <c r="BJ31" s="708"/>
      <c r="BK31" s="708"/>
      <c r="BL31" s="708"/>
      <c r="BM31" s="708"/>
      <c r="BN31" s="708"/>
      <c r="BO31" s="708"/>
      <c r="BP31" s="708"/>
      <c r="BQ31" s="708"/>
      <c r="BR31" s="708"/>
      <c r="BS31" s="708"/>
      <c r="BT31" s="708"/>
      <c r="BU31" s="708"/>
      <c r="BV31" s="708"/>
      <c r="BW31" s="708"/>
      <c r="BX31" s="708"/>
      <c r="BY31" s="708"/>
      <c r="BZ31" s="708"/>
      <c r="CA31" s="708"/>
      <c r="CB31" s="708"/>
      <c r="CC31" s="708"/>
      <c r="CD31" s="708"/>
      <c r="CE31" s="708"/>
      <c r="CF31" s="708"/>
      <c r="CG31" s="708"/>
      <c r="CH31" s="708"/>
      <c r="CI31" s="708"/>
      <c r="CJ31" s="708"/>
      <c r="CK31" s="708"/>
      <c r="CL31" s="708"/>
      <c r="CM31" s="708"/>
      <c r="CN31" s="708"/>
      <c r="CO31" s="708"/>
      <c r="CP31" s="708"/>
      <c r="CQ31" s="708"/>
      <c r="CR31" s="708"/>
      <c r="CS31" s="708"/>
      <c r="CT31" s="708"/>
      <c r="CU31" s="708"/>
      <c r="CV31" s="708"/>
      <c r="CW31" s="708"/>
      <c r="CX31" s="708"/>
      <c r="CY31" s="708"/>
      <c r="CZ31" s="708"/>
      <c r="DA31" s="708"/>
      <c r="DB31" s="708"/>
      <c r="DC31" s="708"/>
      <c r="DD31" s="708"/>
      <c r="DE31" s="708"/>
      <c r="DF31" s="708"/>
      <c r="DG31" s="708"/>
      <c r="DH31" s="708"/>
      <c r="DI31" s="708"/>
      <c r="DJ31" s="708"/>
      <c r="DK31" s="708"/>
      <c r="DL31" s="708"/>
      <c r="DM31" s="708"/>
      <c r="DN31" s="708"/>
      <c r="DO31" s="708"/>
      <c r="DP31" s="708"/>
      <c r="DQ31" s="708"/>
      <c r="DR31" s="708"/>
      <c r="DS31" s="708"/>
      <c r="DT31" s="708"/>
      <c r="DU31" s="708"/>
      <c r="DV31" s="708"/>
      <c r="DW31" s="708"/>
      <c r="DX31" s="708"/>
      <c r="DY31" s="708"/>
      <c r="DZ31" s="708"/>
      <c r="EA31" s="708"/>
      <c r="EB31" s="708"/>
      <c r="EC31" s="708"/>
      <c r="ED31" s="708"/>
      <c r="EE31" s="708"/>
      <c r="EF31" s="708"/>
      <c r="EG31" s="708"/>
      <c r="EH31" s="708"/>
      <c r="EI31" s="708"/>
      <c r="EJ31" s="708"/>
      <c r="EK31" s="708"/>
      <c r="EL31" s="708"/>
      <c r="EM31" s="708"/>
      <c r="EN31" s="708"/>
      <c r="EO31" s="708"/>
      <c r="EP31" s="708"/>
      <c r="EQ31" s="708"/>
      <c r="ER31" s="708"/>
      <c r="ES31" s="708"/>
      <c r="ET31" s="708"/>
      <c r="EU31" s="708"/>
      <c r="EV31" s="708"/>
      <c r="EW31" s="708"/>
      <c r="EX31" s="708"/>
      <c r="EY31" s="708"/>
      <c r="EZ31" s="708"/>
      <c r="FA31" s="708"/>
      <c r="FB31" s="708"/>
      <c r="FC31" s="708"/>
      <c r="FD31" s="708"/>
      <c r="FE31" s="708"/>
      <c r="FF31" s="708"/>
      <c r="FG31" s="708"/>
      <c r="FH31" s="708"/>
      <c r="FI31" s="708"/>
      <c r="FJ31" s="708"/>
      <c r="FK31" s="708"/>
      <c r="FL31" s="708"/>
      <c r="FM31" s="708"/>
      <c r="FN31" s="708"/>
      <c r="FO31" s="708"/>
      <c r="FP31" s="708"/>
      <c r="FQ31" s="708"/>
      <c r="FR31" s="708"/>
      <c r="FS31" s="708"/>
      <c r="FT31" s="708"/>
      <c r="FU31" s="708"/>
      <c r="FV31" s="708"/>
      <c r="FW31" s="708"/>
      <c r="FX31" s="708"/>
      <c r="FY31" s="708"/>
      <c r="FZ31" s="708"/>
      <c r="GA31" s="708"/>
      <c r="GB31" s="708"/>
      <c r="GC31" s="708"/>
      <c r="GD31" s="708"/>
      <c r="GE31" s="708"/>
      <c r="GF31" s="708"/>
      <c r="GG31" s="708"/>
      <c r="GH31" s="708"/>
      <c r="GI31" s="708"/>
      <c r="GJ31" s="708"/>
      <c r="GK31" s="708"/>
      <c r="GL31" s="708"/>
      <c r="GM31" s="708"/>
      <c r="GN31" s="708"/>
      <c r="GO31" s="708"/>
      <c r="GP31" s="708"/>
      <c r="GQ31" s="708"/>
      <c r="GR31" s="708"/>
      <c r="GS31" s="708"/>
      <c r="GT31" s="708"/>
      <c r="GU31" s="708"/>
      <c r="GV31" s="708"/>
      <c r="GW31" s="708"/>
      <c r="GX31" s="708"/>
      <c r="GY31" s="708"/>
      <c r="GZ31" s="708"/>
      <c r="HA31" s="708"/>
      <c r="HB31" s="708"/>
      <c r="HC31" s="708"/>
      <c r="HD31" s="708"/>
      <c r="HE31" s="708"/>
      <c r="HF31" s="708"/>
      <c r="HG31" s="708"/>
      <c r="HH31" s="708"/>
      <c r="HI31" s="708"/>
      <c r="HJ31" s="708"/>
      <c r="HK31" s="708"/>
      <c r="HL31" s="708"/>
      <c r="HM31" s="708"/>
      <c r="HN31" s="708"/>
      <c r="HO31" s="708"/>
      <c r="HP31" s="708"/>
      <c r="HQ31" s="708"/>
      <c r="HR31" s="708"/>
      <c r="HS31" s="708"/>
      <c r="HT31" s="708"/>
      <c r="HU31" s="708"/>
      <c r="HV31" s="708"/>
      <c r="HW31" s="708"/>
      <c r="HX31" s="708"/>
      <c r="HY31" s="708"/>
      <c r="HZ31" s="708"/>
      <c r="IA31" s="708"/>
      <c r="IB31" s="708"/>
      <c r="IC31" s="708"/>
      <c r="ID31" s="708"/>
      <c r="IE31" s="708"/>
      <c r="IF31" s="708"/>
      <c r="IG31" s="708"/>
      <c r="IH31" s="708"/>
      <c r="II31" s="708"/>
      <c r="IJ31" s="708"/>
      <c r="IK31" s="708"/>
      <c r="IL31" s="708"/>
      <c r="IM31" s="708"/>
      <c r="IN31" s="708"/>
      <c r="IO31" s="708"/>
      <c r="IP31" s="708"/>
    </row>
    <row r="32" spans="1:250" ht="20.100000000000001" customHeight="1" x14ac:dyDescent="0.3">
      <c r="A32" s="687">
        <v>23</v>
      </c>
      <c r="B32" s="697"/>
      <c r="C32" s="705">
        <v>120</v>
      </c>
      <c r="D32" s="1002" t="s">
        <v>717</v>
      </c>
      <c r="E32" s="1255"/>
      <c r="F32" s="1111"/>
      <c r="G32" s="1113" t="s">
        <v>24</v>
      </c>
      <c r="H32" s="707"/>
      <c r="I32" s="698"/>
      <c r="J32" s="698"/>
      <c r="K32" s="703"/>
      <c r="L32" s="709"/>
    </row>
    <row r="33" spans="1:12" ht="18" customHeight="1" x14ac:dyDescent="0.3">
      <c r="A33" s="687">
        <v>24</v>
      </c>
      <c r="B33" s="697"/>
      <c r="C33" s="705"/>
      <c r="D33" s="292" t="s">
        <v>238</v>
      </c>
      <c r="E33" s="1255">
        <f>K33+L33+F33</f>
        <v>7975</v>
      </c>
      <c r="F33" s="1111"/>
      <c r="G33" s="711"/>
      <c r="H33" s="698"/>
      <c r="I33" s="698">
        <v>7975</v>
      </c>
      <c r="J33" s="698"/>
      <c r="K33" s="703">
        <f t="shared" si="0"/>
        <v>7975</v>
      </c>
      <c r="L33" s="709"/>
    </row>
    <row r="34" spans="1:12" ht="33" customHeight="1" x14ac:dyDescent="0.3">
      <c r="A34" s="687">
        <v>25</v>
      </c>
      <c r="B34" s="697"/>
      <c r="C34" s="675">
        <v>70</v>
      </c>
      <c r="D34" s="791" t="s">
        <v>683</v>
      </c>
      <c r="E34" s="1255"/>
      <c r="F34" s="1111"/>
      <c r="G34" s="711" t="s">
        <v>23</v>
      </c>
      <c r="H34" s="698"/>
      <c r="I34" s="717"/>
      <c r="J34" s="716"/>
      <c r="K34" s="719"/>
      <c r="L34" s="709"/>
    </row>
    <row r="35" spans="1:12" ht="18" customHeight="1" x14ac:dyDescent="0.3">
      <c r="A35" s="687">
        <v>26</v>
      </c>
      <c r="B35" s="697"/>
      <c r="C35" s="675"/>
      <c r="D35" s="292" t="s">
        <v>238</v>
      </c>
      <c r="E35" s="1255">
        <f>K35+L35+F35</f>
        <v>22640</v>
      </c>
      <c r="F35" s="1111"/>
      <c r="G35" s="711"/>
      <c r="H35" s="698"/>
      <c r="I35" s="716"/>
      <c r="J35" s="698">
        <f>24933-2293</f>
        <v>22640</v>
      </c>
      <c r="K35" s="703">
        <f t="shared" si="0"/>
        <v>22640</v>
      </c>
      <c r="L35" s="709"/>
    </row>
    <row r="36" spans="1:12" ht="52.5" customHeight="1" x14ac:dyDescent="0.3">
      <c r="A36" s="687">
        <v>27</v>
      </c>
      <c r="B36" s="697"/>
      <c r="C36" s="675">
        <v>81</v>
      </c>
      <c r="D36" s="791" t="s">
        <v>684</v>
      </c>
      <c r="E36" s="1255"/>
      <c r="F36" s="1111"/>
      <c r="G36" s="711" t="s">
        <v>23</v>
      </c>
      <c r="H36" s="698"/>
      <c r="I36" s="716"/>
      <c r="J36" s="716"/>
      <c r="K36" s="719"/>
      <c r="L36" s="709"/>
    </row>
    <row r="37" spans="1:12" ht="18" customHeight="1" x14ac:dyDescent="0.3">
      <c r="A37" s="687">
        <v>28</v>
      </c>
      <c r="B37" s="697"/>
      <c r="C37" s="675"/>
      <c r="D37" s="292" t="s">
        <v>238</v>
      </c>
      <c r="E37" s="1255">
        <f>K37+L37+F37</f>
        <v>12207</v>
      </c>
      <c r="F37" s="1111"/>
      <c r="G37" s="711"/>
      <c r="H37" s="698"/>
      <c r="I37" s="716"/>
      <c r="J37" s="698">
        <v>12207</v>
      </c>
      <c r="K37" s="703">
        <f t="shared" si="0"/>
        <v>12207</v>
      </c>
      <c r="L37" s="709"/>
    </row>
    <row r="38" spans="1:12" ht="20.100000000000001" customHeight="1" x14ac:dyDescent="0.3">
      <c r="A38" s="687">
        <v>29</v>
      </c>
      <c r="B38" s="697"/>
      <c r="C38" s="675">
        <v>173</v>
      </c>
      <c r="D38" s="791" t="s">
        <v>509</v>
      </c>
      <c r="E38" s="1276"/>
      <c r="F38" s="1112"/>
      <c r="G38" s="711" t="s">
        <v>23</v>
      </c>
      <c r="H38" s="698"/>
      <c r="I38" s="716"/>
      <c r="J38" s="716"/>
      <c r="K38" s="719"/>
      <c r="L38" s="709"/>
    </row>
    <row r="39" spans="1:12" ht="18" customHeight="1" x14ac:dyDescent="0.3">
      <c r="A39" s="687">
        <v>30</v>
      </c>
      <c r="B39" s="697"/>
      <c r="C39" s="675"/>
      <c r="D39" s="292" t="s">
        <v>238</v>
      </c>
      <c r="E39" s="1255">
        <f>K39+L39+F39</f>
        <v>62230</v>
      </c>
      <c r="F39" s="1111"/>
      <c r="G39" s="711"/>
      <c r="H39" s="698"/>
      <c r="I39" s="698">
        <v>62230</v>
      </c>
      <c r="J39" s="716"/>
      <c r="K39" s="703">
        <f t="shared" si="0"/>
        <v>62230</v>
      </c>
      <c r="L39" s="709"/>
    </row>
    <row r="40" spans="1:12" ht="20.100000000000001" customHeight="1" x14ac:dyDescent="0.3">
      <c r="A40" s="687">
        <v>31</v>
      </c>
      <c r="B40" s="697"/>
      <c r="C40" s="675">
        <v>204</v>
      </c>
      <c r="D40" s="791" t="s">
        <v>686</v>
      </c>
      <c r="E40" s="1255"/>
      <c r="F40" s="1111"/>
      <c r="G40" s="711" t="s">
        <v>23</v>
      </c>
      <c r="H40" s="698"/>
      <c r="I40" s="698"/>
      <c r="J40" s="716"/>
      <c r="K40" s="719"/>
      <c r="L40" s="709"/>
    </row>
    <row r="41" spans="1:12" ht="18" customHeight="1" x14ac:dyDescent="0.3">
      <c r="A41" s="687">
        <v>32</v>
      </c>
      <c r="B41" s="697"/>
      <c r="C41" s="675"/>
      <c r="D41" s="292" t="s">
        <v>238</v>
      </c>
      <c r="E41" s="1255">
        <f>K41+L41+F41</f>
        <v>8460</v>
      </c>
      <c r="F41" s="1111"/>
      <c r="G41" s="711"/>
      <c r="H41" s="698"/>
      <c r="I41" s="698">
        <v>8460</v>
      </c>
      <c r="J41" s="716"/>
      <c r="K41" s="703">
        <f t="shared" si="0"/>
        <v>8460</v>
      </c>
      <c r="L41" s="709"/>
    </row>
    <row r="42" spans="1:12" ht="20.100000000000001" customHeight="1" x14ac:dyDescent="0.3">
      <c r="A42" s="687">
        <v>33</v>
      </c>
      <c r="B42" s="697"/>
      <c r="C42" s="675">
        <v>82</v>
      </c>
      <c r="D42" s="791" t="s">
        <v>687</v>
      </c>
      <c r="E42" s="1276"/>
      <c r="F42" s="1112"/>
      <c r="G42" s="711" t="s">
        <v>24</v>
      </c>
      <c r="H42" s="698"/>
      <c r="I42" s="716"/>
      <c r="J42" s="716"/>
      <c r="K42" s="719"/>
      <c r="L42" s="709"/>
    </row>
    <row r="43" spans="1:12" ht="18" customHeight="1" x14ac:dyDescent="0.3">
      <c r="A43" s="687">
        <v>34</v>
      </c>
      <c r="B43" s="697"/>
      <c r="C43" s="675"/>
      <c r="D43" s="292" t="s">
        <v>238</v>
      </c>
      <c r="E43" s="1255">
        <f>K43+L43+F43</f>
        <v>9752</v>
      </c>
      <c r="F43" s="1111"/>
      <c r="G43" s="711"/>
      <c r="H43" s="698"/>
      <c r="I43" s="716"/>
      <c r="J43" s="698">
        <v>9752</v>
      </c>
      <c r="K43" s="703">
        <f t="shared" si="0"/>
        <v>9752</v>
      </c>
      <c r="L43" s="709"/>
    </row>
    <row r="44" spans="1:12" ht="40.5" customHeight="1" x14ac:dyDescent="0.3">
      <c r="A44" s="687">
        <v>35</v>
      </c>
      <c r="B44" s="697"/>
      <c r="C44" s="675">
        <v>8</v>
      </c>
      <c r="D44" s="1287" t="s">
        <v>578</v>
      </c>
      <c r="E44" s="1255"/>
      <c r="F44" s="1111"/>
      <c r="G44" s="711"/>
      <c r="H44" s="698"/>
      <c r="I44" s="716"/>
      <c r="J44" s="698"/>
      <c r="K44" s="712"/>
      <c r="L44" s="709"/>
    </row>
    <row r="45" spans="1:12" ht="36.75" customHeight="1" x14ac:dyDescent="0.35">
      <c r="A45" s="687">
        <v>36</v>
      </c>
      <c r="B45" s="697"/>
      <c r="C45" s="675"/>
      <c r="D45" s="1288" t="s">
        <v>688</v>
      </c>
      <c r="E45" s="1255"/>
      <c r="F45" s="1111"/>
      <c r="G45" s="711" t="s">
        <v>24</v>
      </c>
      <c r="H45" s="698"/>
      <c r="I45" s="716"/>
      <c r="J45" s="716"/>
      <c r="K45" s="719"/>
      <c r="L45" s="709"/>
    </row>
    <row r="46" spans="1:12" ht="18" customHeight="1" x14ac:dyDescent="0.3">
      <c r="A46" s="687">
        <v>37</v>
      </c>
      <c r="B46" s="697"/>
      <c r="C46" s="675"/>
      <c r="D46" s="292" t="s">
        <v>238</v>
      </c>
      <c r="E46" s="1255">
        <f>K46+L46+F46</f>
        <v>394</v>
      </c>
      <c r="F46" s="1111"/>
      <c r="G46" s="711"/>
      <c r="H46" s="698"/>
      <c r="I46" s="698">
        <v>394</v>
      </c>
      <c r="J46" s="716"/>
      <c r="K46" s="703">
        <f t="shared" si="0"/>
        <v>394</v>
      </c>
      <c r="L46" s="709"/>
    </row>
    <row r="47" spans="1:12" ht="49.5" customHeight="1" x14ac:dyDescent="0.35">
      <c r="A47" s="687">
        <v>38</v>
      </c>
      <c r="B47" s="697"/>
      <c r="C47" s="675"/>
      <c r="D47" s="1288" t="s">
        <v>689</v>
      </c>
      <c r="E47" s="1255"/>
      <c r="F47" s="1111"/>
      <c r="G47" s="711" t="s">
        <v>24</v>
      </c>
      <c r="H47" s="698"/>
      <c r="I47" s="698"/>
      <c r="J47" s="698"/>
      <c r="K47" s="712"/>
      <c r="L47" s="709"/>
    </row>
    <row r="48" spans="1:12" ht="18" customHeight="1" x14ac:dyDescent="0.3">
      <c r="A48" s="687">
        <v>39</v>
      </c>
      <c r="B48" s="697"/>
      <c r="C48" s="675"/>
      <c r="D48" s="292" t="s">
        <v>238</v>
      </c>
      <c r="E48" s="1255">
        <f>K48+L48+F48</f>
        <v>23500</v>
      </c>
      <c r="F48" s="1111"/>
      <c r="G48" s="711"/>
      <c r="H48" s="698"/>
      <c r="I48" s="698">
        <v>23500</v>
      </c>
      <c r="J48" s="698"/>
      <c r="K48" s="703">
        <f t="shared" si="0"/>
        <v>23500</v>
      </c>
      <c r="L48" s="709"/>
    </row>
    <row r="49" spans="1:12" ht="35.25" customHeight="1" x14ac:dyDescent="0.35">
      <c r="A49" s="687">
        <v>40</v>
      </c>
      <c r="B49" s="697"/>
      <c r="C49" s="675"/>
      <c r="D49" s="1288" t="s">
        <v>690</v>
      </c>
      <c r="E49" s="1255"/>
      <c r="F49" s="1111"/>
      <c r="G49" s="711" t="s">
        <v>24</v>
      </c>
      <c r="H49" s="698"/>
      <c r="I49" s="698"/>
      <c r="J49" s="698"/>
      <c r="K49" s="712"/>
      <c r="L49" s="709"/>
    </row>
    <row r="50" spans="1:12" ht="18" customHeight="1" x14ac:dyDescent="0.3">
      <c r="A50" s="687">
        <v>41</v>
      </c>
      <c r="B50" s="697"/>
      <c r="C50" s="705"/>
      <c r="D50" s="292" t="s">
        <v>238</v>
      </c>
      <c r="E50" s="1255">
        <f>K50+L50+F50</f>
        <v>5570</v>
      </c>
      <c r="F50" s="1111"/>
      <c r="G50" s="711"/>
      <c r="H50" s="698"/>
      <c r="I50" s="698">
        <v>5570</v>
      </c>
      <c r="J50" s="698"/>
      <c r="K50" s="703">
        <f t="shared" si="0"/>
        <v>5570</v>
      </c>
      <c r="L50" s="709"/>
    </row>
    <row r="51" spans="1:12" ht="35.25" customHeight="1" x14ac:dyDescent="0.3">
      <c r="A51" s="687">
        <v>42</v>
      </c>
      <c r="B51" s="697"/>
      <c r="C51" s="675">
        <v>205</v>
      </c>
      <c r="D51" s="1278" t="s">
        <v>742</v>
      </c>
      <c r="E51" s="1255"/>
      <c r="F51" s="1111"/>
      <c r="G51" s="711" t="s">
        <v>24</v>
      </c>
      <c r="H51" s="698"/>
      <c r="I51" s="698"/>
      <c r="J51" s="698"/>
      <c r="K51" s="712"/>
      <c r="L51" s="709"/>
    </row>
    <row r="52" spans="1:12" ht="18" customHeight="1" x14ac:dyDescent="0.3">
      <c r="A52" s="687">
        <v>43</v>
      </c>
      <c r="B52" s="697"/>
      <c r="C52" s="705"/>
      <c r="D52" s="834" t="s">
        <v>238</v>
      </c>
      <c r="E52" s="1255">
        <f>K52+L52+F52</f>
        <v>49000</v>
      </c>
      <c r="F52" s="1111"/>
      <c r="G52" s="711"/>
      <c r="H52" s="698"/>
      <c r="I52" s="698">
        <v>49000</v>
      </c>
      <c r="J52" s="698"/>
      <c r="K52" s="703">
        <f t="shared" si="0"/>
        <v>49000</v>
      </c>
      <c r="L52" s="709"/>
    </row>
    <row r="53" spans="1:12" ht="35.25" customHeight="1" x14ac:dyDescent="0.3">
      <c r="A53" s="687">
        <v>44</v>
      </c>
      <c r="B53" s="697"/>
      <c r="C53" s="675">
        <v>206</v>
      </c>
      <c r="D53" s="791" t="s">
        <v>743</v>
      </c>
      <c r="E53" s="1255"/>
      <c r="F53" s="1111"/>
      <c r="G53" s="711" t="s">
        <v>24</v>
      </c>
      <c r="H53" s="698"/>
      <c r="I53" s="698"/>
      <c r="J53" s="698"/>
      <c r="K53" s="712"/>
      <c r="L53" s="709"/>
    </row>
    <row r="54" spans="1:12" ht="18" customHeight="1" x14ac:dyDescent="0.3">
      <c r="A54" s="687">
        <v>45</v>
      </c>
      <c r="B54" s="722"/>
      <c r="C54" s="675"/>
      <c r="D54" s="834" t="s">
        <v>238</v>
      </c>
      <c r="E54" s="1255">
        <f>K54+L54+F54</f>
        <v>41000</v>
      </c>
      <c r="F54" s="1111"/>
      <c r="G54" s="711"/>
      <c r="H54" s="698"/>
      <c r="I54" s="698">
        <v>41000</v>
      </c>
      <c r="J54" s="698"/>
      <c r="K54" s="703">
        <f t="shared" si="0"/>
        <v>41000</v>
      </c>
      <c r="L54" s="709"/>
    </row>
    <row r="55" spans="1:12" ht="36" customHeight="1" x14ac:dyDescent="0.3">
      <c r="A55" s="687">
        <v>46</v>
      </c>
      <c r="B55" s="722"/>
      <c r="C55" s="675">
        <v>207</v>
      </c>
      <c r="D55" s="791" t="s">
        <v>744</v>
      </c>
      <c r="E55" s="1255"/>
      <c r="F55" s="1111"/>
      <c r="G55" s="711" t="s">
        <v>24</v>
      </c>
      <c r="H55" s="698"/>
      <c r="I55" s="698"/>
      <c r="J55" s="698"/>
      <c r="K55" s="703"/>
      <c r="L55" s="709"/>
    </row>
    <row r="56" spans="1:12" ht="18" customHeight="1" x14ac:dyDescent="0.3">
      <c r="A56" s="687">
        <v>47</v>
      </c>
      <c r="B56" s="722"/>
      <c r="C56" s="705"/>
      <c r="D56" s="292" t="s">
        <v>238</v>
      </c>
      <c r="E56" s="1255">
        <f>K56+L56+F56</f>
        <v>10000</v>
      </c>
      <c r="F56" s="1111"/>
      <c r="G56" s="711"/>
      <c r="H56" s="698"/>
      <c r="I56" s="698">
        <v>10000</v>
      </c>
      <c r="J56" s="698"/>
      <c r="K56" s="703">
        <f t="shared" si="0"/>
        <v>10000</v>
      </c>
      <c r="L56" s="709"/>
    </row>
    <row r="57" spans="1:12" ht="18" customHeight="1" x14ac:dyDescent="0.3">
      <c r="A57" s="687">
        <v>48</v>
      </c>
      <c r="B57" s="722"/>
      <c r="C57" s="675">
        <v>18</v>
      </c>
      <c r="D57" s="791" t="s">
        <v>489</v>
      </c>
      <c r="E57" s="1255"/>
      <c r="F57" s="1111"/>
      <c r="G57" s="711" t="s">
        <v>24</v>
      </c>
      <c r="H57" s="698"/>
      <c r="I57" s="698"/>
      <c r="J57" s="698"/>
      <c r="K57" s="703"/>
      <c r="L57" s="709"/>
    </row>
    <row r="58" spans="1:12" ht="18" customHeight="1" x14ac:dyDescent="0.3">
      <c r="A58" s="687">
        <v>49</v>
      </c>
      <c r="B58" s="722"/>
      <c r="C58" s="675"/>
      <c r="D58" s="292" t="s">
        <v>238</v>
      </c>
      <c r="E58" s="1255">
        <f>K58+L58+F58</f>
        <v>40000</v>
      </c>
      <c r="F58" s="1111"/>
      <c r="G58" s="711"/>
      <c r="H58" s="698"/>
      <c r="I58" s="698"/>
      <c r="J58" s="698">
        <v>40000</v>
      </c>
      <c r="K58" s="703">
        <f t="shared" si="0"/>
        <v>40000</v>
      </c>
      <c r="L58" s="709"/>
    </row>
    <row r="59" spans="1:12" s="1095" customFormat="1" ht="67.5" customHeight="1" x14ac:dyDescent="0.3">
      <c r="A59" s="687">
        <v>50</v>
      </c>
      <c r="B59" s="722"/>
      <c r="C59" s="675">
        <v>62</v>
      </c>
      <c r="D59" s="791" t="s">
        <v>691</v>
      </c>
      <c r="E59" s="1255"/>
      <c r="F59" s="1111"/>
      <c r="G59" s="711" t="s">
        <v>24</v>
      </c>
      <c r="H59" s="698"/>
      <c r="I59" s="698"/>
      <c r="J59" s="698"/>
      <c r="K59" s="703"/>
      <c r="L59" s="709"/>
    </row>
    <row r="60" spans="1:12" ht="18" customHeight="1" thickBot="1" x14ac:dyDescent="0.35">
      <c r="A60" s="687">
        <v>51</v>
      </c>
      <c r="B60" s="722"/>
      <c r="C60" s="675"/>
      <c r="D60" s="292" t="s">
        <v>238</v>
      </c>
      <c r="E60" s="1255">
        <f>K60+L60+F60</f>
        <v>16000</v>
      </c>
      <c r="F60" s="1111"/>
      <c r="G60" s="711"/>
      <c r="H60" s="698"/>
      <c r="I60" s="698">
        <v>16000</v>
      </c>
      <c r="J60" s="698"/>
      <c r="K60" s="703">
        <f t="shared" si="0"/>
        <v>16000</v>
      </c>
      <c r="L60" s="709"/>
    </row>
    <row r="61" spans="1:12" ht="27" customHeight="1" thickTop="1" x14ac:dyDescent="0.3">
      <c r="A61" s="687">
        <v>52</v>
      </c>
      <c r="B61" s="752"/>
      <c r="C61" s="753"/>
      <c r="D61" s="1463" t="s">
        <v>13</v>
      </c>
      <c r="E61" s="1463"/>
      <c r="F61" s="1229"/>
      <c r="G61" s="754"/>
      <c r="H61" s="755"/>
      <c r="I61" s="755"/>
      <c r="J61" s="755"/>
      <c r="K61" s="756"/>
      <c r="L61" s="757"/>
    </row>
    <row r="62" spans="1:12" ht="20.100000000000001" customHeight="1" thickBot="1" x14ac:dyDescent="0.35">
      <c r="A62" s="687">
        <v>53</v>
      </c>
      <c r="B62" s="758"/>
      <c r="C62" s="759"/>
      <c r="D62" s="788" t="s">
        <v>238</v>
      </c>
      <c r="E62" s="973"/>
      <c r="F62" s="1274"/>
      <c r="G62" s="760"/>
      <c r="H62" s="761">
        <f>SUM(H11:H60)</f>
        <v>0</v>
      </c>
      <c r="I62" s="761">
        <f t="shared" ref="I62:J62" si="1">SUM(I11:I60)</f>
        <v>365403</v>
      </c>
      <c r="J62" s="761">
        <f t="shared" si="1"/>
        <v>84599</v>
      </c>
      <c r="K62" s="761">
        <f>SUM(H62:J62)</f>
        <v>450002</v>
      </c>
      <c r="L62" s="762">
        <f>SUM(L12:L61)</f>
        <v>0</v>
      </c>
    </row>
    <row r="63" spans="1:12" ht="20.100000000000001" customHeight="1" thickTop="1" x14ac:dyDescent="0.3">
      <c r="A63" s="687">
        <v>54</v>
      </c>
      <c r="B63" s="763"/>
      <c r="C63" s="753"/>
      <c r="D63" s="1392" t="s">
        <v>88</v>
      </c>
      <c r="E63" s="1393"/>
      <c r="F63" s="1225"/>
      <c r="G63" s="766"/>
      <c r="H63" s="767"/>
      <c r="I63" s="767"/>
      <c r="J63" s="767"/>
      <c r="K63" s="774"/>
      <c r="L63" s="771"/>
    </row>
    <row r="64" spans="1:12" ht="20.100000000000001" customHeight="1" x14ac:dyDescent="0.3">
      <c r="A64" s="687">
        <v>55</v>
      </c>
      <c r="B64" s="764"/>
      <c r="C64" s="765"/>
      <c r="D64" s="1415" t="s">
        <v>238</v>
      </c>
      <c r="E64" s="1416"/>
      <c r="F64" s="1226"/>
      <c r="G64" s="768"/>
      <c r="H64" s="698">
        <f>H41+H39+H37+H35+H23+H29</f>
        <v>0</v>
      </c>
      <c r="I64" s="698">
        <f>I41+I39+I37+I35+I23+I29</f>
        <v>79175</v>
      </c>
      <c r="J64" s="698">
        <f>J41+J39+J37+J35+J23+J29</f>
        <v>34847</v>
      </c>
      <c r="K64" s="775">
        <f>SUM(H64:J64)</f>
        <v>114022</v>
      </c>
      <c r="L64" s="772"/>
    </row>
    <row r="65" spans="1:12" ht="20.100000000000001" customHeight="1" x14ac:dyDescent="0.3">
      <c r="A65" s="687">
        <v>56</v>
      </c>
      <c r="B65" s="764"/>
      <c r="C65" s="765"/>
      <c r="D65" s="1418" t="s">
        <v>89</v>
      </c>
      <c r="E65" s="1419"/>
      <c r="F65" s="1227"/>
      <c r="G65" s="768"/>
      <c r="H65" s="769"/>
      <c r="I65" s="769"/>
      <c r="J65" s="769"/>
      <c r="K65" s="777"/>
      <c r="L65" s="772"/>
    </row>
    <row r="66" spans="1:12" ht="20.100000000000001" customHeight="1" thickBot="1" x14ac:dyDescent="0.35">
      <c r="A66" s="687">
        <v>57</v>
      </c>
      <c r="B66" s="729"/>
      <c r="C66" s="730"/>
      <c r="D66" s="1460" t="s">
        <v>238</v>
      </c>
      <c r="E66" s="1461"/>
      <c r="F66" s="1228"/>
      <c r="G66" s="770"/>
      <c r="H66" s="778">
        <f>H60+H58+H56+H54+H52+H50+H48+H46+H43+H33+H31+H27+H25+H21+H18+H16+H14+H12</f>
        <v>0</v>
      </c>
      <c r="I66" s="778">
        <f t="shared" ref="I66:J66" si="2">I60+I58+I56+I54+I52+I50+I48+I46+I43+I33+I31+I27+I25+I21+I18+I16+I14+I12</f>
        <v>286228</v>
      </c>
      <c r="J66" s="778">
        <f t="shared" si="2"/>
        <v>49752</v>
      </c>
      <c r="K66" s="776">
        <f>SUM(H66:J66)</f>
        <v>335980</v>
      </c>
      <c r="L66" s="773"/>
    </row>
    <row r="67" spans="1:12" ht="18" customHeight="1" x14ac:dyDescent="0.3">
      <c r="B67" s="726" t="s">
        <v>25</v>
      </c>
      <c r="C67" s="726"/>
      <c r="D67" s="726"/>
      <c r="E67" s="974"/>
      <c r="F67" s="974"/>
      <c r="G67" s="728"/>
      <c r="H67" s="974"/>
      <c r="I67" s="974"/>
      <c r="J67" s="974"/>
      <c r="K67" s="974"/>
    </row>
    <row r="68" spans="1:12" ht="18" customHeight="1" x14ac:dyDescent="0.3">
      <c r="B68" s="726" t="s">
        <v>26</v>
      </c>
      <c r="C68" s="726"/>
      <c r="D68" s="726"/>
      <c r="E68" s="975"/>
      <c r="F68" s="975"/>
      <c r="G68" s="728"/>
      <c r="H68" s="974"/>
      <c r="I68" s="974"/>
      <c r="J68" s="974"/>
      <c r="K68" s="974"/>
    </row>
    <row r="69" spans="1:12" ht="18" customHeight="1" x14ac:dyDescent="0.3">
      <c r="B69" s="726" t="s">
        <v>27</v>
      </c>
      <c r="C69" s="726"/>
      <c r="D69" s="726"/>
      <c r="E69" s="975"/>
      <c r="F69" s="975"/>
      <c r="G69" s="728"/>
      <c r="H69" s="974"/>
      <c r="I69" s="974"/>
      <c r="J69" s="974"/>
      <c r="K69" s="974"/>
    </row>
  </sheetData>
  <mergeCells count="20">
    <mergeCell ref="D61:E61"/>
    <mergeCell ref="D63:E63"/>
    <mergeCell ref="D64:E64"/>
    <mergeCell ref="D65:E65"/>
    <mergeCell ref="D66:E66"/>
    <mergeCell ref="B1:D1"/>
    <mergeCell ref="H1:L1"/>
    <mergeCell ref="B2:L2"/>
    <mergeCell ref="B3:L3"/>
    <mergeCell ref="B7:B9"/>
    <mergeCell ref="C7:C9"/>
    <mergeCell ref="D7:D9"/>
    <mergeCell ref="E7:E9"/>
    <mergeCell ref="H7:K7"/>
    <mergeCell ref="L7:L9"/>
    <mergeCell ref="I8:J8"/>
    <mergeCell ref="K8:K9"/>
    <mergeCell ref="G7:G9"/>
    <mergeCell ref="F7:F9"/>
    <mergeCell ref="B4:L4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57" fitToHeight="0" orientation="portrait" r:id="rId1"/>
  <headerFooter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15</vt:i4>
      </vt:variant>
      <vt:variant>
        <vt:lpstr>Névvel ellátott tartományok</vt:lpstr>
      </vt:variant>
      <vt:variant>
        <vt:i4>27</vt:i4>
      </vt:variant>
    </vt:vector>
  </HeadingPairs>
  <TitlesOfParts>
    <vt:vector size="42" baseType="lpstr">
      <vt:lpstr>1.Onbe</vt:lpstr>
      <vt:lpstr>2.Onki</vt:lpstr>
      <vt:lpstr>3.Inbe </vt:lpstr>
      <vt:lpstr>4.Inki</vt:lpstr>
      <vt:lpstr>5.Infelhki</vt:lpstr>
      <vt:lpstr>6.Önk.műk.</vt:lpstr>
      <vt:lpstr>7.Beruh.</vt:lpstr>
      <vt:lpstr>8.Felúj.</vt:lpstr>
      <vt:lpstr>9.Ter.Fejl.Alap</vt:lpstr>
      <vt:lpstr>10.Projekt</vt:lpstr>
      <vt:lpstr>11.Mérleg</vt:lpstr>
      <vt:lpstr>12.Létszám</vt:lpstr>
      <vt:lpstr>13.AKU</vt:lpstr>
      <vt:lpstr>14.EU</vt:lpstr>
      <vt:lpstr>15.Alap</vt:lpstr>
      <vt:lpstr>'1.Onbe'!Nyomtatási_cím</vt:lpstr>
      <vt:lpstr>'10.Projekt'!Nyomtatási_cím</vt:lpstr>
      <vt:lpstr>'12.Létszám'!Nyomtatási_cím</vt:lpstr>
      <vt:lpstr>'14.EU'!Nyomtatási_cím</vt:lpstr>
      <vt:lpstr>'15.Alap'!Nyomtatási_cím</vt:lpstr>
      <vt:lpstr>'2.Onki'!Nyomtatási_cím</vt:lpstr>
      <vt:lpstr>'3.Inbe '!Nyomtatási_cím</vt:lpstr>
      <vt:lpstr>'4.Inki'!Nyomtatási_cím</vt:lpstr>
      <vt:lpstr>'5.Infelhki'!Nyomtatási_cím</vt:lpstr>
      <vt:lpstr>'6.Önk.műk.'!Nyomtatási_cím</vt:lpstr>
      <vt:lpstr>'7.Beruh.'!Nyomtatási_cím</vt:lpstr>
      <vt:lpstr>'8.Felúj.'!Nyomtatási_cím</vt:lpstr>
      <vt:lpstr>'9.Ter.Fejl.Alap'!Nyomtatási_cím</vt:lpstr>
      <vt:lpstr>'1.Onbe'!Nyomtatási_terület</vt:lpstr>
      <vt:lpstr>'10.Projekt'!Nyomtatási_terület</vt:lpstr>
      <vt:lpstr>'11.Mérleg'!Nyomtatási_terület</vt:lpstr>
      <vt:lpstr>'12.Létszám'!Nyomtatási_terület</vt:lpstr>
      <vt:lpstr>'14.EU'!Nyomtatási_terület</vt:lpstr>
      <vt:lpstr>'15.Alap'!Nyomtatási_terület</vt:lpstr>
      <vt:lpstr>'2.Onki'!Nyomtatási_terület</vt:lpstr>
      <vt:lpstr>'3.Inbe '!Nyomtatási_terület</vt:lpstr>
      <vt:lpstr>'4.Inki'!Nyomtatási_terület</vt:lpstr>
      <vt:lpstr>'5.Infelhki'!Nyomtatási_terület</vt:lpstr>
      <vt:lpstr>'6.Önk.műk.'!Nyomtatási_terület</vt:lpstr>
      <vt:lpstr>'7.Beruh.'!Nyomtatási_terület</vt:lpstr>
      <vt:lpstr>'8.Felúj.'!Nyomtatási_terület</vt:lpstr>
      <vt:lpstr>'9.Ter.Fejl.Alap'!Nyomtatási_terület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Schumacher Judit</dc:creator>
  <cp:lastModifiedBy>Kicska Andrea</cp:lastModifiedBy>
  <cp:lastPrinted>2026-02-09T14:37:51Z</cp:lastPrinted>
  <dcterms:created xsi:type="dcterms:W3CDTF">2015-02-11T07:38:58Z</dcterms:created>
  <dcterms:modified xsi:type="dcterms:W3CDTF">2026-02-24T09:22:46Z</dcterms:modified>
</cp:coreProperties>
</file>